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theme/themeOverride1.xml" ContentType="application/vnd.openxmlformats-officedocument.themeOverride+xml"/>
  <Override PartName="/xl/charts/chart7.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https://homesandcommunities-my.sharepoint.com/personal/nick_parker_rsh_gov_uk/Documents/Documents/Data Tools/2024_Tools/2023_Finals/"/>
    </mc:Choice>
  </mc:AlternateContent>
  <xr:revisionPtr revIDLastSave="7" documentId="8_{7A6C304C-E8B3-4607-B7CA-AD857C2CE083}" xr6:coauthVersionLast="47" xr6:coauthVersionMax="47" xr10:uidLastSave="{4052FA0F-B8F8-4ABB-916F-E807677EE879}"/>
  <workbookProtection workbookAlgorithmName="SHA-512" workbookHashValue="75ckJTN9TmVMG9jeDFzilnjjY7bounqHaiJfT6HpgcxRB7ZdZnhyZt4/81lkW23mwjvpY+RF0ZkV3hvHPA9zDA==" workbookSaltValue="dn5EWhBS875UGr9CHCLolw==" workbookSpinCount="100000" lockStructure="1"/>
  <bookViews>
    <workbookView xWindow="-28920" yWindow="2430" windowWidth="29040" windowHeight="15840" tabRatio="789" xr2:uid="{D3F8C8F7-2C4E-4528-A752-A1B4779F4B60}"/>
  </bookViews>
  <sheets>
    <sheet name="Introduction and Contents" sheetId="10" r:id="rId1"/>
    <sheet name="Glossary" sheetId="11" r:id="rId2"/>
    <sheet name="Version History" sheetId="12" r:id="rId3"/>
    <sheet name="PRP LA trend tool 2015-23" sheetId="1" r:id="rId4"/>
    <sheet name="PRP_Counts" sheetId="16" state="veryHidden" r:id="rId5"/>
    <sheet name="How to use the search function" sheetId="13" r:id="rId6"/>
    <sheet name="Y_1" sheetId="2" state="veryHidden" r:id="rId7"/>
    <sheet name="Y_2" sheetId="3" state="veryHidden" r:id="rId8"/>
    <sheet name="Y_3" sheetId="4" state="veryHidden" r:id="rId9"/>
    <sheet name="Y_4" sheetId="5" state="veryHidden" r:id="rId10"/>
    <sheet name="Y_5" sheetId="6" state="veryHidden" r:id="rId11"/>
    <sheet name="Y_6" sheetId="7" state="veryHidden" r:id="rId12"/>
    <sheet name="Y_7" sheetId="9" state="veryHidden" r:id="rId13"/>
    <sheet name="Y_8" sheetId="14" state="veryHidden" r:id="rId14"/>
    <sheet name="Y_9" sheetId="15" state="veryHidden" r:id="rId15"/>
    <sheet name="Search Box Config" sheetId="8" state="veryHidden" r:id="rId16"/>
  </sheets>
  <definedNames>
    <definedName name="PRPcounts">PRP_Counts!$G$5:$M$322</definedName>
    <definedName name="validation_list">OFFSET('Search Box Config'!$D$2,,,COUNTIF('Search Box Config'!$D$2:$D$310,"?*"))</definedName>
    <definedName name="Y_1">Y_1!$B$4:$AG$322</definedName>
    <definedName name="Y_2">Y_2!$B$4:$AG$322</definedName>
    <definedName name="Y_3">Y_3!$B$4:$AG$322</definedName>
    <definedName name="Y_4">Y_4!$B$4:$AG$322</definedName>
    <definedName name="Y_5">Y_5!$B$4:$AG$322</definedName>
    <definedName name="Y_6">Y_6!$B$4:$AG$322</definedName>
    <definedName name="Y_7">Y_7!$B$4:$AG$322</definedName>
    <definedName name="Y_8">Y_8!$B$4:$AG$322</definedName>
    <definedName name="Y_9">Y_9!$B$4:$AG$322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 i="1" l="1"/>
  <c r="L8" i="1"/>
  <c r="K9" i="1"/>
  <c r="K8" i="1"/>
  <c r="F8" i="1"/>
  <c r="E8" i="1"/>
  <c r="F4" i="1"/>
  <c r="F9" i="1" s="1"/>
  <c r="E9" i="1" l="1"/>
  <c r="M364" i="1"/>
  <c r="M363" i="1"/>
  <c r="M362" i="1"/>
  <c r="M361" i="1"/>
  <c r="M298" i="1"/>
  <c r="M297" i="1"/>
  <c r="M296" i="1"/>
  <c r="M295" i="1"/>
  <c r="M294" i="1"/>
  <c r="M252" i="1"/>
  <c r="M251" i="1"/>
  <c r="M208" i="1"/>
  <c r="M207" i="1"/>
  <c r="M156" i="1"/>
  <c r="M155" i="1"/>
  <c r="M154" i="1"/>
  <c r="M153" i="1"/>
  <c r="M152" i="1"/>
  <c r="M101" i="1"/>
  <c r="M100" i="1"/>
  <c r="M99" i="1"/>
  <c r="M98" i="1"/>
  <c r="M97" i="1"/>
  <c r="M55" i="1"/>
  <c r="M54" i="1"/>
  <c r="M49" i="1"/>
  <c r="M47" i="1"/>
  <c r="M46" i="1"/>
  <c r="M45" i="1"/>
  <c r="M44" i="1"/>
  <c r="M43" i="1"/>
  <c r="M42" i="1"/>
  <c r="B38" i="1"/>
  <c r="Z275" i="1" l="1"/>
  <c r="Z276" i="1"/>
  <c r="Z277" i="1"/>
  <c r="Z273" i="1"/>
  <c r="Z274" i="1"/>
  <c r="M41" i="1"/>
  <c r="E42" i="1"/>
  <c r="L364" i="1"/>
  <c r="L363" i="1"/>
  <c r="L362" i="1"/>
  <c r="L361" i="1"/>
  <c r="L298" i="1"/>
  <c r="L297" i="1"/>
  <c r="L296" i="1"/>
  <c r="L295" i="1"/>
  <c r="L294" i="1"/>
  <c r="L252" i="1"/>
  <c r="L251" i="1"/>
  <c r="L208" i="1"/>
  <c r="L207" i="1"/>
  <c r="L156" i="1"/>
  <c r="L155" i="1"/>
  <c r="L154" i="1"/>
  <c r="L153" i="1"/>
  <c r="L152" i="1"/>
  <c r="L101" i="1"/>
  <c r="L100" i="1"/>
  <c r="L99" i="1"/>
  <c r="L98" i="1"/>
  <c r="L97" i="1"/>
  <c r="L55" i="1"/>
  <c r="L54" i="1"/>
  <c r="L49" i="1"/>
  <c r="L47" i="1"/>
  <c r="L46" i="1"/>
  <c r="L45" i="1"/>
  <c r="L44" i="1"/>
  <c r="L43" i="1"/>
  <c r="L42" i="1"/>
  <c r="O368" i="1"/>
  <c r="G154" i="1"/>
  <c r="K291" i="1"/>
  <c r="K364" i="1"/>
  <c r="K363" i="1"/>
  <c r="K362" i="1"/>
  <c r="K361" i="1"/>
  <c r="K298" i="1"/>
  <c r="K297" i="1"/>
  <c r="K296" i="1"/>
  <c r="K295" i="1"/>
  <c r="K294" i="1"/>
  <c r="K252" i="1"/>
  <c r="K251" i="1"/>
  <c r="K208" i="1"/>
  <c r="K207" i="1"/>
  <c r="K156" i="1"/>
  <c r="K155" i="1"/>
  <c r="K154" i="1"/>
  <c r="K153" i="1"/>
  <c r="K152" i="1"/>
  <c r="K101" i="1"/>
  <c r="K100" i="1"/>
  <c r="K99" i="1"/>
  <c r="K98" i="1"/>
  <c r="K97" i="1"/>
  <c r="K55" i="1"/>
  <c r="K54" i="1"/>
  <c r="K49" i="1"/>
  <c r="K47" i="1"/>
  <c r="K46" i="1"/>
  <c r="K45" i="1"/>
  <c r="K44" i="1"/>
  <c r="K43" i="1"/>
  <c r="K42" i="1"/>
  <c r="B48" i="1" l="1"/>
  <c r="M306" i="1"/>
  <c r="M167" i="1"/>
  <c r="M158" i="1"/>
  <c r="M111" i="1"/>
  <c r="M304" i="1"/>
  <c r="M214" i="1"/>
  <c r="M166" i="1"/>
  <c r="M110" i="1"/>
  <c r="M164" i="1"/>
  <c r="M310" i="1"/>
  <c r="M301" i="1"/>
  <c r="M257" i="1"/>
  <c r="M210" i="1"/>
  <c r="M162" i="1"/>
  <c r="M106" i="1"/>
  <c r="M48" i="1"/>
  <c r="M160" i="1"/>
  <c r="M113" i="1"/>
  <c r="M104" i="1"/>
  <c r="M303" i="1"/>
  <c r="M165" i="1"/>
  <c r="M302" i="1"/>
  <c r="M107" i="1"/>
  <c r="M309" i="1"/>
  <c r="M300" i="1"/>
  <c r="M255" i="1"/>
  <c r="M161" i="1"/>
  <c r="M105" i="1"/>
  <c r="M63" i="1"/>
  <c r="M254" i="1"/>
  <c r="M62" i="1"/>
  <c r="M58" i="1"/>
  <c r="M213" i="1"/>
  <c r="M258" i="1"/>
  <c r="M308" i="1"/>
  <c r="M307" i="1"/>
  <c r="M168" i="1"/>
  <c r="M159" i="1"/>
  <c r="M112" i="1"/>
  <c r="M103" i="1"/>
  <c r="M59" i="1"/>
  <c r="M109" i="1"/>
  <c r="M211" i="1"/>
  <c r="M365" i="1"/>
  <c r="M366" i="1"/>
  <c r="M367" i="1"/>
  <c r="M56" i="1"/>
  <c r="L366" i="1"/>
  <c r="L56" i="1"/>
  <c r="L365" i="1"/>
  <c r="L166" i="1"/>
  <c r="L110" i="1"/>
  <c r="Y274" i="1"/>
  <c r="L214" i="1"/>
  <c r="L304" i="1"/>
  <c r="L41" i="1"/>
  <c r="L58" i="1"/>
  <c r="L111" i="1"/>
  <c r="L158" i="1"/>
  <c r="L167" i="1"/>
  <c r="Y275" i="1"/>
  <c r="L306" i="1"/>
  <c r="L59" i="1"/>
  <c r="L103" i="1"/>
  <c r="L112" i="1"/>
  <c r="L159" i="1"/>
  <c r="L168" i="1"/>
  <c r="Y276" i="1"/>
  <c r="L307" i="1"/>
  <c r="L62" i="1"/>
  <c r="L104" i="1"/>
  <c r="L113" i="1"/>
  <c r="L160" i="1"/>
  <c r="L254" i="1"/>
  <c r="Y277" i="1"/>
  <c r="L308" i="1"/>
  <c r="L48" i="1"/>
  <c r="L63" i="1"/>
  <c r="L105" i="1"/>
  <c r="L161" i="1"/>
  <c r="L255" i="1"/>
  <c r="L300" i="1"/>
  <c r="L309" i="1"/>
  <c r="L106" i="1"/>
  <c r="L162" i="1"/>
  <c r="L210" i="1"/>
  <c r="L257" i="1"/>
  <c r="L301" i="1"/>
  <c r="L310" i="1"/>
  <c r="L107" i="1"/>
  <c r="L164" i="1"/>
  <c r="L211" i="1"/>
  <c r="L258" i="1"/>
  <c r="L302" i="1"/>
  <c r="L109" i="1"/>
  <c r="L165" i="1"/>
  <c r="L213" i="1"/>
  <c r="Y273" i="1"/>
  <c r="L303" i="1"/>
  <c r="L367" i="1"/>
  <c r="E257" i="1"/>
  <c r="F257" i="1"/>
  <c r="H257" i="1"/>
  <c r="K257" i="1"/>
  <c r="G257" i="1"/>
  <c r="I257" i="1"/>
  <c r="J257" i="1"/>
  <c r="K304" i="1"/>
  <c r="K41" i="1"/>
  <c r="K161" i="1"/>
  <c r="K103" i="1"/>
  <c r="K59" i="1"/>
  <c r="K105" i="1"/>
  <c r="K63" i="1"/>
  <c r="K301" i="1"/>
  <c r="K62" i="1"/>
  <c r="K104" i="1"/>
  <c r="K162" i="1"/>
  <c r="K254" i="1"/>
  <c r="K306" i="1"/>
  <c r="K167" i="1"/>
  <c r="K307" i="1"/>
  <c r="K48" i="1"/>
  <c r="K106" i="1"/>
  <c r="K168" i="1"/>
  <c r="K310" i="1"/>
  <c r="K109" i="1"/>
  <c r="K111" i="1"/>
  <c r="K158" i="1"/>
  <c r="K112" i="1"/>
  <c r="K159" i="1"/>
  <c r="K210" i="1"/>
  <c r="K58" i="1"/>
  <c r="K113" i="1"/>
  <c r="K160" i="1"/>
  <c r="K308" i="1"/>
  <c r="K255" i="1"/>
  <c r="K300" i="1"/>
  <c r="K309" i="1"/>
  <c r="K107" i="1"/>
  <c r="K164" i="1"/>
  <c r="K211" i="1"/>
  <c r="K258" i="1"/>
  <c r="K302" i="1"/>
  <c r="K165" i="1"/>
  <c r="K213" i="1"/>
  <c r="K303" i="1"/>
  <c r="K110" i="1"/>
  <c r="K166" i="1"/>
  <c r="K214" i="1"/>
  <c r="K366" i="1"/>
  <c r="K365" i="1"/>
  <c r="B248" i="1" l="1"/>
  <c r="B204" i="1"/>
  <c r="B148" i="1"/>
  <c r="B149" i="1"/>
  <c r="N115" i="1"/>
  <c r="M60" i="1"/>
  <c r="Z278" i="1"/>
  <c r="M64" i="1"/>
  <c r="L64" i="1"/>
  <c r="Y278" i="1"/>
  <c r="L60" i="1"/>
  <c r="X276" i="1"/>
  <c r="X277" i="1"/>
  <c r="X273" i="1"/>
  <c r="X274" i="1"/>
  <c r="X275" i="1"/>
  <c r="K367" i="1"/>
  <c r="K56" i="1"/>
  <c r="J364" i="1"/>
  <c r="J363" i="1"/>
  <c r="J362" i="1"/>
  <c r="J361" i="1"/>
  <c r="I364" i="1"/>
  <c r="I363" i="1"/>
  <c r="I362" i="1"/>
  <c r="I361" i="1"/>
  <c r="H364" i="1"/>
  <c r="H363" i="1"/>
  <c r="H362" i="1"/>
  <c r="H361" i="1"/>
  <c r="G364" i="1"/>
  <c r="G363" i="1"/>
  <c r="G362" i="1"/>
  <c r="G361" i="1"/>
  <c r="F364" i="1"/>
  <c r="F363" i="1"/>
  <c r="F362" i="1"/>
  <c r="F361" i="1"/>
  <c r="E364" i="1"/>
  <c r="E363" i="1"/>
  <c r="E362" i="1"/>
  <c r="E361" i="1"/>
  <c r="X278" i="1" l="1"/>
  <c r="J298" i="1"/>
  <c r="J297" i="1"/>
  <c r="J296" i="1"/>
  <c r="J295" i="1"/>
  <c r="J294" i="1"/>
  <c r="I298" i="1"/>
  <c r="I297" i="1"/>
  <c r="I296" i="1"/>
  <c r="I295" i="1"/>
  <c r="I294" i="1"/>
  <c r="H298" i="1"/>
  <c r="H297" i="1"/>
  <c r="H296" i="1"/>
  <c r="H295" i="1"/>
  <c r="H294" i="1"/>
  <c r="G298" i="1"/>
  <c r="G297" i="1"/>
  <c r="G296" i="1"/>
  <c r="G295" i="1"/>
  <c r="G294" i="1"/>
  <c r="F298" i="1"/>
  <c r="F297" i="1"/>
  <c r="F296" i="1"/>
  <c r="F295" i="1"/>
  <c r="F294" i="1"/>
  <c r="E298" i="1"/>
  <c r="E297" i="1"/>
  <c r="E296" i="1"/>
  <c r="E295" i="1"/>
  <c r="E294" i="1"/>
  <c r="J252" i="1"/>
  <c r="J251" i="1"/>
  <c r="I252" i="1"/>
  <c r="I251" i="1"/>
  <c r="H252" i="1"/>
  <c r="H251" i="1"/>
  <c r="G252" i="1"/>
  <c r="G251" i="1"/>
  <c r="F252" i="1"/>
  <c r="F251" i="1"/>
  <c r="E252" i="1"/>
  <c r="E251" i="1"/>
  <c r="J208" i="1"/>
  <c r="J207" i="1"/>
  <c r="I208" i="1"/>
  <c r="I207" i="1"/>
  <c r="H208" i="1"/>
  <c r="H207" i="1"/>
  <c r="G208" i="1"/>
  <c r="G207" i="1"/>
  <c r="F208" i="1"/>
  <c r="F207" i="1"/>
  <c r="E208" i="1"/>
  <c r="E207" i="1"/>
  <c r="J156" i="1"/>
  <c r="J155" i="1"/>
  <c r="J154" i="1"/>
  <c r="J153" i="1"/>
  <c r="J152" i="1"/>
  <c r="I156" i="1"/>
  <c r="I155" i="1"/>
  <c r="I154" i="1"/>
  <c r="I153" i="1"/>
  <c r="I152" i="1"/>
  <c r="H156" i="1"/>
  <c r="H155" i="1"/>
  <c r="H154" i="1"/>
  <c r="H153" i="1"/>
  <c r="H152" i="1"/>
  <c r="G156" i="1"/>
  <c r="G155" i="1"/>
  <c r="G153" i="1"/>
  <c r="G152" i="1"/>
  <c r="F156" i="1"/>
  <c r="F155" i="1"/>
  <c r="F154" i="1"/>
  <c r="F153" i="1"/>
  <c r="F152" i="1"/>
  <c r="E156" i="1"/>
  <c r="E155" i="1"/>
  <c r="E154" i="1"/>
  <c r="E153" i="1"/>
  <c r="E152" i="1"/>
  <c r="J101" i="1"/>
  <c r="J100" i="1"/>
  <c r="J99" i="1"/>
  <c r="J98" i="1"/>
  <c r="J97" i="1"/>
  <c r="I101" i="1"/>
  <c r="I100" i="1"/>
  <c r="I99" i="1"/>
  <c r="I98" i="1"/>
  <c r="I97" i="1"/>
  <c r="H101" i="1"/>
  <c r="H100" i="1"/>
  <c r="H99" i="1"/>
  <c r="H98" i="1"/>
  <c r="H97" i="1"/>
  <c r="G101" i="1"/>
  <c r="G100" i="1"/>
  <c r="G99" i="1"/>
  <c r="G98" i="1"/>
  <c r="G97" i="1"/>
  <c r="F101" i="1"/>
  <c r="F100" i="1"/>
  <c r="F99" i="1"/>
  <c r="F98" i="1"/>
  <c r="F97" i="1"/>
  <c r="E101" i="1"/>
  <c r="E100" i="1"/>
  <c r="E99" i="1"/>
  <c r="E98" i="1"/>
  <c r="E97" i="1"/>
  <c r="J55" i="1"/>
  <c r="J54" i="1"/>
  <c r="I55" i="1"/>
  <c r="I54" i="1"/>
  <c r="H55" i="1"/>
  <c r="H54" i="1"/>
  <c r="G55" i="1"/>
  <c r="G54" i="1"/>
  <c r="F55" i="1"/>
  <c r="F54" i="1"/>
  <c r="E55" i="1"/>
  <c r="E54" i="1"/>
  <c r="J49" i="1"/>
  <c r="J47" i="1"/>
  <c r="J46" i="1"/>
  <c r="J45" i="1"/>
  <c r="J44" i="1"/>
  <c r="J43" i="1"/>
  <c r="J42" i="1"/>
  <c r="I49" i="1"/>
  <c r="I47" i="1"/>
  <c r="I46" i="1"/>
  <c r="I45" i="1"/>
  <c r="I44" i="1"/>
  <c r="I43" i="1"/>
  <c r="I42" i="1"/>
  <c r="H49" i="1"/>
  <c r="H47" i="1"/>
  <c r="H46" i="1"/>
  <c r="H45" i="1"/>
  <c r="H44" i="1"/>
  <c r="H43" i="1"/>
  <c r="H42" i="1"/>
  <c r="G49" i="1"/>
  <c r="G47" i="1"/>
  <c r="G46" i="1"/>
  <c r="G45" i="1"/>
  <c r="G44" i="1"/>
  <c r="G43" i="1"/>
  <c r="G42" i="1"/>
  <c r="F49" i="1"/>
  <c r="F47" i="1"/>
  <c r="F46" i="1"/>
  <c r="F45" i="1"/>
  <c r="F44" i="1"/>
  <c r="F43" i="1"/>
  <c r="F42" i="1"/>
  <c r="A2" i="8"/>
  <c r="A3" i="8" s="1"/>
  <c r="A4" i="8" s="1"/>
  <c r="W277" i="1" l="1"/>
  <c r="W273" i="1"/>
  <c r="W274" i="1"/>
  <c r="W275" i="1"/>
  <c r="W276" i="1"/>
  <c r="A5" i="8"/>
  <c r="A6" i="8" s="1"/>
  <c r="A7" i="8" l="1"/>
  <c r="A8" i="8" s="1"/>
  <c r="A9" i="8" l="1"/>
  <c r="A10" i="8" l="1"/>
  <c r="A11" i="8" s="1"/>
  <c r="A12" i="8" l="1"/>
  <c r="A13" i="8" l="1"/>
  <c r="A14" i="8" l="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E49" i="1" l="1"/>
  <c r="E47" i="1"/>
  <c r="E46" i="1"/>
  <c r="E45" i="1"/>
  <c r="E44" i="1"/>
  <c r="E43" i="1"/>
  <c r="J367" i="1"/>
  <c r="H366" i="1"/>
  <c r="E366" i="1"/>
  <c r="B342" i="1"/>
  <c r="T274" i="1"/>
  <c r="R273" i="1"/>
  <c r="B293" i="1"/>
  <c r="B250" i="1"/>
  <c r="B206" i="1"/>
  <c r="B151" i="1"/>
  <c r="B96" i="1"/>
  <c r="B53" i="1"/>
  <c r="M346" i="1" l="1"/>
  <c r="M345" i="1"/>
  <c r="M344" i="1"/>
  <c r="M343" i="1"/>
  <c r="L344" i="1"/>
  <c r="L343" i="1"/>
  <c r="L346" i="1"/>
  <c r="L345" i="1"/>
  <c r="K346" i="1"/>
  <c r="K345" i="1"/>
  <c r="K344" i="1"/>
  <c r="K343" i="1"/>
  <c r="J345" i="1"/>
  <c r="H345" i="1"/>
  <c r="J344" i="1"/>
  <c r="H344" i="1"/>
  <c r="J343" i="1"/>
  <c r="H343" i="1"/>
  <c r="I346" i="1"/>
  <c r="G346" i="1"/>
  <c r="I345" i="1"/>
  <c r="G345" i="1"/>
  <c r="I344" i="1"/>
  <c r="G344" i="1"/>
  <c r="I343" i="1"/>
  <c r="G343" i="1"/>
  <c r="J346" i="1"/>
  <c r="H346" i="1"/>
  <c r="F343" i="1"/>
  <c r="E346" i="1"/>
  <c r="E345" i="1"/>
  <c r="E343" i="1"/>
  <c r="F346" i="1"/>
  <c r="F345" i="1"/>
  <c r="F344" i="1"/>
  <c r="E344" i="1"/>
  <c r="J310" i="1"/>
  <c r="J301" i="1"/>
  <c r="I309" i="1"/>
  <c r="I300" i="1"/>
  <c r="H308" i="1"/>
  <c r="G307" i="1"/>
  <c r="F306" i="1"/>
  <c r="E304" i="1"/>
  <c r="I258" i="1"/>
  <c r="H255" i="1"/>
  <c r="E258" i="1"/>
  <c r="J211" i="1"/>
  <c r="G214" i="1"/>
  <c r="F211" i="1"/>
  <c r="J161" i="1"/>
  <c r="I160" i="1"/>
  <c r="H168" i="1"/>
  <c r="H159" i="1"/>
  <c r="G167" i="1"/>
  <c r="G158" i="1"/>
  <c r="F166" i="1"/>
  <c r="E165" i="1"/>
  <c r="F167" i="1"/>
  <c r="J309" i="1"/>
  <c r="J300" i="1"/>
  <c r="I308" i="1"/>
  <c r="H307" i="1"/>
  <c r="G306" i="1"/>
  <c r="F304" i="1"/>
  <c r="E303" i="1"/>
  <c r="H254" i="1"/>
  <c r="J210" i="1"/>
  <c r="G213" i="1"/>
  <c r="F210" i="1"/>
  <c r="J160" i="1"/>
  <c r="I168" i="1"/>
  <c r="I159" i="1"/>
  <c r="H167" i="1"/>
  <c r="H158" i="1"/>
  <c r="G166" i="1"/>
  <c r="F165" i="1"/>
  <c r="E164" i="1"/>
  <c r="J302" i="1"/>
  <c r="H309" i="1"/>
  <c r="G308" i="1"/>
  <c r="F213" i="1"/>
  <c r="J308" i="1"/>
  <c r="I307" i="1"/>
  <c r="H306" i="1"/>
  <c r="G304" i="1"/>
  <c r="F303" i="1"/>
  <c r="E302" i="1"/>
  <c r="J258" i="1"/>
  <c r="I255" i="1"/>
  <c r="F258" i="1"/>
  <c r="E255" i="1"/>
  <c r="H214" i="1"/>
  <c r="G211" i="1"/>
  <c r="J168" i="1"/>
  <c r="J159" i="1"/>
  <c r="I167" i="1"/>
  <c r="I158" i="1"/>
  <c r="H166" i="1"/>
  <c r="G165" i="1"/>
  <c r="F164" i="1"/>
  <c r="E162" i="1"/>
  <c r="I301" i="1"/>
  <c r="F307" i="1"/>
  <c r="E210" i="1"/>
  <c r="J162" i="1"/>
  <c r="I161" i="1"/>
  <c r="J307" i="1"/>
  <c r="I306" i="1"/>
  <c r="H304" i="1"/>
  <c r="G303" i="1"/>
  <c r="F302" i="1"/>
  <c r="E310" i="1"/>
  <c r="E301" i="1"/>
  <c r="I254" i="1"/>
  <c r="E254" i="1"/>
  <c r="H213" i="1"/>
  <c r="G210" i="1"/>
  <c r="J167" i="1"/>
  <c r="J158" i="1"/>
  <c r="I166" i="1"/>
  <c r="H165" i="1"/>
  <c r="G164" i="1"/>
  <c r="F162" i="1"/>
  <c r="E161" i="1"/>
  <c r="H300" i="1"/>
  <c r="G168" i="1"/>
  <c r="F158" i="1"/>
  <c r="J306" i="1"/>
  <c r="I304" i="1"/>
  <c r="H303" i="1"/>
  <c r="G302" i="1"/>
  <c r="F310" i="1"/>
  <c r="F301" i="1"/>
  <c r="E309" i="1"/>
  <c r="E300" i="1"/>
  <c r="J255" i="1"/>
  <c r="G258" i="1"/>
  <c r="F255" i="1"/>
  <c r="I214" i="1"/>
  <c r="H211" i="1"/>
  <c r="E214" i="1"/>
  <c r="J166" i="1"/>
  <c r="I165" i="1"/>
  <c r="H164" i="1"/>
  <c r="G162" i="1"/>
  <c r="F161" i="1"/>
  <c r="E160" i="1"/>
  <c r="I310" i="1"/>
  <c r="E306" i="1"/>
  <c r="H160" i="1"/>
  <c r="G159" i="1"/>
  <c r="E166" i="1"/>
  <c r="J304" i="1"/>
  <c r="I303" i="1"/>
  <c r="H302" i="1"/>
  <c r="G310" i="1"/>
  <c r="G301" i="1"/>
  <c r="F309" i="1"/>
  <c r="F300" i="1"/>
  <c r="E308" i="1"/>
  <c r="J254" i="1"/>
  <c r="F254" i="1"/>
  <c r="I213" i="1"/>
  <c r="H210" i="1"/>
  <c r="E213" i="1"/>
  <c r="J165" i="1"/>
  <c r="I164" i="1"/>
  <c r="H162" i="1"/>
  <c r="G161" i="1"/>
  <c r="F160" i="1"/>
  <c r="E168" i="1"/>
  <c r="E159" i="1"/>
  <c r="G254" i="1"/>
  <c r="J303" i="1"/>
  <c r="I302" i="1"/>
  <c r="H310" i="1"/>
  <c r="H301" i="1"/>
  <c r="G309" i="1"/>
  <c r="G300" i="1"/>
  <c r="F308" i="1"/>
  <c r="E307" i="1"/>
  <c r="H258" i="1"/>
  <c r="G255" i="1"/>
  <c r="J214" i="1"/>
  <c r="I211" i="1"/>
  <c r="F214" i="1"/>
  <c r="E211" i="1"/>
  <c r="J164" i="1"/>
  <c r="I162" i="1"/>
  <c r="H161" i="1"/>
  <c r="G160" i="1"/>
  <c r="F168" i="1"/>
  <c r="F159" i="1"/>
  <c r="E167" i="1"/>
  <c r="E158" i="1"/>
  <c r="J213" i="1"/>
  <c r="I210" i="1"/>
  <c r="S274" i="1"/>
  <c r="U275" i="1"/>
  <c r="R277" i="1"/>
  <c r="U274" i="1"/>
  <c r="S277" i="1"/>
  <c r="T273" i="1"/>
  <c r="V274" i="1"/>
  <c r="R276" i="1"/>
  <c r="T277" i="1"/>
  <c r="U273" i="1"/>
  <c r="S276" i="1"/>
  <c r="U277" i="1"/>
  <c r="V275" i="1"/>
  <c r="V273" i="1"/>
  <c r="R275" i="1"/>
  <c r="T276" i="1"/>
  <c r="V277" i="1"/>
  <c r="S273" i="1"/>
  <c r="S275" i="1"/>
  <c r="U276" i="1"/>
  <c r="R274" i="1"/>
  <c r="T275" i="1"/>
  <c r="V276" i="1"/>
  <c r="J112" i="1"/>
  <c r="J103" i="1"/>
  <c r="I111" i="1"/>
  <c r="H110" i="1"/>
  <c r="G109" i="1"/>
  <c r="F107" i="1"/>
  <c r="E106" i="1"/>
  <c r="J111" i="1"/>
  <c r="I110" i="1"/>
  <c r="H109" i="1"/>
  <c r="G107" i="1"/>
  <c r="F106" i="1"/>
  <c r="E105" i="1"/>
  <c r="J110" i="1"/>
  <c r="I109" i="1"/>
  <c r="H107" i="1"/>
  <c r="G106" i="1"/>
  <c r="F105" i="1"/>
  <c r="E113" i="1"/>
  <c r="E104" i="1"/>
  <c r="E107" i="1"/>
  <c r="J109" i="1"/>
  <c r="I107" i="1"/>
  <c r="H106" i="1"/>
  <c r="G105" i="1"/>
  <c r="F113" i="1"/>
  <c r="F104" i="1"/>
  <c r="E112" i="1"/>
  <c r="E103" i="1"/>
  <c r="J107" i="1"/>
  <c r="I106" i="1"/>
  <c r="H105" i="1"/>
  <c r="G113" i="1"/>
  <c r="G104" i="1"/>
  <c r="F112" i="1"/>
  <c r="F103" i="1"/>
  <c r="E111" i="1"/>
  <c r="J106" i="1"/>
  <c r="I105" i="1"/>
  <c r="H113" i="1"/>
  <c r="H104" i="1"/>
  <c r="G112" i="1"/>
  <c r="G103" i="1"/>
  <c r="F111" i="1"/>
  <c r="E110" i="1"/>
  <c r="J113" i="1"/>
  <c r="J104" i="1"/>
  <c r="I112" i="1"/>
  <c r="I103" i="1"/>
  <c r="H111" i="1"/>
  <c r="J105" i="1"/>
  <c r="I113" i="1"/>
  <c r="I104" i="1"/>
  <c r="H112" i="1"/>
  <c r="H103" i="1"/>
  <c r="G111" i="1"/>
  <c r="F110" i="1"/>
  <c r="E109" i="1"/>
  <c r="G110" i="1"/>
  <c r="F109" i="1"/>
  <c r="I62" i="1"/>
  <c r="J58" i="1"/>
  <c r="F58" i="1"/>
  <c r="I58" i="1"/>
  <c r="J63" i="1"/>
  <c r="E59" i="1"/>
  <c r="G58" i="1"/>
  <c r="J59" i="1"/>
  <c r="H63" i="1"/>
  <c r="I59" i="1"/>
  <c r="H62" i="1"/>
  <c r="G59" i="1"/>
  <c r="F62" i="1"/>
  <c r="E58" i="1"/>
  <c r="F59" i="1"/>
  <c r="G63" i="1"/>
  <c r="H59" i="1"/>
  <c r="E63" i="1"/>
  <c r="G62" i="1"/>
  <c r="H58" i="1"/>
  <c r="E62" i="1"/>
  <c r="F63" i="1"/>
  <c r="J62" i="1"/>
  <c r="I63" i="1"/>
  <c r="J48" i="1"/>
  <c r="I48" i="1"/>
  <c r="H48" i="1"/>
  <c r="G48" i="1"/>
  <c r="F48" i="1"/>
  <c r="F41" i="1"/>
  <c r="G41" i="1"/>
  <c r="H365" i="1"/>
  <c r="G367" i="1"/>
  <c r="I365" i="1"/>
  <c r="H41" i="1"/>
  <c r="M8" i="1"/>
  <c r="M9" i="1"/>
  <c r="I56" i="1"/>
  <c r="F56" i="1"/>
  <c r="J41" i="1"/>
  <c r="G56" i="1"/>
  <c r="J56" i="1"/>
  <c r="G8" i="1"/>
  <c r="E48" i="1"/>
  <c r="E41" i="1"/>
  <c r="I366" i="1"/>
  <c r="E365" i="1"/>
  <c r="H56" i="1"/>
  <c r="J366" i="1"/>
  <c r="F365" i="1"/>
  <c r="E367" i="1"/>
  <c r="G365" i="1"/>
  <c r="F367" i="1"/>
  <c r="I41" i="1"/>
  <c r="F366" i="1"/>
  <c r="H367" i="1"/>
  <c r="J365" i="1"/>
  <c r="E56" i="1"/>
  <c r="G366" i="1"/>
  <c r="I367" i="1"/>
  <c r="M349" i="1" l="1"/>
  <c r="M348" i="1"/>
  <c r="M347" i="1"/>
  <c r="L347" i="1"/>
  <c r="L348" i="1"/>
  <c r="L349" i="1"/>
  <c r="J348" i="1"/>
  <c r="K348" i="1"/>
  <c r="K347" i="1"/>
  <c r="K349" i="1"/>
  <c r="J349" i="1"/>
  <c r="K60" i="1"/>
  <c r="J347" i="1"/>
  <c r="K64" i="1"/>
  <c r="F348" i="1"/>
  <c r="I64" i="1"/>
  <c r="G347" i="1"/>
  <c r="F60" i="1"/>
  <c r="F347" i="1"/>
  <c r="H347" i="1"/>
  <c r="G9" i="1"/>
  <c r="E60" i="1"/>
  <c r="E64" i="1"/>
  <c r="B203" i="1"/>
  <c r="B247" i="1"/>
  <c r="B291" i="1"/>
  <c r="B94" i="1"/>
  <c r="F349" i="1"/>
  <c r="G60" i="1"/>
  <c r="J64" i="1"/>
  <c r="E349" i="1"/>
  <c r="H348" i="1"/>
  <c r="G349" i="1"/>
  <c r="E348" i="1"/>
  <c r="E347" i="1"/>
  <c r="I347" i="1"/>
  <c r="F64" i="1"/>
  <c r="H64" i="1"/>
  <c r="I349" i="1"/>
  <c r="H60" i="1"/>
  <c r="H349" i="1"/>
  <c r="B253" i="1"/>
  <c r="B209" i="1"/>
  <c r="B57" i="1"/>
  <c r="B102" i="1"/>
  <c r="B157" i="1"/>
  <c r="B351" i="1"/>
  <c r="B299" i="1"/>
  <c r="G348" i="1"/>
  <c r="I348" i="1"/>
  <c r="J60" i="1"/>
  <c r="G64" i="1"/>
  <c r="B340" i="1"/>
  <c r="I60" i="1"/>
  <c r="M355" i="1" l="1"/>
  <c r="M354" i="1"/>
  <c r="M353" i="1"/>
  <c r="M352" i="1"/>
  <c r="L355" i="1"/>
  <c r="L354" i="1"/>
  <c r="L353" i="1"/>
  <c r="L352" i="1"/>
  <c r="K355" i="1"/>
  <c r="K354" i="1"/>
  <c r="K353" i="1"/>
  <c r="K352" i="1"/>
  <c r="J355" i="1"/>
  <c r="J354" i="1"/>
  <c r="H354" i="1"/>
  <c r="F354" i="1"/>
  <c r="H353" i="1"/>
  <c r="F353" i="1"/>
  <c r="H352" i="1"/>
  <c r="F352" i="1"/>
  <c r="G355" i="1"/>
  <c r="E355" i="1"/>
  <c r="G354" i="1"/>
  <c r="E354" i="1"/>
  <c r="G353" i="1"/>
  <c r="E353" i="1"/>
  <c r="G352" i="1"/>
  <c r="E352" i="1"/>
  <c r="H355" i="1"/>
  <c r="F355" i="1"/>
  <c r="J353" i="1"/>
  <c r="J352" i="1"/>
  <c r="I355" i="1"/>
  <c r="I354" i="1"/>
  <c r="I353" i="1"/>
  <c r="I352" i="1"/>
  <c r="M356" i="1" l="1"/>
  <c r="M357" i="1"/>
  <c r="M358" i="1"/>
  <c r="L358" i="1"/>
  <c r="L357" i="1"/>
  <c r="L356" i="1"/>
  <c r="F356" i="1"/>
  <c r="H356" i="1"/>
  <c r="I356" i="1"/>
  <c r="K356" i="1"/>
  <c r="K357" i="1"/>
  <c r="G356" i="1"/>
  <c r="K358" i="1"/>
  <c r="E356" i="1"/>
  <c r="J356" i="1"/>
  <c r="F357" i="1"/>
  <c r="F358" i="1"/>
  <c r="I358" i="1"/>
  <c r="I357" i="1"/>
  <c r="H357" i="1"/>
  <c r="H358" i="1"/>
  <c r="G357" i="1"/>
  <c r="J357" i="1"/>
  <c r="E357" i="1"/>
  <c r="G358" i="1"/>
  <c r="J358" i="1"/>
  <c r="E358" i="1"/>
  <c r="D2" i="8" l="1"/>
  <c r="V278" i="1" l="1"/>
  <c r="T278" i="1"/>
  <c r="D5" i="8"/>
  <c r="D6" i="8" l="1"/>
  <c r="D3" i="8"/>
  <c r="D10" i="8"/>
  <c r="D7" i="8"/>
  <c r="D8" i="8"/>
  <c r="R278" i="1"/>
  <c r="U278" i="1"/>
  <c r="S278" i="1"/>
  <c r="W278" i="1"/>
  <c r="D4" i="8"/>
  <c r="D131" i="8"/>
  <c r="D296" i="8"/>
  <c r="D76" i="8"/>
  <c r="D167" i="8"/>
  <c r="D307" i="8"/>
  <c r="D89" i="8"/>
  <c r="D79" i="8"/>
  <c r="D83" i="8"/>
  <c r="D108" i="8"/>
  <c r="D50" i="8"/>
  <c r="D191" i="8"/>
  <c r="D144" i="8"/>
  <c r="D300" i="8"/>
  <c r="D277" i="8"/>
  <c r="D101" i="8"/>
  <c r="D58" i="8"/>
  <c r="D75" i="8"/>
  <c r="D17" i="8"/>
  <c r="D207" i="8"/>
  <c r="D268" i="8"/>
  <c r="D114" i="8"/>
  <c r="D222" i="8"/>
  <c r="D139" i="8"/>
  <c r="D182" i="8"/>
  <c r="D44" i="8"/>
  <c r="D138" i="8"/>
  <c r="D289" i="8"/>
  <c r="D19" i="8"/>
  <c r="D291" i="8"/>
  <c r="D172" i="8"/>
  <c r="D198" i="8"/>
  <c r="D90" i="8"/>
  <c r="D45" i="8"/>
  <c r="D165" i="8"/>
  <c r="D264" i="8"/>
  <c r="D149" i="8"/>
  <c r="D115" i="8"/>
  <c r="D190" i="8"/>
  <c r="D153" i="8"/>
  <c r="D43" i="8"/>
  <c r="D119" i="8"/>
  <c r="D242" i="8"/>
  <c r="D170" i="8"/>
  <c r="D247" i="8"/>
  <c r="D62" i="8"/>
  <c r="D275" i="8"/>
  <c r="D240" i="8"/>
  <c r="D23" i="8"/>
  <c r="D127" i="8"/>
  <c r="D185" i="8"/>
  <c r="D249" i="8"/>
  <c r="D248" i="8"/>
  <c r="D15" i="8"/>
  <c r="D183" i="8"/>
  <c r="D232" i="8"/>
  <c r="D107" i="8"/>
  <c r="D270" i="8"/>
  <c r="D81" i="8"/>
  <c r="D57" i="8"/>
  <c r="D255" i="8"/>
  <c r="D215" i="8"/>
  <c r="D229" i="8"/>
  <c r="D219" i="8"/>
  <c r="D202" i="8"/>
  <c r="D199" i="8"/>
  <c r="D309" i="8"/>
  <c r="D26" i="8"/>
  <c r="D188" i="8"/>
  <c r="D99" i="8"/>
  <c r="D156" i="8"/>
  <c r="D39" i="8"/>
  <c r="D179" i="8"/>
  <c r="D295" i="8"/>
  <c r="D195" i="8"/>
  <c r="D28" i="8"/>
  <c r="D73" i="8"/>
  <c r="D217" i="8"/>
  <c r="D142" i="8"/>
  <c r="D241" i="8"/>
  <c r="D203" i="8"/>
  <c r="D258" i="8"/>
  <c r="D163" i="8"/>
  <c r="D103" i="8"/>
  <c r="D9" i="8"/>
  <c r="D282" i="8"/>
  <c r="D158" i="8"/>
  <c r="D228" i="8"/>
  <c r="D98" i="8"/>
  <c r="D25" i="8"/>
  <c r="D168" i="8"/>
  <c r="D145" i="8"/>
  <c r="D29" i="8"/>
  <c r="D257" i="8"/>
  <c r="D186" i="8"/>
  <c r="D221" i="8"/>
  <c r="D157" i="8"/>
  <c r="D49" i="8"/>
  <c r="D95" i="8"/>
  <c r="D187" i="8"/>
  <c r="D256" i="8"/>
  <c r="D20" i="8"/>
  <c r="D181" i="8"/>
  <c r="D121" i="8"/>
  <c r="D214" i="8"/>
  <c r="D147" i="8"/>
  <c r="D77" i="8"/>
  <c r="D146" i="8"/>
  <c r="D227" i="8"/>
  <c r="D130" i="8"/>
  <c r="D310" i="8"/>
  <c r="D192" i="8"/>
  <c r="D82" i="8"/>
  <c r="D60" i="8"/>
  <c r="D91" i="8"/>
  <c r="D272" i="8"/>
  <c r="D283" i="8"/>
  <c r="D34" i="8"/>
  <c r="D93" i="8"/>
  <c r="D64" i="8"/>
  <c r="D47" i="8"/>
  <c r="D213" i="8"/>
  <c r="D134" i="8"/>
  <c r="D31" i="8"/>
  <c r="D298" i="8"/>
  <c r="D96" i="8"/>
  <c r="D11" i="8"/>
  <c r="D161" i="8"/>
  <c r="D220" i="8"/>
  <c r="D51" i="8"/>
  <c r="D164" i="8"/>
  <c r="D281" i="8"/>
  <c r="D125" i="8"/>
  <c r="D189" i="8"/>
  <c r="D305" i="8"/>
  <c r="D254" i="8"/>
  <c r="D299" i="8"/>
  <c r="D175" i="8"/>
  <c r="D65" i="8"/>
  <c r="D143" i="8"/>
  <c r="D33" i="8"/>
  <c r="D141" i="8"/>
  <c r="D285" i="8"/>
  <c r="D35" i="8"/>
  <c r="D260" i="8"/>
  <c r="D196" i="8"/>
  <c r="D140" i="8"/>
  <c r="D200" i="8"/>
  <c r="D42" i="8"/>
  <c r="D92" i="8"/>
  <c r="D245" i="8"/>
  <c r="D69" i="8"/>
  <c r="D239" i="8"/>
  <c r="D259" i="8"/>
  <c r="D303" i="8"/>
  <c r="D171" i="8"/>
  <c r="D274" i="8"/>
  <c r="D18" i="8"/>
  <c r="D100" i="8"/>
  <c r="D78" i="8"/>
  <c r="D27" i="8"/>
  <c r="D16" i="8"/>
  <c r="D12" i="8"/>
  <c r="D194" i="8"/>
  <c r="D197" i="8"/>
  <c r="D263" i="8"/>
  <c r="D216" i="8"/>
  <c r="D67" i="8"/>
  <c r="D111" i="8"/>
  <c r="D225" i="8"/>
  <c r="D244" i="8"/>
  <c r="D71" i="8"/>
  <c r="D301" i="8"/>
  <c r="D174" i="8"/>
  <c r="D276" i="8"/>
  <c r="D250" i="8"/>
  <c r="D278" i="8"/>
  <c r="D235" i="8"/>
  <c r="D94" i="8"/>
  <c r="D160" i="8"/>
  <c r="D72" i="8"/>
  <c r="D238" i="8"/>
  <c r="D133" i="8"/>
  <c r="D166" i="8"/>
  <c r="D104" i="8"/>
  <c r="D288" i="8"/>
  <c r="D21" i="8"/>
  <c r="D308" i="8"/>
  <c r="D218" i="8"/>
  <c r="D290" i="8"/>
  <c r="D116" i="8"/>
  <c r="D224" i="8"/>
  <c r="D38" i="8"/>
  <c r="D41" i="8"/>
  <c r="D105" i="8"/>
  <c r="D284" i="8"/>
  <c r="D209" i="8"/>
  <c r="D293" i="8"/>
  <c r="D211" i="8"/>
  <c r="D32" i="8"/>
  <c r="D271" i="8"/>
  <c r="D204" i="8"/>
  <c r="D129" i="8"/>
  <c r="D97" i="8"/>
  <c r="D24" i="8"/>
  <c r="D184" i="8"/>
  <c r="D37" i="8"/>
  <c r="D261" i="8"/>
  <c r="D152" i="8"/>
  <c r="D267" i="8"/>
  <c r="D56" i="8"/>
  <c r="D151" i="8"/>
  <c r="D85" i="8"/>
  <c r="D252" i="8"/>
  <c r="D30" i="8"/>
  <c r="D124" i="8"/>
  <c r="D223" i="8"/>
  <c r="D132" i="8"/>
  <c r="D36" i="8"/>
  <c r="D120" i="8"/>
  <c r="D178" i="8"/>
  <c r="D180" i="8"/>
  <c r="D280" i="8"/>
  <c r="D306" i="8"/>
  <c r="D231" i="8"/>
  <c r="D279" i="8"/>
  <c r="D84" i="8"/>
  <c r="D266" i="8"/>
  <c r="D251" i="8"/>
  <c r="D14" i="8"/>
  <c r="D201" i="8"/>
  <c r="D206" i="8"/>
  <c r="D176" i="8"/>
  <c r="D193" i="8"/>
  <c r="D122" i="8"/>
  <c r="D135" i="8"/>
  <c r="D243" i="8"/>
  <c r="D287" i="8"/>
  <c r="D253" i="8"/>
  <c r="D123" i="8"/>
  <c r="D154" i="8"/>
  <c r="D61" i="8"/>
  <c r="D106" i="8"/>
  <c r="D13" i="8"/>
  <c r="D113" i="8"/>
  <c r="D87" i="8"/>
  <c r="D173" i="8"/>
  <c r="D54" i="8"/>
  <c r="D117" i="8"/>
  <c r="D109" i="8"/>
  <c r="D292" i="8"/>
  <c r="D230" i="8"/>
  <c r="D46" i="8"/>
  <c r="D269" i="8"/>
  <c r="D304" i="8"/>
  <c r="D233" i="8"/>
  <c r="D226" i="8"/>
  <c r="D302" i="8"/>
  <c r="D68" i="8"/>
  <c r="D22" i="8"/>
  <c r="D88" i="8"/>
  <c r="D74" i="8"/>
  <c r="D155" i="8"/>
  <c r="D273" i="8"/>
  <c r="D265" i="8"/>
  <c r="D128" i="8"/>
  <c r="D86" i="8"/>
  <c r="D137" i="8"/>
  <c r="D286" i="8"/>
  <c r="D162" i="8"/>
  <c r="D80" i="8"/>
  <c r="D294" i="8"/>
  <c r="D159" i="8"/>
  <c r="D55" i="8"/>
  <c r="D212" i="8"/>
  <c r="D110" i="8"/>
  <c r="D70" i="8"/>
  <c r="D40" i="8"/>
  <c r="D63" i="8"/>
  <c r="D297" i="8"/>
  <c r="D48" i="8"/>
  <c r="D126" i="8"/>
  <c r="D177" i="8"/>
  <c r="D205" i="8"/>
  <c r="D148" i="8"/>
  <c r="D236" i="8"/>
  <c r="D169" i="8"/>
  <c r="D150" i="8"/>
  <c r="D237" i="8"/>
  <c r="D59" i="8"/>
  <c r="D52" i="8"/>
  <c r="D102" i="8"/>
  <c r="D136" i="8"/>
  <c r="D210" i="8"/>
  <c r="D234" i="8"/>
  <c r="D66" i="8"/>
  <c r="D246" i="8"/>
  <c r="D112" i="8"/>
  <c r="D262" i="8"/>
  <c r="D208" i="8"/>
  <c r="D53" i="8"/>
  <c r="D118" i="8"/>
  <c r="C2" i="8" l="1"/>
  <c r="C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Nick Parker</author>
  </authors>
  <commentList>
    <comment ref="F3" authorId="0" shapeId="0" xr:uid="{9C8AE054-F2B4-4B25-8B54-AE1EE4A136CF}">
      <text>
        <r>
          <rPr>
            <b/>
            <sz val="9"/>
            <color indexed="81"/>
            <rFont val="Tahoma"/>
            <family val="2"/>
          </rPr>
          <t>To search for a local authority area, either click in the blank box then click the arrow to select an area name from the list of all areas, or enter a search term in the box, press enter, then click the arrow to select from matching names. To reset, use the delete key to clear the search box.</t>
        </r>
        <r>
          <rPr>
            <sz val="9"/>
            <color indexed="81"/>
            <rFont val="Tahoma"/>
            <family val="2"/>
          </rPr>
          <t xml:space="preserve">
</t>
        </r>
      </text>
    </comment>
  </commentList>
</comments>
</file>

<file path=xl/sharedStrings.xml><?xml version="1.0" encoding="utf-8"?>
<sst xmlns="http://schemas.openxmlformats.org/spreadsheetml/2006/main" count="8139" uniqueCount="825">
  <si>
    <t>Change</t>
  </si>
  <si>
    <t xml:space="preserve">Region </t>
  </si>
  <si>
    <t>PRPs operating in the LA area:</t>
  </si>
  <si>
    <t>Small PRPs in the LA area:</t>
  </si>
  <si>
    <t>PRPs operating in the region:</t>
  </si>
  <si>
    <t>Large PRPs In the LA Area:</t>
  </si>
  <si>
    <r>
      <t xml:space="preserve">Provision Type </t>
    </r>
    <r>
      <rPr>
        <sz val="8"/>
        <color theme="1"/>
        <rFont val="Arial"/>
        <family val="2"/>
      </rPr>
      <t>(including Affordable Rent units in GN, SH and HOP)</t>
    </r>
  </si>
  <si>
    <t>Low cost rental</t>
  </si>
  <si>
    <t>General needs</t>
  </si>
  <si>
    <t>Supported housing</t>
  </si>
  <si>
    <t>Housing for older people</t>
  </si>
  <si>
    <t>Low cost home ownership (LCHO)</t>
  </si>
  <si>
    <t>Total</t>
  </si>
  <si>
    <t>England</t>
  </si>
  <si>
    <t>Decent Homes Standard (DHS)</t>
  </si>
  <si>
    <t>Total social rented stock owned (GN, SH and HOP)</t>
  </si>
  <si>
    <t>Total number of units owned which failed the DHS</t>
  </si>
  <si>
    <t>Percentage of units owned which failed the DHS</t>
  </si>
  <si>
    <t>Net rent</t>
  </si>
  <si>
    <t>Service charge^</t>
  </si>
  <si>
    <t>Gross rent^</t>
  </si>
  <si>
    <t>Unit count</t>
  </si>
  <si>
    <t xml:space="preserve">^ The average service charge relates only to the stock which has a service charge (i.e., zero service charges are not included). However, gross rent does include stock with no service charge.  The sum of the net rent and service charge presented in this table does not equal the gross rent.  </t>
  </si>
  <si>
    <t>Affordable Rent general needs</t>
  </si>
  <si>
    <t>Gross rent</t>
  </si>
  <si>
    <t>Sales by PRPs by type - Large PRPs only</t>
  </si>
  <si>
    <t>Total sales to registered providers</t>
  </si>
  <si>
    <t>Total sales to tenants</t>
  </si>
  <si>
    <t>Total sales to other</t>
  </si>
  <si>
    <t>Total vacant general needs self-contained units</t>
  </si>
  <si>
    <t xml:space="preserve">General needs - self contained - owned </t>
  </si>
  <si>
    <t>Vacant and available for letting</t>
  </si>
  <si>
    <t>Vacant and not available for letting</t>
  </si>
  <si>
    <t>Total number of vacant units</t>
  </si>
  <si>
    <t>% of units vacant</t>
  </si>
  <si>
    <t>% of units vacant and available for letting</t>
  </si>
  <si>
    <t>Large PRPs only - unweighted.</t>
  </si>
  <si>
    <t>Includes intermediate rent and Affordable Rent general needs units</t>
  </si>
  <si>
    <t>Table 1</t>
  </si>
  <si>
    <t>Table 2</t>
  </si>
  <si>
    <t>Table 3</t>
  </si>
  <si>
    <t>Table 4</t>
  </si>
  <si>
    <t>Table 5</t>
  </si>
  <si>
    <t>Table 6</t>
  </si>
  <si>
    <t>Table 7</t>
  </si>
  <si>
    <t>Table 8</t>
  </si>
  <si>
    <t>LA code</t>
  </si>
  <si>
    <t>Local Authority name</t>
  </si>
  <si>
    <t>GNSC - ALL PRPS</t>
  </si>
  <si>
    <t>GNBSPs  - ALL PRPS</t>
  </si>
  <si>
    <t>SH - ALL PRPS</t>
  </si>
  <si>
    <t>HOP - ALL PRPS</t>
  </si>
  <si>
    <t>LCHO &lt;100% Equity LARGE ONLY</t>
  </si>
  <si>
    <t>All Stock - ALL PRPS (LCHO LARGE ONLY)</t>
  </si>
  <si>
    <t>Rental Stock Total - ALL PRPS</t>
  </si>
  <si>
    <t>DHS_Fails - ALL PRPS</t>
  </si>
  <si>
    <t>Average_GN_NET</t>
  </si>
  <si>
    <t>Combined_Tot_GN_All_Soc_Rent</t>
  </si>
  <si>
    <t>Service Charge</t>
  </si>
  <si>
    <t>Gross_Rent</t>
  </si>
  <si>
    <t>GN_SOCIAL RENT_UNIT_COUNT (EXCLUDES AR)</t>
  </si>
  <si>
    <t>Net Rent</t>
  </si>
  <si>
    <t>Social Rent</t>
  </si>
  <si>
    <t>Gross Rent</t>
  </si>
  <si>
    <t>Unit Count</t>
  </si>
  <si>
    <t>GN_Aff_Rnt</t>
  </si>
  <si>
    <t>Tot_GN_Aff_Rnt_Units</t>
  </si>
  <si>
    <t>AR SH/HOP - Gross Rent - LA</t>
  </si>
  <si>
    <t>AR SH/HOP - Unit Count - LA</t>
  </si>
  <si>
    <t>SBS244_LA_SBS_Tot_Sale_RP</t>
  </si>
  <si>
    <t>SBS245_LA_SBS_Tot_Sale_Ten</t>
  </si>
  <si>
    <t>SBS246_LA_SBS_Tot_Sale_Other</t>
  </si>
  <si>
    <t>CLCHO015_LA_Fst_Tran_Sale_LCHO</t>
  </si>
  <si>
    <t>CLCHO016_LA_100Perc_Stair_Sale_LCHO</t>
  </si>
  <si>
    <t>NEW Large PRP - GN SC stock</t>
  </si>
  <si>
    <t>SU065_LA_Vac_avail_GN_SC</t>
  </si>
  <si>
    <t>SU066_LA_Vac_not_avail_GN_SC</t>
  </si>
  <si>
    <t>SU067_Tot_vac_GN_SC</t>
  </si>
  <si>
    <t>East Midlands</t>
  </si>
  <si>
    <t>East of England</t>
  </si>
  <si>
    <t>London</t>
  </si>
  <si>
    <t>North East</t>
  </si>
  <si>
    <t>North West</t>
  </si>
  <si>
    <t>South East</t>
  </si>
  <si>
    <t>South West</t>
  </si>
  <si>
    <t>West Midlands</t>
  </si>
  <si>
    <t>E07000223</t>
  </si>
  <si>
    <t>Adur</t>
  </si>
  <si>
    <t>E07000026</t>
  </si>
  <si>
    <t>Allerdale</t>
  </si>
  <si>
    <t>E07000032</t>
  </si>
  <si>
    <t>Amber Valley</t>
  </si>
  <si>
    <t>E07000224</t>
  </si>
  <si>
    <t>Arun</t>
  </si>
  <si>
    <t>E07000170</t>
  </si>
  <si>
    <t>Ashfield</t>
  </si>
  <si>
    <t>E07000105</t>
  </si>
  <si>
    <t>Ashford</t>
  </si>
  <si>
    <t>E07000200</t>
  </si>
  <si>
    <t>Babergh</t>
  </si>
  <si>
    <t>E09000002</t>
  </si>
  <si>
    <t>Barking and Dagenham</t>
  </si>
  <si>
    <t>E09000003</t>
  </si>
  <si>
    <t>Barnet</t>
  </si>
  <si>
    <t>E08000016</t>
  </si>
  <si>
    <t>Barnsley</t>
  </si>
  <si>
    <t>E07000027</t>
  </si>
  <si>
    <t>Barrow-in-Furness</t>
  </si>
  <si>
    <t>E07000066</t>
  </si>
  <si>
    <t>Basildon</t>
  </si>
  <si>
    <t>E07000084</t>
  </si>
  <si>
    <t>Basingstoke and Deane</t>
  </si>
  <si>
    <t>E07000171</t>
  </si>
  <si>
    <t>Bassetlaw</t>
  </si>
  <si>
    <t>E06000022</t>
  </si>
  <si>
    <t>Bath and North East Somerset</t>
  </si>
  <si>
    <t>E06000055</t>
  </si>
  <si>
    <t>Bedford</t>
  </si>
  <si>
    <t>E09000004</t>
  </si>
  <si>
    <t>Bexley</t>
  </si>
  <si>
    <t>E08000025</t>
  </si>
  <si>
    <t>Birmingham</t>
  </si>
  <si>
    <t>E07000129</t>
  </si>
  <si>
    <t>Blaby</t>
  </si>
  <si>
    <t>E06000008</t>
  </si>
  <si>
    <t>Blackburn with Darwen</t>
  </si>
  <si>
    <t>E06000009</t>
  </si>
  <si>
    <t>Blackpool</t>
  </si>
  <si>
    <t>E07000033</t>
  </si>
  <si>
    <t>Bolsover</t>
  </si>
  <si>
    <t>E08000001</t>
  </si>
  <si>
    <t>Bolton</t>
  </si>
  <si>
    <t>E07000136</t>
  </si>
  <si>
    <t>Boston</t>
  </si>
  <si>
    <t>E06000058</t>
  </si>
  <si>
    <t>Bournemouth Christchurch and Poole</t>
  </si>
  <si>
    <t>E06000036</t>
  </si>
  <si>
    <t>Bracknell Forest</t>
  </si>
  <si>
    <t>E08000032</t>
  </si>
  <si>
    <t>Bradford</t>
  </si>
  <si>
    <t>E07000067</t>
  </si>
  <si>
    <t>Braintree</t>
  </si>
  <si>
    <t>E07000143</t>
  </si>
  <si>
    <t>Breckland</t>
  </si>
  <si>
    <t>E09000005</t>
  </si>
  <si>
    <t>Brent</t>
  </si>
  <si>
    <t>E07000068</t>
  </si>
  <si>
    <t>Brentwood</t>
  </si>
  <si>
    <t>E06000043</t>
  </si>
  <si>
    <t>Brighton and Hove</t>
  </si>
  <si>
    <t>E06000023</t>
  </si>
  <si>
    <t>Bristol, City of</t>
  </si>
  <si>
    <t>E07000144</t>
  </si>
  <si>
    <t>Broadland</t>
  </si>
  <si>
    <t>E09000006</t>
  </si>
  <si>
    <t>Bromley</t>
  </si>
  <si>
    <t>E07000234</t>
  </si>
  <si>
    <t>Bromsgrove</t>
  </si>
  <si>
    <t>E07000095</t>
  </si>
  <si>
    <t>Broxbourne</t>
  </si>
  <si>
    <t>E07000172</t>
  </si>
  <si>
    <t>Broxtowe</t>
  </si>
  <si>
    <t>E07000117</t>
  </si>
  <si>
    <t>Burnley</t>
  </si>
  <si>
    <t>E08000002</t>
  </si>
  <si>
    <t>Bury</t>
  </si>
  <si>
    <t>E08000033</t>
  </si>
  <si>
    <t>Calderdale</t>
  </si>
  <si>
    <t>E07000008</t>
  </si>
  <si>
    <t>Cambridge</t>
  </si>
  <si>
    <t>E09000007</t>
  </si>
  <si>
    <t>Camden</t>
  </si>
  <si>
    <t>E07000192</t>
  </si>
  <si>
    <t>Cannock Chase</t>
  </si>
  <si>
    <t>E07000106</t>
  </si>
  <si>
    <t>Canterbury</t>
  </si>
  <si>
    <t>E07000028</t>
  </si>
  <si>
    <t>Carlisle</t>
  </si>
  <si>
    <t>E07000069</t>
  </si>
  <si>
    <t>Castle Point</t>
  </si>
  <si>
    <t>E06000056</t>
  </si>
  <si>
    <t>Central Bedfordshire</t>
  </si>
  <si>
    <t>E07000130</t>
  </si>
  <si>
    <t>Charnwood</t>
  </si>
  <si>
    <t>E07000070</t>
  </si>
  <si>
    <t>Chelmsford</t>
  </si>
  <si>
    <t>E07000078</t>
  </si>
  <si>
    <t>Cheltenham</t>
  </si>
  <si>
    <t>E07000177</t>
  </si>
  <si>
    <t>Cherwell</t>
  </si>
  <si>
    <t>E06000049</t>
  </si>
  <si>
    <t>Cheshire East</t>
  </si>
  <si>
    <t>E06000050</t>
  </si>
  <si>
    <t>Cheshire West and Chester</t>
  </si>
  <si>
    <t>E07000034</t>
  </si>
  <si>
    <t>Chesterfield</t>
  </si>
  <si>
    <t>E07000225</t>
  </si>
  <si>
    <t>Chichester</t>
  </si>
  <si>
    <t>E07000118</t>
  </si>
  <si>
    <t>Chorley</t>
  </si>
  <si>
    <t>E09000001</t>
  </si>
  <si>
    <t>City of London</t>
  </si>
  <si>
    <t>E07000071</t>
  </si>
  <si>
    <t>Colchester</t>
  </si>
  <si>
    <t>E07000029</t>
  </si>
  <si>
    <t>Copeland</t>
  </si>
  <si>
    <t>E06000052</t>
  </si>
  <si>
    <t>Cornwall</t>
  </si>
  <si>
    <t>E07000079</t>
  </si>
  <si>
    <t>Cotswold</t>
  </si>
  <si>
    <t>E06000047</t>
  </si>
  <si>
    <t>County Durham</t>
  </si>
  <si>
    <t>E08000026</t>
  </si>
  <si>
    <t>Coventry</t>
  </si>
  <si>
    <t>E07000163</t>
  </si>
  <si>
    <t>Craven</t>
  </si>
  <si>
    <t>E07000226</t>
  </si>
  <si>
    <t>Crawley</t>
  </si>
  <si>
    <t>E09000008</t>
  </si>
  <si>
    <t>Croydon</t>
  </si>
  <si>
    <t>E07000096</t>
  </si>
  <si>
    <t>Dacorum</t>
  </si>
  <si>
    <t>E06000005</t>
  </si>
  <si>
    <t>Darlington</t>
  </si>
  <si>
    <t>E07000107</t>
  </si>
  <si>
    <t>Dartford</t>
  </si>
  <si>
    <t>E06000015</t>
  </si>
  <si>
    <t>Derby</t>
  </si>
  <si>
    <t>E07000035</t>
  </si>
  <si>
    <t>Derbyshire Dales</t>
  </si>
  <si>
    <t>E08000017</t>
  </si>
  <si>
    <t>Doncaster</t>
  </si>
  <si>
    <t>E06000059</t>
  </si>
  <si>
    <t>Dorset</t>
  </si>
  <si>
    <t>E07000108</t>
  </si>
  <si>
    <t>Dover</t>
  </si>
  <si>
    <t>E08000027</t>
  </si>
  <si>
    <t>Dudley</t>
  </si>
  <si>
    <t>E09000009</t>
  </si>
  <si>
    <t>Ealing</t>
  </si>
  <si>
    <t>E07000009</t>
  </si>
  <si>
    <t>East Cambridgeshire</t>
  </si>
  <si>
    <t>E07000040</t>
  </si>
  <si>
    <t>East Devon</t>
  </si>
  <si>
    <t>E07000085</t>
  </si>
  <si>
    <t>East Hampshire</t>
  </si>
  <si>
    <t>E07000242</t>
  </si>
  <si>
    <t>East Hertfordshire</t>
  </si>
  <si>
    <t>E07000137</t>
  </si>
  <si>
    <t>East Lindsey</t>
  </si>
  <si>
    <t>E06000011</t>
  </si>
  <si>
    <t>East Riding of Yorkshire</t>
  </si>
  <si>
    <t>E07000193</t>
  </si>
  <si>
    <t>East Staffordshire</t>
  </si>
  <si>
    <t>E07000244</t>
  </si>
  <si>
    <t>East Suffolk</t>
  </si>
  <si>
    <t>E07000061</t>
  </si>
  <si>
    <t>Eastbourne</t>
  </si>
  <si>
    <t>E07000086</t>
  </si>
  <si>
    <t>Eastleigh</t>
  </si>
  <si>
    <t>E07000030</t>
  </si>
  <si>
    <t>Eden</t>
  </si>
  <si>
    <t>E07000207</t>
  </si>
  <si>
    <t>Elmbridge</t>
  </si>
  <si>
    <t>E09000010</t>
  </si>
  <si>
    <t>Enfield</t>
  </si>
  <si>
    <t>E07000072</t>
  </si>
  <si>
    <t>Epping Forest</t>
  </si>
  <si>
    <t>E07000208</t>
  </si>
  <si>
    <t>Epsom and Ewell</t>
  </si>
  <si>
    <t>E07000036</t>
  </si>
  <si>
    <t>Erewash</t>
  </si>
  <si>
    <t>E07000041</t>
  </si>
  <si>
    <t>Exeter</t>
  </si>
  <si>
    <t>E07000087</t>
  </si>
  <si>
    <t>Fareham</t>
  </si>
  <si>
    <t>E07000010</t>
  </si>
  <si>
    <t>Fenland</t>
  </si>
  <si>
    <t>E07000112</t>
  </si>
  <si>
    <t>Folkestone and Hythe</t>
  </si>
  <si>
    <t>E07000080</t>
  </si>
  <si>
    <t>Forest of Dean</t>
  </si>
  <si>
    <t>E07000119</t>
  </si>
  <si>
    <t>Fylde</t>
  </si>
  <si>
    <t>E08000037</t>
  </si>
  <si>
    <t>Gateshead</t>
  </si>
  <si>
    <t>E07000173</t>
  </si>
  <si>
    <t>Gedling</t>
  </si>
  <si>
    <t>E07000081</t>
  </si>
  <si>
    <t>Gloucester</t>
  </si>
  <si>
    <t>E07000088</t>
  </si>
  <si>
    <t>Gosport</t>
  </si>
  <si>
    <t>E07000109</t>
  </si>
  <si>
    <t>Gravesham</t>
  </si>
  <si>
    <t>E07000145</t>
  </si>
  <si>
    <t>Great Yarmouth</t>
  </si>
  <si>
    <t>E09000011</t>
  </si>
  <si>
    <t>Greenwich</t>
  </si>
  <si>
    <t>E07000209</t>
  </si>
  <si>
    <t>Guildford</t>
  </si>
  <si>
    <t>E09000012</t>
  </si>
  <si>
    <t>Hackney</t>
  </si>
  <si>
    <t>E06000006</t>
  </si>
  <si>
    <t>Halton</t>
  </si>
  <si>
    <t>E07000164</t>
  </si>
  <si>
    <t>Hambleton</t>
  </si>
  <si>
    <t>E09000013</t>
  </si>
  <si>
    <t>Hammersmith and Fulham</t>
  </si>
  <si>
    <t>E07000131</t>
  </si>
  <si>
    <t>Harborough</t>
  </si>
  <si>
    <t>E09000014</t>
  </si>
  <si>
    <t>Haringey</t>
  </si>
  <si>
    <t>E07000073</t>
  </si>
  <si>
    <t>Harlow</t>
  </si>
  <si>
    <t>E07000165</t>
  </si>
  <si>
    <t>Harrogate</t>
  </si>
  <si>
    <t>E09000015</t>
  </si>
  <si>
    <t>Harrow</t>
  </si>
  <si>
    <t>E07000089</t>
  </si>
  <si>
    <t>Hart</t>
  </si>
  <si>
    <t>E06000001</t>
  </si>
  <si>
    <t>Hartlepool</t>
  </si>
  <si>
    <t>E07000062</t>
  </si>
  <si>
    <t>Hastings</t>
  </si>
  <si>
    <t>E07000090</t>
  </si>
  <si>
    <t>Havant</t>
  </si>
  <si>
    <t>E09000016</t>
  </si>
  <si>
    <t>Havering</t>
  </si>
  <si>
    <t>E06000019</t>
  </si>
  <si>
    <t>Herefordshire, County of</t>
  </si>
  <si>
    <t>E07000098</t>
  </si>
  <si>
    <t>Hertsmere</t>
  </si>
  <si>
    <t>E07000037</t>
  </si>
  <si>
    <t>High Peak</t>
  </si>
  <si>
    <t>E09000017</t>
  </si>
  <si>
    <t>Hillingdon</t>
  </si>
  <si>
    <t>E07000132</t>
  </si>
  <si>
    <t>Hinckley and Bosworth</t>
  </si>
  <si>
    <t>E07000227</t>
  </si>
  <si>
    <t>Horsham</t>
  </si>
  <si>
    <t>E09000018</t>
  </si>
  <si>
    <t>Hounslow</t>
  </si>
  <si>
    <t>E07000011</t>
  </si>
  <si>
    <t>Huntingdonshire</t>
  </si>
  <si>
    <t>E07000120</t>
  </si>
  <si>
    <t>Hyndburn</t>
  </si>
  <si>
    <t>E07000202</t>
  </si>
  <si>
    <t>Ipswich</t>
  </si>
  <si>
    <t>E06000046</t>
  </si>
  <si>
    <t>Isle of Wight</t>
  </si>
  <si>
    <t>E06000053</t>
  </si>
  <si>
    <t>Isles of Scilly</t>
  </si>
  <si>
    <t>E09000019</t>
  </si>
  <si>
    <t>Islington</t>
  </si>
  <si>
    <t>E09000020</t>
  </si>
  <si>
    <t>Kensington and Chelsea</t>
  </si>
  <si>
    <t>E07000146</t>
  </si>
  <si>
    <t>King's Lynn and West Norfolk</t>
  </si>
  <si>
    <t>E06000010</t>
  </si>
  <si>
    <t>Kingston upon Hull, City of</t>
  </si>
  <si>
    <t>E09000021</t>
  </si>
  <si>
    <t>Kingston upon Thames</t>
  </si>
  <si>
    <t>E08000034</t>
  </si>
  <si>
    <t>Kirklees</t>
  </si>
  <si>
    <t>E08000011</t>
  </si>
  <si>
    <t>Knowsley</t>
  </si>
  <si>
    <t>E09000022</t>
  </si>
  <si>
    <t>Lambeth</t>
  </si>
  <si>
    <t>E07000121</t>
  </si>
  <si>
    <t>Lancaster</t>
  </si>
  <si>
    <t>E08000035</t>
  </si>
  <si>
    <t>Leeds</t>
  </si>
  <si>
    <t>E06000016</t>
  </si>
  <si>
    <t>Leicester</t>
  </si>
  <si>
    <t>E07000063</t>
  </si>
  <si>
    <t>Lewes</t>
  </si>
  <si>
    <t>E09000023</t>
  </si>
  <si>
    <t>Lewisham</t>
  </si>
  <si>
    <t>E07000194</t>
  </si>
  <si>
    <t>Lichfield</t>
  </si>
  <si>
    <t>E07000138</t>
  </si>
  <si>
    <t>Lincoln</t>
  </si>
  <si>
    <t>E08000012</t>
  </si>
  <si>
    <t>Liverpool</t>
  </si>
  <si>
    <t>E06000032</t>
  </si>
  <si>
    <t>Luton</t>
  </si>
  <si>
    <t>E07000110</t>
  </si>
  <si>
    <t>Maidstone</t>
  </si>
  <si>
    <t>E07000074</t>
  </si>
  <si>
    <t>Maldon</t>
  </si>
  <si>
    <t>E07000235</t>
  </si>
  <si>
    <t>Malvern Hills</t>
  </si>
  <si>
    <t>E08000003</t>
  </si>
  <si>
    <t>Manchester</t>
  </si>
  <si>
    <t>E07000174</t>
  </si>
  <si>
    <t>Mansfield</t>
  </si>
  <si>
    <t>E06000035</t>
  </si>
  <si>
    <t>Medway</t>
  </si>
  <si>
    <t>E07000133</t>
  </si>
  <si>
    <t>Melton</t>
  </si>
  <si>
    <t>E07000187</t>
  </si>
  <si>
    <t>Mendip</t>
  </si>
  <si>
    <t>E09000024</t>
  </si>
  <si>
    <t>Merton</t>
  </si>
  <si>
    <t>E07000042</t>
  </si>
  <si>
    <t>Mid Devon</t>
  </si>
  <si>
    <t>E07000203</t>
  </si>
  <si>
    <t>Mid Suffolk</t>
  </si>
  <si>
    <t>E07000228</t>
  </si>
  <si>
    <t>Mid Sussex</t>
  </si>
  <si>
    <t>E06000002</t>
  </si>
  <si>
    <t>Middlesbrough</t>
  </si>
  <si>
    <t>E06000042</t>
  </si>
  <si>
    <t>Milton Keynes</t>
  </si>
  <si>
    <t>E07000210</t>
  </si>
  <si>
    <t>Mole Valley</t>
  </si>
  <si>
    <t>E07000091</t>
  </si>
  <si>
    <t>New Forest</t>
  </si>
  <si>
    <t>E07000175</t>
  </si>
  <si>
    <t>Newark and Sherwood</t>
  </si>
  <si>
    <t>E08000021</t>
  </si>
  <si>
    <t>Newcastle upon Tyne</t>
  </si>
  <si>
    <t>E07000195</t>
  </si>
  <si>
    <t>Newcastle-under-Lyme</t>
  </si>
  <si>
    <t>E09000025</t>
  </si>
  <si>
    <t>Newham</t>
  </si>
  <si>
    <t>E07000043</t>
  </si>
  <si>
    <t>North Devon</t>
  </si>
  <si>
    <t>E07000038</t>
  </si>
  <si>
    <t>North East Derbyshire</t>
  </si>
  <si>
    <t>E06000012</t>
  </si>
  <si>
    <t>North East Lincolnshire</t>
  </si>
  <si>
    <t>E07000099</t>
  </si>
  <si>
    <t>North Hertfordshire</t>
  </si>
  <si>
    <t>E07000139</t>
  </si>
  <si>
    <t>North Kesteven</t>
  </si>
  <si>
    <t>E06000013</t>
  </si>
  <si>
    <t>North Lincolnshire</t>
  </si>
  <si>
    <t>E07000147</t>
  </si>
  <si>
    <t>North Norfolk</t>
  </si>
  <si>
    <t>E06000024</t>
  </si>
  <si>
    <t>North Somerset</t>
  </si>
  <si>
    <t>E08000022</t>
  </si>
  <si>
    <t>North Tyneside</t>
  </si>
  <si>
    <t>E07000218</t>
  </si>
  <si>
    <t>North Warwickshire</t>
  </si>
  <si>
    <t>E07000134</t>
  </si>
  <si>
    <t>North West Leicestershire</t>
  </si>
  <si>
    <t>E06000057</t>
  </si>
  <si>
    <t>Northumberland</t>
  </si>
  <si>
    <t>E07000148</t>
  </si>
  <si>
    <t>Norwich</t>
  </si>
  <si>
    <t>E06000018</t>
  </si>
  <si>
    <t>Nottingham</t>
  </si>
  <si>
    <t>E07000219</t>
  </si>
  <si>
    <t>Nuneaton and Bedworth</t>
  </si>
  <si>
    <t>E07000135</t>
  </si>
  <si>
    <t>Oadby and Wigston</t>
  </si>
  <si>
    <t>E08000004</t>
  </si>
  <si>
    <t>Oldham</t>
  </si>
  <si>
    <t>E07000178</t>
  </si>
  <si>
    <t>Oxford</t>
  </si>
  <si>
    <t>E07000122</t>
  </si>
  <si>
    <t>Pendle</t>
  </si>
  <si>
    <t>E06000031</t>
  </si>
  <si>
    <t>Peterborough</t>
  </si>
  <si>
    <t>E06000026</t>
  </si>
  <si>
    <t>Plymouth</t>
  </si>
  <si>
    <t>E06000044</t>
  </si>
  <si>
    <t>Portsmouth</t>
  </si>
  <si>
    <t>E07000123</t>
  </si>
  <si>
    <t>Preston</t>
  </si>
  <si>
    <t>E06000038</t>
  </si>
  <si>
    <t>Reading</t>
  </si>
  <si>
    <t>E09000026</t>
  </si>
  <si>
    <t>Redbridge</t>
  </si>
  <si>
    <t>E06000003</t>
  </si>
  <si>
    <t>Redcar and Cleveland</t>
  </si>
  <si>
    <t>E07000236</t>
  </si>
  <si>
    <t>Redditch</t>
  </si>
  <si>
    <t>E07000211</t>
  </si>
  <si>
    <t>Reigate and Banstead</t>
  </si>
  <si>
    <t>E07000124</t>
  </si>
  <si>
    <t>Ribble Valley</t>
  </si>
  <si>
    <t>E09000027</t>
  </si>
  <si>
    <t>Richmond upon Thames</t>
  </si>
  <si>
    <t>E07000166</t>
  </si>
  <si>
    <t>Richmondshire</t>
  </si>
  <si>
    <t>E08000005</t>
  </si>
  <si>
    <t>Rochdale</t>
  </si>
  <si>
    <t>E07000075</t>
  </si>
  <si>
    <t>Rochford</t>
  </si>
  <si>
    <t>E07000125</t>
  </si>
  <si>
    <t>Rossendale</t>
  </si>
  <si>
    <t>E07000064</t>
  </si>
  <si>
    <t>Rother</t>
  </si>
  <si>
    <t>E08000018</t>
  </si>
  <si>
    <t>Rotherham</t>
  </si>
  <si>
    <t>E07000220</t>
  </si>
  <si>
    <t>Rugby</t>
  </si>
  <si>
    <t>E07000212</t>
  </si>
  <si>
    <t>Runnymede</t>
  </si>
  <si>
    <t>E07000176</t>
  </si>
  <si>
    <t>Rushcliffe</t>
  </si>
  <si>
    <t>E07000092</t>
  </si>
  <si>
    <t>Rushmoor</t>
  </si>
  <si>
    <t>E06000017</t>
  </si>
  <si>
    <t>Rutland</t>
  </si>
  <si>
    <t>E07000167</t>
  </si>
  <si>
    <t>Ryedale</t>
  </si>
  <si>
    <t>E08000006</t>
  </si>
  <si>
    <t>Salford</t>
  </si>
  <si>
    <t>E08000028</t>
  </si>
  <si>
    <t>Sandwell</t>
  </si>
  <si>
    <t>E07000168</t>
  </si>
  <si>
    <t>Scarborough</t>
  </si>
  <si>
    <t>E07000188</t>
  </si>
  <si>
    <t>Sedgemoor</t>
  </si>
  <si>
    <t>E08000014</t>
  </si>
  <si>
    <t>Sefton</t>
  </si>
  <si>
    <t>E07000169</t>
  </si>
  <si>
    <t>Selby</t>
  </si>
  <si>
    <t>E07000111</t>
  </si>
  <si>
    <t>Sevenoaks</t>
  </si>
  <si>
    <t>E08000019</t>
  </si>
  <si>
    <t>Sheffield</t>
  </si>
  <si>
    <t>E06000051</t>
  </si>
  <si>
    <t>Shropshire</t>
  </si>
  <si>
    <t>E06000039</t>
  </si>
  <si>
    <t>Slough</t>
  </si>
  <si>
    <t>E08000029</t>
  </si>
  <si>
    <t>Solihull</t>
  </si>
  <si>
    <t>E07000246</t>
  </si>
  <si>
    <t>Somerset West and Taunton</t>
  </si>
  <si>
    <t>E07000012</t>
  </si>
  <si>
    <t>South Cambridgeshire</t>
  </si>
  <si>
    <t>E07000039</t>
  </si>
  <si>
    <t>South Derbyshire</t>
  </si>
  <si>
    <t>E06000025</t>
  </si>
  <si>
    <t>South Gloucestershire</t>
  </si>
  <si>
    <t>E07000044</t>
  </si>
  <si>
    <t>South Hams</t>
  </si>
  <si>
    <t>E07000140</t>
  </si>
  <si>
    <t>South Holland</t>
  </si>
  <si>
    <t>E07000141</t>
  </si>
  <si>
    <t>South Kesteven</t>
  </si>
  <si>
    <t>E07000031</t>
  </si>
  <si>
    <t>South Lakeland</t>
  </si>
  <si>
    <t>E07000149</t>
  </si>
  <si>
    <t>South Norfolk</t>
  </si>
  <si>
    <t>E07000179</t>
  </si>
  <si>
    <t>South Oxfordshire</t>
  </si>
  <si>
    <t>E07000126</t>
  </si>
  <si>
    <t>South Ribble</t>
  </si>
  <si>
    <t>E07000189</t>
  </si>
  <si>
    <t>South Somerset</t>
  </si>
  <si>
    <t>E07000196</t>
  </si>
  <si>
    <t>South Staffordshire</t>
  </si>
  <si>
    <t>E08000023</t>
  </si>
  <si>
    <t>South Tyneside</t>
  </si>
  <si>
    <t>E06000045</t>
  </si>
  <si>
    <t>Southampton</t>
  </si>
  <si>
    <t>E06000033</t>
  </si>
  <si>
    <t>Southend-on-Sea</t>
  </si>
  <si>
    <t>E09000028</t>
  </si>
  <si>
    <t>Southwark</t>
  </si>
  <si>
    <t>E07000213</t>
  </si>
  <si>
    <t>Spelthorne</t>
  </si>
  <si>
    <t>E07000240</t>
  </si>
  <si>
    <t>St Albans</t>
  </si>
  <si>
    <t>E08000013</t>
  </si>
  <si>
    <t>St. Helens</t>
  </si>
  <si>
    <t>E07000197</t>
  </si>
  <si>
    <t>Stafford</t>
  </si>
  <si>
    <t>E07000198</t>
  </si>
  <si>
    <t>Staffordshire Moorlands</t>
  </si>
  <si>
    <t>E07000243</t>
  </si>
  <si>
    <t>Stevenage</t>
  </si>
  <si>
    <t>E08000007</t>
  </si>
  <si>
    <t>Stockport</t>
  </si>
  <si>
    <t>E06000004</t>
  </si>
  <si>
    <t>Stockton-on-Tees</t>
  </si>
  <si>
    <t>E06000021</t>
  </si>
  <si>
    <t>Stoke-on-Trent</t>
  </si>
  <si>
    <t>E07000221</t>
  </si>
  <si>
    <t>Stratford-on-Avon</t>
  </si>
  <si>
    <t>E07000082</t>
  </si>
  <si>
    <t>Stroud</t>
  </si>
  <si>
    <t>E08000024</t>
  </si>
  <si>
    <t>Sunderland</t>
  </si>
  <si>
    <t>E07000214</t>
  </si>
  <si>
    <t>Surrey Heath</t>
  </si>
  <si>
    <t>E09000029</t>
  </si>
  <si>
    <t>Sutton</t>
  </si>
  <si>
    <t>E07000113</t>
  </si>
  <si>
    <t>Swale</t>
  </si>
  <si>
    <t>E06000030</t>
  </si>
  <si>
    <t>Swindon</t>
  </si>
  <si>
    <t>E08000008</t>
  </si>
  <si>
    <t>Tameside</t>
  </si>
  <si>
    <t>E07000199</t>
  </si>
  <si>
    <t>Tamworth</t>
  </si>
  <si>
    <t>E07000215</t>
  </si>
  <si>
    <t>Tandridge</t>
  </si>
  <si>
    <t>E07000045</t>
  </si>
  <si>
    <t>Teignbridge</t>
  </si>
  <si>
    <t>E06000020</t>
  </si>
  <si>
    <t>Telford and Wrekin</t>
  </si>
  <si>
    <t>E07000076</t>
  </si>
  <si>
    <t>Tendring</t>
  </si>
  <si>
    <t>E07000093</t>
  </si>
  <si>
    <t>Test Valley</t>
  </si>
  <si>
    <t>E07000083</t>
  </si>
  <si>
    <t>Tewkesbury</t>
  </si>
  <si>
    <t>E07000114</t>
  </si>
  <si>
    <t>Thanet</t>
  </si>
  <si>
    <t>E07000102</t>
  </si>
  <si>
    <t>Three Rivers</t>
  </si>
  <si>
    <t>E06000034</t>
  </si>
  <si>
    <t>Thurrock</t>
  </si>
  <si>
    <t>E07000115</t>
  </si>
  <si>
    <t>Tonbridge and Malling</t>
  </si>
  <si>
    <t>E06000027</t>
  </si>
  <si>
    <t>Torbay</t>
  </si>
  <si>
    <t>E07000046</t>
  </si>
  <si>
    <t>Torridge</t>
  </si>
  <si>
    <t>E09000030</t>
  </si>
  <si>
    <t>Tower Hamlets</t>
  </si>
  <si>
    <t>E08000009</t>
  </si>
  <si>
    <t>Trafford</t>
  </si>
  <si>
    <t>E07000116</t>
  </si>
  <si>
    <t>Tunbridge Wells</t>
  </si>
  <si>
    <t>E07000077</t>
  </si>
  <si>
    <t>Uttlesford</t>
  </si>
  <si>
    <t>E07000180</t>
  </si>
  <si>
    <t>Vale of White Horse</t>
  </si>
  <si>
    <t>E08000036</t>
  </si>
  <si>
    <t>Wakefield</t>
  </si>
  <si>
    <t>E08000030</t>
  </si>
  <si>
    <t>Walsall</t>
  </si>
  <si>
    <t>E09000031</t>
  </si>
  <si>
    <t>Waltham Forest</t>
  </si>
  <si>
    <t>E09000032</t>
  </si>
  <si>
    <t>Wandsworth</t>
  </si>
  <si>
    <t>E06000007</t>
  </si>
  <si>
    <t>Warrington</t>
  </si>
  <si>
    <t>E07000222</t>
  </si>
  <si>
    <t>Warwick</t>
  </si>
  <si>
    <t>E07000103</t>
  </si>
  <si>
    <t>Watford</t>
  </si>
  <si>
    <t>E07000216</t>
  </si>
  <si>
    <t>Waverley</t>
  </si>
  <si>
    <t>E07000065</t>
  </si>
  <si>
    <t>Wealden</t>
  </si>
  <si>
    <t>E07000241</t>
  </si>
  <si>
    <t>Welwyn Hatfield</t>
  </si>
  <si>
    <t>E06000037</t>
  </si>
  <si>
    <t>West Berkshire</t>
  </si>
  <si>
    <t>E07000047</t>
  </si>
  <si>
    <t>West Devon</t>
  </si>
  <si>
    <t>E07000127</t>
  </si>
  <si>
    <t>West Lancashire</t>
  </si>
  <si>
    <t>E07000142</t>
  </si>
  <si>
    <t>West Lindsey</t>
  </si>
  <si>
    <t>E07000181</t>
  </si>
  <si>
    <t>West Oxfordshire</t>
  </si>
  <si>
    <t>E07000245</t>
  </si>
  <si>
    <t>West Suffolk</t>
  </si>
  <si>
    <t>E09000033</t>
  </si>
  <si>
    <t>Westminster</t>
  </si>
  <si>
    <t>E08000010</t>
  </si>
  <si>
    <t>Wigan</t>
  </si>
  <si>
    <t>E06000054</t>
  </si>
  <si>
    <t>Wiltshire</t>
  </si>
  <si>
    <t>E07000094</t>
  </si>
  <si>
    <t>Winchester</t>
  </si>
  <si>
    <t>E06000040</t>
  </si>
  <si>
    <t>Windsor and Maidenhead</t>
  </si>
  <si>
    <t>E08000015</t>
  </si>
  <si>
    <t>Wirral</t>
  </si>
  <si>
    <t>E07000217</t>
  </si>
  <si>
    <t>Woking</t>
  </si>
  <si>
    <t>E06000041</t>
  </si>
  <si>
    <t>Wokingham</t>
  </si>
  <si>
    <t>E08000031</t>
  </si>
  <si>
    <t>Wolverhampton</t>
  </si>
  <si>
    <t>E07000237</t>
  </si>
  <si>
    <t>Worcester</t>
  </si>
  <si>
    <t>E07000229</t>
  </si>
  <si>
    <t>Worthing</t>
  </si>
  <si>
    <t>E07000238</t>
  </si>
  <si>
    <t>Wychavon</t>
  </si>
  <si>
    <t>E07000128</t>
  </si>
  <si>
    <t>Wyre</t>
  </si>
  <si>
    <t>E07000239</t>
  </si>
  <si>
    <t>Wyre Forest</t>
  </si>
  <si>
    <t>E06000014</t>
  </si>
  <si>
    <t>York</t>
  </si>
  <si>
    <t>Lookup search</t>
  </si>
  <si>
    <t>Local Authority Names</t>
  </si>
  <si>
    <t>Dynamic Range</t>
  </si>
  <si>
    <t>PRP Counts</t>
  </si>
  <si>
    <t>Region</t>
  </si>
  <si>
    <t>Row Labels</t>
  </si>
  <si>
    <t>LA Name</t>
  </si>
  <si>
    <t>2015 Large</t>
  </si>
  <si>
    <t>2015 Small</t>
  </si>
  <si>
    <t>2015 All</t>
  </si>
  <si>
    <t>Check</t>
  </si>
  <si>
    <t>Table 7 raw</t>
  </si>
  <si>
    <t>J</t>
  </si>
  <si>
    <t>K</t>
  </si>
  <si>
    <t>L</t>
  </si>
  <si>
    <t xml:space="preserve">All needs met   </t>
  </si>
  <si>
    <t>Some needs met</t>
  </si>
  <si>
    <t>No needs met</t>
  </si>
  <si>
    <t>Contents</t>
  </si>
  <si>
    <t>Section</t>
  </si>
  <si>
    <r>
      <t>Description</t>
    </r>
    <r>
      <rPr>
        <sz val="12"/>
        <rFont val="Arial"/>
        <family val="2"/>
      </rPr>
      <t xml:space="preserve"> </t>
    </r>
    <r>
      <rPr>
        <sz val="9"/>
        <rFont val="Arial"/>
        <family val="2"/>
      </rPr>
      <t>(click links below)</t>
    </r>
  </si>
  <si>
    <t>Glossary</t>
  </si>
  <si>
    <t>Total social units by provision type</t>
  </si>
  <si>
    <t>Decent Homes Standard</t>
  </si>
  <si>
    <t>General needs - average weekly rent and units</t>
  </si>
  <si>
    <t>Affordable Rent general needs - average weekly rent and units</t>
  </si>
  <si>
    <t>Affordable Rent supported housing  - average weekly rent and units</t>
  </si>
  <si>
    <t>Total vacant general needs self-contained</t>
  </si>
  <si>
    <t xml:space="preserve">Source: </t>
  </si>
  <si>
    <t>For further information please contact the Referrals and Regulatory Enquiries Team</t>
  </si>
  <si>
    <t xml:space="preserve">Telephone: 0300 1245 225 </t>
  </si>
  <si>
    <t xml:space="preserve">Email: </t>
  </si>
  <si>
    <t>enquiries@rsh.gov.uk</t>
  </si>
  <si>
    <t>Affordable Rent</t>
  </si>
  <si>
    <r>
      <t xml:space="preserve">Affordable Rent homes are those made available to households eligible for low cost rental housing at a rent level of no more than 80% (inclusive of service charges) of local market rents. Affordable Rent homes can be either newly built, acquired from other PRPs or converted from existing low cost rented homes, but only where they form part of an agreement with Homes England or the Greater London Authority. They can be either general needs or supported housing. See also </t>
    </r>
    <r>
      <rPr>
        <b/>
        <sz val="12"/>
        <color theme="1"/>
        <rFont val="Arial"/>
        <family val="2"/>
      </rPr>
      <t>London Affordable Rent</t>
    </r>
    <r>
      <rPr>
        <sz val="12"/>
        <color theme="1"/>
        <rFont val="Arial"/>
        <family val="2"/>
      </rPr>
      <t xml:space="preserve">.  </t>
    </r>
  </si>
  <si>
    <t>General needs housing</t>
  </si>
  <si>
    <t>General needs housing covers the bulk of housing stock for rent. It includes both self-contained units and non-self-contained hostel/ shared housing units and bedspaces. General needs housing is stock that is not designated for specific client groups.</t>
  </si>
  <si>
    <t xml:space="preserve">The total charged to tenants inclusive of all rent and property related service charges. </t>
  </si>
  <si>
    <t>Intermediate rent</t>
  </si>
  <si>
    <t>Large PRPs</t>
  </si>
  <si>
    <t xml:space="preserve">For the purposes of the SDR release this includes all PRPs that own 1,000 or more units of social housing and complete the ‘long SDR form’. </t>
  </si>
  <si>
    <t>London Affordable Rent</t>
  </si>
  <si>
    <t xml:space="preserve">LCHO accommodation is defined in the Housing and Regeneration Act 2008 as being that occupied or made available for occupation in accordance with shared ownership arrangements, shared equity arrangements, or shared ownership trusts; and it is made available to people whose needs are not adequately served by the commercial housing market. </t>
  </si>
  <si>
    <t xml:space="preserve">LCHO figures do not include ‘fully staircased’ properties, that is properties once occupied under relevant arrangements but where the occupier has for example acquired a 100% share of a shared ownership property or repaid an equity loan on a shared equity property in full. Fully staircased properties where the landlord has retained a freehold interest are included under ‘leasehold’ properties. </t>
  </si>
  <si>
    <t>The conditions under which LCHO properties are regarded as sold to occupiers (e.g. through being fully staircased) are more formally set out in Housing and Regeneration Act 2008.</t>
  </si>
  <si>
    <t>The term low cost rental is used in these statistics to denote any stock which meets the definition of low cost rental accommodation in the Housing and Regeneration Act 2008. It must be available for rent, with a rent below market value, and in accordance with the rules designed to ensure that it is made available to people whose needs are not adequately served by the commercial housing market.</t>
  </si>
  <si>
    <t>The rent charged to tenants excluding all service charges.</t>
  </si>
  <si>
    <t>Non-self-contained unit (bedspace)</t>
  </si>
  <si>
    <t>A non-self-contained unit will consist of an area in a hostel/ dormitory or other similar entity or a room or rooms (within a block of flats, sheltered scheme, house in multiple occupation or similar entity) which is/ are private to the tenant but which require sharing of some or all living, cooking, bathroom or toilet amenities.</t>
  </si>
  <si>
    <t>Owned stock</t>
  </si>
  <si>
    <t xml:space="preserve">An RP owns property when it: (a) holds the freehold title or a leasehold interest (of any length) in that property; and (b) is the body with a direct legal relationship with the occupants of the property (this body is often described as the landlord). </t>
  </si>
  <si>
    <t>Private registered providers (PRPs)</t>
  </si>
  <si>
    <t>Self-contained unit</t>
  </si>
  <si>
    <t>A self-contained unit is one in which all the rooms (including kitchen, bathroom and toilet) in a household’s accommodation are behind a door, which only that household can use and therefore allows that household exclusive use of them. Some self-contained units, especially flats, may have some common services such as a central boiler for heating and/ or hot water. Households which share a common entrance hall, but otherwise have all their accommodation behind their own front door are self-contained. Bedsits are considered self-contained units.</t>
  </si>
  <si>
    <t>Service charges</t>
  </si>
  <si>
    <t xml:space="preserve">Service charges are payable by some tenants in addition to rent. Service charges usually reflect additional services which may not be provided to every tenant, or which may be connected with communal facilities rather than being particular to the occupation of a dwelling. Service charges are subject to separate legal requirements and are limited to covering the cost of providing the services. </t>
  </si>
  <si>
    <t>Small PRPs</t>
  </si>
  <si>
    <t xml:space="preserve">These are PRPs that own fewer than 1,000 social housing units/ bedspaces and that complete the ‘short SDR form’. </t>
  </si>
  <si>
    <t>Social housing</t>
  </si>
  <si>
    <t>Social housing is defined in the Housing and Regeneration Act 2008 sections 68-77. The term covers low cost rental, low cost home ownership and accommodation owned by PRPs as previously defined in the Housing Act 1996.</t>
  </si>
  <si>
    <t>Social stock</t>
  </si>
  <si>
    <t xml:space="preserve">Social stock is used in these statistics to denote the total number of low cost rental and low cost home ownership units. Social stock figures do not include social leasehold units or any other stock type. Total social stock figures represent the number of self-contained units plus bedspaces.  </t>
  </si>
  <si>
    <t>Version</t>
  </si>
  <si>
    <t>Publication Date</t>
  </si>
  <si>
    <t xml:space="preserve">Changes </t>
  </si>
  <si>
    <t>Original release</t>
  </si>
  <si>
    <t>Contact</t>
  </si>
  <si>
    <t>Telephone: Referrals and Regulatory Enquires Team on 0300 1245 225</t>
  </si>
  <si>
    <t>Version: 1.0</t>
  </si>
  <si>
    <t>To select a name from the full list of all Local Authorities:</t>
  </si>
  <si>
    <t>To use the Search function:</t>
  </si>
  <si>
    <t xml:space="preserve">Select Local Authority area: </t>
  </si>
  <si>
    <t>Buckinghamshire</t>
  </si>
  <si>
    <t>Click on the blank box, then click on drop down arrow to select a name from the list of all Local Authorities.</t>
  </si>
  <si>
    <t>a)  Enter a search term in the blank box and press "Enter".</t>
  </si>
  <si>
    <t>b) Then click on the box again, then click drop down arrow to select a name from the (filtered) matching results.</t>
  </si>
  <si>
    <t>To reset, use the delete key to clear the search box contents, then click back on the box.</t>
  </si>
  <si>
    <t>E06000060</t>
  </si>
  <si>
    <r>
      <t>Formula rent</t>
    </r>
    <r>
      <rPr>
        <vertAlign val="superscript"/>
        <sz val="10"/>
        <color theme="1"/>
        <rFont val="Arial"/>
        <family val="2"/>
      </rPr>
      <t>1</t>
    </r>
  </si>
  <si>
    <r>
      <t xml:space="preserve">Click for help on the </t>
    </r>
    <r>
      <rPr>
        <b/>
        <u/>
        <sz val="10"/>
        <color theme="10"/>
        <rFont val="Arial"/>
        <family val="2"/>
      </rPr>
      <t>search function</t>
    </r>
  </si>
  <si>
    <t>Affordable Rent supported housing/housing for older people</t>
  </si>
  <si>
    <t>Exceptions/excepted units (rents)</t>
  </si>
  <si>
    <t>Units with an absolute exception from the statutory rent setting requirements set out in the Rent Policy Statement.</t>
  </si>
  <si>
    <t>Units that fully meet the definition of intermediate rent accommodation specified in the Rent Policy Statement.</t>
  </si>
  <si>
    <t xml:space="preserve">Units can only be counted as supported housing if they meet the definition of supported housing specified in the Rent Policy Statement. The fact that a tenant receives support services in their home does not make it supported housing. </t>
  </si>
  <si>
    <t>In these statistics social rent refers to all low cost rental units that are general needs or supported housing (excluding Affordable Rent and intermediate rent units). This includes units with exceptions from standard rent rules.</t>
  </si>
  <si>
    <t>Formula rent</t>
  </si>
  <si>
    <t>How to use the drop down list and Search function to select an LA name</t>
  </si>
  <si>
    <t>Supported housing/housing for older people - average weekly rent and units</t>
  </si>
  <si>
    <t>PRPs are providers of social housing in England that are registered with us and are not local authorities. This is the definition of PRPs in the Housing and Regeneration Act 2008.</t>
  </si>
  <si>
    <t>Yorkshire and the Humber</t>
  </si>
  <si>
    <t>How to use the search function</t>
  </si>
  <si>
    <r>
      <t xml:space="preserve">London Affordable Rent (LAR), was introduced in 2016 by the Mayor of London. LAR units are Affordable Rent units in London let at or below the weekly rent benchmarks set by the GLA. They are included in Affordable Rent figures in the LADR collection. For more information see </t>
    </r>
    <r>
      <rPr>
        <u/>
        <sz val="12"/>
        <color rgb="FF59468D"/>
        <rFont val="Arial"/>
        <family val="2"/>
      </rPr>
      <t>https://www.london.gov.uk/what-we-do/housing-and-land/homes-londoners-affordable-homes-programmes/homes-londoners-affordable-homes-programme-2016-2023</t>
    </r>
    <r>
      <rPr>
        <sz val="12"/>
        <color theme="1"/>
        <rFont val="Arial"/>
        <family val="2"/>
      </rPr>
      <t>.</t>
    </r>
  </si>
  <si>
    <t>Sales by PRPs by type - large PRPs only</t>
  </si>
  <si>
    <t>General needs (social rent)*</t>
  </si>
  <si>
    <t>Supported housing/housing for older people (social rent)*</t>
  </si>
  <si>
    <t>*Excludes Affordable Rent and intermediate rent, but includes other units with an exception under the Rent Policy Statement.</t>
  </si>
  <si>
    <t>Always start with a blank box (cell E3, sheet "PRP LA trend tool 2015-22").</t>
  </si>
  <si>
    <t>1. Figures for 2015-2016 are for target rent, 2017-2020 are for social rent rate and from 2021 formula rent.</t>
  </si>
  <si>
    <t>North Northamptonshire</t>
  </si>
  <si>
    <t>West Northamptonshire</t>
  </si>
  <si>
    <t>E06000061</t>
  </si>
  <si>
    <t>E06000062</t>
  </si>
  <si>
    <t>highlighted figures are included in the chart</t>
  </si>
  <si>
    <t>% of units vacant not available for letting</t>
  </si>
  <si>
    <t>PRP local authority trend tool (SDR data) 2015-2023</t>
  </si>
  <si>
    <t>Owned stock.  Large PRPs only - unweighted.  Stock outside England is excluded.  Source: SDR 2015-2023.</t>
  </si>
  <si>
    <t>Owned stock. Stock outside England is excluded. Source: SDR 2015-2023.</t>
  </si>
  <si>
    <t>Source: SDR 2015-2023.</t>
  </si>
  <si>
    <t>Yorkshire and The Humber</t>
  </si>
  <si>
    <t>PRP LA trend tool 2015-23</t>
  </si>
  <si>
    <t>Statistical Data Return (SDR) 1 April to 31 March 2015-2023</t>
  </si>
  <si>
    <r>
      <t xml:space="preserve">This tool collates data collected through the Statistical Data Return (SDR), to provide a summary overview of Private Registered Provider (PRP) stock at geographic levels (England, regional and local authority).  It returns a range of values, including counts of social rented units owned by type, along with average rent values for the selected areas.  It is easily printable, allowing comparisons to be made.
</t>
    </r>
    <r>
      <rPr>
        <b/>
        <sz val="12"/>
        <color theme="1"/>
        <rFont val="Arial"/>
        <family val="2"/>
      </rPr>
      <t xml:space="preserve">Select the relevant geographic areas from the drop down list in cell E3 of sheet "PRP LA trend tool 2015-23".
</t>
    </r>
    <r>
      <rPr>
        <b/>
        <sz val="12"/>
        <color rgb="FFFF0000"/>
        <rFont val="Arial"/>
        <family val="2"/>
      </rPr>
      <t xml:space="preserve">Or enter a search term in cell E3, press enter, click on cell E3 again, click arrow and select from matching names.
</t>
    </r>
    <r>
      <rPr>
        <sz val="12"/>
        <rFont val="Arial"/>
        <family val="2"/>
      </rPr>
      <t xml:space="preserve">
All figures are unweighted, as reported by the providers. </t>
    </r>
  </si>
  <si>
    <t>October 2023</t>
  </si>
  <si>
    <t>The definitions presented below are provided for clarity of terms and categories within this release. They are consistent with the manner in which data was collected in the 2023 SDR and LADR collections (based on a view ‘as at’ or ‘in the year to’ 31 March 2023). See the 2022-23 SDR and LADR guidance published as part of the individual statistics for more information.</t>
  </si>
  <si>
    <t>2023 Large</t>
  </si>
  <si>
    <t>2023 Small</t>
  </si>
  <si>
    <t>2023 All</t>
  </si>
  <si>
    <t>Return to sheet "PRP LA trend tool 2015-23"</t>
  </si>
  <si>
    <t>First tranche LCHO sales</t>
  </si>
  <si>
    <t>100% staircased LCHO sales</t>
  </si>
  <si>
    <t>General needs non-self-contained</t>
  </si>
  <si>
    <t>General needs self-contained</t>
  </si>
  <si>
    <t>August 2024</t>
  </si>
  <si>
    <t>Publication date: August 2024</t>
  </si>
  <si>
    <t>Version: 1.1</t>
  </si>
  <si>
    <t>Corrected general needs and supported housing/housing for older people gross rents for England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</si>
</sst>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0;\-#,##0.00_-;&quot;-&quot;"/>
    <numFmt numFmtId="165" formatCode="0.0%"/>
    <numFmt numFmtId="166" formatCode="&quot;£&quot;#,##0.00"/>
    <numFmt numFmtId="167" formatCode="_-* #,##0_-;\-* #,##0_-;_-* &quot;-&quot;??_-;_-@_-"/>
    <numFmt numFmtId="168" formatCode="0.0"/>
    <numFmt numFmtId="169" formatCode="[$-F800]dddd\,\ mmmm\ dd\,\ yyyy"/>
    <numFmt numFmtId="170" formatCode="mmmm\ yyyy"/>
    <numFmt numFmtId="171" formatCode="&quot;£&quot;#,##0.00;\-#,##0.00_-;&quot;-&quot;"/>
  </numFmts>
  <fonts count="68"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u/>
      <sz val="11"/>
      <color theme="10"/>
      <name val="Calibri"/>
      <family val="2"/>
      <scheme val="minor"/>
    </font>
    <font>
      <b/>
      <sz val="28"/>
      <color rgb="FF59468D"/>
      <name val="Arial"/>
      <family val="2"/>
    </font>
    <font>
      <b/>
      <sz val="10"/>
      <color theme="1"/>
      <name val="Arial"/>
      <family val="2"/>
    </font>
    <font>
      <b/>
      <sz val="10"/>
      <color theme="3"/>
      <name val="Arial"/>
      <family val="2"/>
    </font>
    <font>
      <b/>
      <sz val="12"/>
      <color rgb="FF59468D"/>
      <name val="Arial"/>
      <family val="2"/>
    </font>
    <font>
      <sz val="12"/>
      <color rgb="FF59468D"/>
      <name val="Arial"/>
      <family val="2"/>
    </font>
    <font>
      <sz val="8"/>
      <color theme="1"/>
      <name val="Arial"/>
      <family val="2"/>
    </font>
    <font>
      <b/>
      <sz val="10"/>
      <name val="Arial"/>
      <family val="2"/>
    </font>
    <font>
      <i/>
      <sz val="8"/>
      <color theme="0" tint="-0.499984740745262"/>
      <name val="Arial"/>
      <family val="2"/>
    </font>
    <font>
      <sz val="10"/>
      <color theme="1"/>
      <name val="Arial"/>
      <family val="2"/>
    </font>
    <font>
      <sz val="10"/>
      <color theme="0" tint="-0.499984740745262"/>
      <name val="Arial"/>
      <family val="2"/>
    </font>
    <font>
      <b/>
      <sz val="10"/>
      <color rgb="FF59468D"/>
      <name val="Arial"/>
      <family val="2"/>
    </font>
    <font>
      <sz val="10"/>
      <name val="Arial"/>
      <family val="2"/>
    </font>
    <font>
      <sz val="10"/>
      <color rgb="FFE2EEF6"/>
      <name val="Arial"/>
      <family val="2"/>
    </font>
    <font>
      <sz val="10"/>
      <color theme="0"/>
      <name val="Arial"/>
      <family val="2"/>
    </font>
    <font>
      <vertAlign val="superscript"/>
      <sz val="10"/>
      <color theme="1"/>
      <name val="Arial"/>
      <family val="2"/>
    </font>
    <font>
      <b/>
      <sz val="10"/>
      <color theme="0"/>
      <name val="Arial"/>
      <family val="2"/>
    </font>
    <font>
      <sz val="8"/>
      <name val="Arial"/>
      <family val="2"/>
    </font>
    <font>
      <b/>
      <sz val="8"/>
      <color rgb="FFFF0000"/>
      <name val="Arial"/>
      <family val="2"/>
    </font>
    <font>
      <sz val="11"/>
      <color theme="0"/>
      <name val="Arial"/>
      <family val="2"/>
    </font>
    <font>
      <sz val="10"/>
      <color theme="8" tint="0.79998168889431442"/>
      <name val="Arial"/>
      <family val="2"/>
    </font>
    <font>
      <sz val="11"/>
      <color rgb="FF59468D"/>
      <name val="Arial"/>
      <family val="2"/>
    </font>
    <font>
      <sz val="11"/>
      <color theme="1"/>
      <name val="Arial"/>
      <family val="2"/>
    </font>
    <font>
      <sz val="11"/>
      <name val="Arial"/>
      <family val="2"/>
    </font>
    <font>
      <sz val="10"/>
      <color rgb="FFFF0000"/>
      <name val="Arial"/>
      <family val="2"/>
    </font>
    <font>
      <b/>
      <sz val="9"/>
      <color indexed="81"/>
      <name val="Tahoma"/>
      <family val="2"/>
    </font>
    <font>
      <sz val="9"/>
      <color indexed="81"/>
      <name val="Tahoma"/>
      <family val="2"/>
    </font>
    <font>
      <b/>
      <sz val="10"/>
      <color rgb="FFFF0000"/>
      <name val="Arial"/>
      <family val="2"/>
    </font>
    <font>
      <b/>
      <sz val="10"/>
      <color theme="8" tint="0.79998168889431442"/>
      <name val="Arial"/>
      <family val="2"/>
    </font>
    <font>
      <b/>
      <sz val="11"/>
      <color theme="1"/>
      <name val="Arial"/>
      <family val="2"/>
    </font>
    <font>
      <u/>
      <sz val="30"/>
      <color rgb="FF419331"/>
      <name val="Wingdings"/>
      <charset val="2"/>
    </font>
    <font>
      <b/>
      <sz val="30"/>
      <color rgb="FF419331"/>
      <name val="Wingdings"/>
      <charset val="2"/>
    </font>
    <font>
      <u/>
      <sz val="30"/>
      <color theme="0" tint="-0.499984740745262"/>
      <name val="Wingdings"/>
      <charset val="2"/>
    </font>
    <font>
      <b/>
      <sz val="30"/>
      <color rgb="FF00B050"/>
      <name val="Wingdings"/>
      <charset val="2"/>
    </font>
    <font>
      <u/>
      <sz val="30"/>
      <color rgb="FFC33A32"/>
      <name val="Wingdings"/>
      <charset val="2"/>
    </font>
    <font>
      <sz val="30"/>
      <color rgb="FFC33A32"/>
      <name val="Wingdings"/>
      <charset val="2"/>
    </font>
    <font>
      <b/>
      <sz val="10"/>
      <color rgb="FF419331"/>
      <name val="Arial"/>
      <family val="2"/>
    </font>
    <font>
      <b/>
      <sz val="10"/>
      <color theme="0" tint="-0.499984740745262"/>
      <name val="Arial"/>
      <family val="2"/>
    </font>
    <font>
      <b/>
      <sz val="10"/>
      <color rgb="FFC33A32"/>
      <name val="Arial"/>
      <family val="2"/>
    </font>
    <font>
      <sz val="10"/>
      <color rgb="FFC33A32"/>
      <name val="Arial"/>
      <family val="2"/>
    </font>
    <font>
      <sz val="12"/>
      <color theme="1"/>
      <name val="Arial"/>
      <family val="2"/>
    </font>
    <font>
      <b/>
      <sz val="12"/>
      <color theme="1"/>
      <name val="Arial"/>
      <family val="2"/>
    </font>
    <font>
      <b/>
      <sz val="12"/>
      <color rgb="FFFF0000"/>
      <name val="Arial"/>
      <family val="2"/>
    </font>
    <font>
      <sz val="12"/>
      <name val="Arial"/>
      <family val="2"/>
    </font>
    <font>
      <b/>
      <sz val="18"/>
      <color rgb="FF59468D"/>
      <name val="Arial"/>
      <family val="2"/>
    </font>
    <font>
      <b/>
      <sz val="12"/>
      <name val="Arial"/>
      <family val="2"/>
    </font>
    <font>
      <sz val="9"/>
      <name val="Arial"/>
      <family val="2"/>
    </font>
    <font>
      <u/>
      <sz val="12"/>
      <color theme="10"/>
      <name val="Arial"/>
      <family val="2"/>
    </font>
    <font>
      <sz val="10"/>
      <color rgb="FF59468D"/>
      <name val="Arial"/>
      <family val="2"/>
    </font>
    <font>
      <b/>
      <sz val="24"/>
      <color rgb="FF59468D"/>
      <name val="Arial"/>
      <family val="2"/>
    </font>
    <font>
      <b/>
      <sz val="18"/>
      <color theme="1"/>
      <name val="Arial"/>
      <family val="2"/>
    </font>
    <font>
      <b/>
      <sz val="14"/>
      <color indexed="9"/>
      <name val="Arial"/>
      <family val="2"/>
    </font>
    <font>
      <b/>
      <sz val="12"/>
      <color indexed="9"/>
      <name val="Arial"/>
      <family val="2"/>
    </font>
    <font>
      <b/>
      <sz val="12"/>
      <color theme="0"/>
      <name val="Arial"/>
      <family val="2"/>
    </font>
    <font>
      <b/>
      <sz val="22"/>
      <color rgb="FF59468D"/>
      <name val="Arial"/>
      <family val="2"/>
    </font>
    <font>
      <b/>
      <u/>
      <sz val="10"/>
      <color theme="10"/>
      <name val="Arial"/>
      <family val="2"/>
    </font>
    <font>
      <sz val="10"/>
      <color theme="1"/>
      <name val="Calibri"/>
      <family val="2"/>
      <scheme val="minor"/>
    </font>
    <font>
      <u/>
      <sz val="10"/>
      <color theme="10"/>
      <name val="Arial"/>
      <family val="2"/>
    </font>
    <font>
      <u/>
      <sz val="11"/>
      <color theme="10"/>
      <name val="Arial"/>
      <family val="2"/>
    </font>
    <font>
      <u/>
      <sz val="12"/>
      <color rgb="FF59468D"/>
      <name val="Arial"/>
      <family val="2"/>
    </font>
    <font>
      <sz val="11"/>
      <name val="Calibri"/>
      <family val="2"/>
      <scheme val="minor"/>
    </font>
    <font>
      <sz val="9"/>
      <color theme="0" tint="-0.499984740745262"/>
      <name val="Arial"/>
      <family val="2"/>
    </font>
  </fonts>
  <fills count="1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7"/>
        <bgColor indexed="64"/>
      </patternFill>
    </fill>
    <fill>
      <patternFill patternType="solid">
        <fgColor theme="9" tint="0.39997558519241921"/>
        <bgColor indexed="64"/>
      </patternFill>
    </fill>
    <fill>
      <patternFill patternType="solid">
        <fgColor rgb="FFFFFF00"/>
        <bgColor indexed="64"/>
      </patternFill>
    </fill>
    <fill>
      <patternFill patternType="solid">
        <fgColor rgb="FFEEEBF5"/>
        <bgColor indexed="64"/>
      </patternFill>
    </fill>
    <fill>
      <patternFill patternType="solid">
        <fgColor indexed="9"/>
        <bgColor indexed="64"/>
      </patternFill>
    </fill>
    <fill>
      <patternFill patternType="solid">
        <fgColor rgb="FF59468D"/>
        <bgColor indexed="64"/>
      </patternFill>
    </fill>
    <fill>
      <patternFill patternType="solid">
        <fgColor theme="9" tint="0.79998168889431442"/>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bottom/>
      <diagonal/>
    </border>
    <border>
      <left style="thin">
        <color auto="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theme="0"/>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bottom style="thin">
        <color theme="0"/>
      </bottom>
      <diagonal/>
    </border>
    <border>
      <left/>
      <right style="thin">
        <color indexed="64"/>
      </right>
      <top/>
      <bottom style="thin">
        <color theme="0"/>
      </bottom>
      <diagonal/>
    </border>
    <border>
      <left style="thin">
        <color indexed="64"/>
      </left>
      <right style="thin">
        <color theme="0"/>
      </right>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theme="0"/>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s>
  <cellStyleXfs count="9">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29" fillId="0" borderId="0"/>
    <xf numFmtId="0" fontId="15" fillId="0" borderId="0"/>
    <xf numFmtId="0" fontId="3" fillId="0" borderId="0"/>
    <xf numFmtId="0" fontId="5" fillId="0" borderId="0"/>
  </cellStyleXfs>
  <cellXfs count="439">
    <xf numFmtId="0" fontId="0" fillId="0" borderId="0" xfId="0"/>
    <xf numFmtId="0" fontId="0" fillId="2" borderId="0" xfId="0" applyFill="1" applyProtection="1">
      <protection hidden="1"/>
    </xf>
    <xf numFmtId="0" fontId="7" fillId="2" borderId="0" xfId="0" applyFont="1" applyFill="1" applyAlignment="1" applyProtection="1">
      <alignment horizontal="center"/>
      <protection hidden="1"/>
    </xf>
    <xf numFmtId="0" fontId="9" fillId="2" borderId="0" xfId="0" applyFont="1" applyFill="1" applyProtection="1">
      <protection hidden="1"/>
    </xf>
    <xf numFmtId="0" fontId="0" fillId="2" borderId="0" xfId="0" applyFill="1" applyAlignment="1" applyProtection="1">
      <alignment vertical="center"/>
      <protection hidden="1"/>
    </xf>
    <xf numFmtId="0" fontId="8" fillId="2" borderId="0" xfId="0" applyFont="1" applyFill="1" applyProtection="1">
      <protection hidden="1"/>
    </xf>
    <xf numFmtId="0" fontId="10" fillId="4" borderId="7" xfId="0" applyFont="1" applyFill="1" applyBorder="1" applyAlignment="1" applyProtection="1">
      <alignment vertical="top"/>
      <protection hidden="1"/>
    </xf>
    <xf numFmtId="0" fontId="10" fillId="4" borderId="8" xfId="0" applyFont="1" applyFill="1" applyBorder="1" applyAlignment="1" applyProtection="1">
      <alignment vertical="top"/>
      <protection hidden="1"/>
    </xf>
    <xf numFmtId="0" fontId="11" fillId="4" borderId="8" xfId="0" applyFont="1" applyFill="1" applyBorder="1" applyAlignment="1" applyProtection="1">
      <alignment vertical="top"/>
      <protection hidden="1"/>
    </xf>
    <xf numFmtId="0" fontId="0" fillId="4" borderId="8" xfId="0" applyFill="1" applyBorder="1" applyProtection="1">
      <protection hidden="1"/>
    </xf>
    <xf numFmtId="0" fontId="0" fillId="4" borderId="14" xfId="0" applyFill="1" applyBorder="1" applyProtection="1">
      <protection hidden="1"/>
    </xf>
    <xf numFmtId="0" fontId="11" fillId="4" borderId="0" xfId="0" applyFont="1" applyFill="1" applyAlignment="1" applyProtection="1">
      <alignment vertical="top" wrapText="1"/>
      <protection hidden="1"/>
    </xf>
    <xf numFmtId="0" fontId="0" fillId="4" borderId="0" xfId="0" applyFill="1" applyProtection="1">
      <protection hidden="1"/>
    </xf>
    <xf numFmtId="0" fontId="0" fillId="4" borderId="9" xfId="0" applyFill="1" applyBorder="1" applyProtection="1">
      <protection hidden="1"/>
    </xf>
    <xf numFmtId="0" fontId="8" fillId="4" borderId="10" xfId="0" applyFont="1" applyFill="1" applyBorder="1" applyAlignment="1" applyProtection="1">
      <alignment horizontal="left"/>
      <protection hidden="1"/>
    </xf>
    <xf numFmtId="165" fontId="0" fillId="2" borderId="0" xfId="3" applyNumberFormat="1" applyFont="1" applyFill="1" applyProtection="1">
      <protection hidden="1"/>
    </xf>
    <xf numFmtId="0" fontId="8" fillId="2" borderId="4" xfId="0" applyFont="1" applyFill="1" applyBorder="1" applyAlignment="1" applyProtection="1">
      <alignment horizontal="left" vertical="top"/>
      <protection hidden="1"/>
    </xf>
    <xf numFmtId="0" fontId="8" fillId="2" borderId="12" xfId="0" applyFont="1" applyFill="1" applyBorder="1" applyAlignment="1" applyProtection="1">
      <alignment horizontal="left" vertical="top"/>
      <protection hidden="1"/>
    </xf>
    <xf numFmtId="0" fontId="8" fillId="2" borderId="5" xfId="0" applyFont="1" applyFill="1" applyBorder="1" applyAlignment="1" applyProtection="1">
      <alignment horizontal="left" vertical="top"/>
      <protection hidden="1"/>
    </xf>
    <xf numFmtId="0" fontId="13" fillId="4" borderId="8" xfId="1" applyNumberFormat="1" applyFont="1" applyFill="1" applyBorder="1" applyAlignment="1" applyProtection="1">
      <alignment vertical="top"/>
      <protection hidden="1"/>
    </xf>
    <xf numFmtId="0" fontId="8" fillId="4" borderId="8" xfId="0" applyFont="1" applyFill="1" applyBorder="1" applyProtection="1">
      <protection hidden="1"/>
    </xf>
    <xf numFmtId="0" fontId="8" fillId="4" borderId="14" xfId="0" applyFont="1" applyFill="1" applyBorder="1" applyProtection="1">
      <protection hidden="1"/>
    </xf>
    <xf numFmtId="0" fontId="17" fillId="4" borderId="0" xfId="0" applyFont="1" applyFill="1" applyAlignment="1" applyProtection="1">
      <alignment vertical="top"/>
      <protection hidden="1"/>
    </xf>
    <xf numFmtId="0" fontId="8" fillId="4" borderId="0" xfId="0" applyFont="1" applyFill="1" applyAlignment="1" applyProtection="1">
      <alignment wrapText="1"/>
      <protection hidden="1"/>
    </xf>
    <xf numFmtId="0" fontId="8" fillId="4" borderId="9" xfId="0" applyFont="1" applyFill="1" applyBorder="1" applyAlignment="1" applyProtection="1">
      <alignment wrapText="1"/>
      <protection hidden="1"/>
    </xf>
    <xf numFmtId="0" fontId="17" fillId="2" borderId="7" xfId="0" applyFont="1" applyFill="1" applyBorder="1" applyAlignment="1" applyProtection="1">
      <alignment vertical="top"/>
      <protection hidden="1"/>
    </xf>
    <xf numFmtId="0" fontId="17" fillId="2" borderId="8" xfId="0" applyFont="1" applyFill="1" applyBorder="1" applyAlignment="1" applyProtection="1">
      <alignment vertical="top"/>
      <protection hidden="1"/>
    </xf>
    <xf numFmtId="165" fontId="18" fillId="2" borderId="12" xfId="3" applyNumberFormat="1" applyFont="1" applyFill="1" applyBorder="1" applyAlignment="1" applyProtection="1">
      <alignment horizontal="right" wrapText="1"/>
      <protection hidden="1"/>
    </xf>
    <xf numFmtId="165" fontId="18" fillId="2" borderId="13" xfId="3" applyNumberFormat="1" applyFont="1" applyFill="1" applyBorder="1" applyAlignment="1" applyProtection="1">
      <alignment horizontal="right" wrapText="1"/>
      <protection hidden="1"/>
    </xf>
    <xf numFmtId="0" fontId="17" fillId="2" borderId="10" xfId="0" applyFont="1" applyFill="1" applyBorder="1" applyAlignment="1" applyProtection="1">
      <alignment vertical="top"/>
      <protection hidden="1"/>
    </xf>
    <xf numFmtId="0" fontId="17" fillId="2" borderId="0" xfId="0" applyFont="1" applyFill="1" applyAlignment="1" applyProtection="1">
      <alignment vertical="top"/>
      <protection hidden="1"/>
    </xf>
    <xf numFmtId="0" fontId="0" fillId="2" borderId="7" xfId="0" applyFill="1" applyBorder="1" applyProtection="1">
      <protection hidden="1"/>
    </xf>
    <xf numFmtId="0" fontId="0" fillId="2" borderId="8" xfId="0" applyFill="1" applyBorder="1" applyProtection="1">
      <protection hidden="1"/>
    </xf>
    <xf numFmtId="0" fontId="0" fillId="2" borderId="11" xfId="0" applyFill="1" applyBorder="1" applyProtection="1">
      <protection hidden="1"/>
    </xf>
    <xf numFmtId="0" fontId="0" fillId="2" borderId="12" xfId="0" applyFill="1" applyBorder="1" applyProtection="1">
      <protection hidden="1"/>
    </xf>
    <xf numFmtId="0" fontId="10" fillId="4" borderId="7" xfId="0" applyFont="1" applyFill="1" applyBorder="1" applyAlignment="1" applyProtection="1">
      <alignment horizontal="left" vertical="top"/>
      <protection hidden="1"/>
    </xf>
    <xf numFmtId="0" fontId="10" fillId="4" borderId="8" xfId="0" applyFont="1" applyFill="1" applyBorder="1" applyAlignment="1" applyProtection="1">
      <alignment horizontal="left" vertical="top"/>
      <protection hidden="1"/>
    </xf>
    <xf numFmtId="0" fontId="11" fillId="4" borderId="8" xfId="0" applyFont="1" applyFill="1" applyBorder="1" applyAlignment="1" applyProtection="1">
      <alignment horizontal="left" vertical="top"/>
      <protection hidden="1"/>
    </xf>
    <xf numFmtId="0" fontId="11" fillId="4" borderId="14" xfId="0" applyFont="1" applyFill="1" applyBorder="1" applyAlignment="1" applyProtection="1">
      <alignment vertical="top"/>
      <protection hidden="1"/>
    </xf>
    <xf numFmtId="0" fontId="11" fillId="4" borderId="9" xfId="0" applyFont="1" applyFill="1" applyBorder="1" applyAlignment="1" applyProtection="1">
      <alignment horizontal="left" vertical="top" wrapText="1"/>
      <protection hidden="1"/>
    </xf>
    <xf numFmtId="0" fontId="19" fillId="4" borderId="10" xfId="0" applyFont="1" applyFill="1" applyBorder="1" applyAlignment="1" applyProtection="1">
      <alignment vertical="top"/>
      <protection hidden="1"/>
    </xf>
    <xf numFmtId="0" fontId="13" fillId="4" borderId="0" xfId="0" applyFont="1" applyFill="1" applyAlignment="1" applyProtection="1">
      <alignment horizontal="right" wrapText="1"/>
      <protection hidden="1"/>
    </xf>
    <xf numFmtId="0" fontId="8" fillId="4" borderId="0" xfId="2" applyNumberFormat="1" applyFont="1" applyFill="1" applyBorder="1" applyAlignment="1" applyProtection="1">
      <alignment horizontal="right" wrapText="1"/>
      <protection hidden="1"/>
    </xf>
    <xf numFmtId="0" fontId="13" fillId="4" borderId="9" xfId="0" applyFont="1" applyFill="1" applyBorder="1" applyAlignment="1" applyProtection="1">
      <alignment horizontal="right" wrapText="1"/>
      <protection hidden="1"/>
    </xf>
    <xf numFmtId="166" fontId="18" fillId="2" borderId="0" xfId="0" applyNumberFormat="1" applyFont="1" applyFill="1" applyAlignment="1" applyProtection="1">
      <alignment horizontal="right" wrapText="1"/>
      <protection hidden="1"/>
    </xf>
    <xf numFmtId="0" fontId="22" fillId="2" borderId="5" xfId="0" applyFont="1" applyFill="1" applyBorder="1" applyAlignment="1" applyProtection="1">
      <alignment vertical="top"/>
      <protection hidden="1"/>
    </xf>
    <xf numFmtId="0" fontId="23" fillId="2" borderId="10" xfId="1" applyNumberFormat="1" applyFont="1" applyFill="1" applyBorder="1" applyAlignment="1" applyProtection="1">
      <alignment horizontal="left"/>
      <protection hidden="1"/>
    </xf>
    <xf numFmtId="0" fontId="23" fillId="2" borderId="0" xfId="1" applyNumberFormat="1" applyFont="1" applyFill="1" applyBorder="1" applyAlignment="1" applyProtection="1">
      <alignment horizontal="left"/>
      <protection hidden="1"/>
    </xf>
    <xf numFmtId="0" fontId="0" fillId="2" borderId="14" xfId="0" applyFill="1" applyBorder="1" applyProtection="1">
      <protection hidden="1"/>
    </xf>
    <xf numFmtId="0" fontId="0" fillId="2" borderId="9" xfId="0" applyFill="1" applyBorder="1" applyProtection="1">
      <protection hidden="1"/>
    </xf>
    <xf numFmtId="0" fontId="23" fillId="2" borderId="9" xfId="0" applyFont="1" applyFill="1" applyBorder="1" applyAlignment="1" applyProtection="1">
      <alignment horizontal="left" vertical="top" wrapText="1"/>
      <protection hidden="1"/>
    </xf>
    <xf numFmtId="0" fontId="23" fillId="2" borderId="13" xfId="0" applyFont="1" applyFill="1" applyBorder="1" applyAlignment="1" applyProtection="1">
      <alignment horizontal="left" vertical="top" wrapText="1"/>
      <protection hidden="1"/>
    </xf>
    <xf numFmtId="0" fontId="11" fillId="4" borderId="0" xfId="0" applyFont="1" applyFill="1" applyAlignment="1" applyProtection="1">
      <alignment horizontal="left" vertical="top" wrapText="1"/>
      <protection hidden="1"/>
    </xf>
    <xf numFmtId="0" fontId="26" fillId="4" borderId="11" xfId="0" applyFont="1" applyFill="1" applyBorder="1" applyProtection="1">
      <protection hidden="1"/>
    </xf>
    <xf numFmtId="0" fontId="8" fillId="4" borderId="12" xfId="0" applyFont="1" applyFill="1" applyBorder="1" applyAlignment="1" applyProtection="1">
      <alignment wrapText="1"/>
      <protection hidden="1"/>
    </xf>
    <xf numFmtId="0" fontId="8" fillId="4" borderId="13" xfId="0" applyFont="1" applyFill="1" applyBorder="1" applyAlignment="1" applyProtection="1">
      <alignment wrapText="1"/>
      <protection hidden="1"/>
    </xf>
    <xf numFmtId="0" fontId="17" fillId="2" borderId="4" xfId="0" applyFont="1" applyFill="1" applyBorder="1" applyAlignment="1" applyProtection="1">
      <alignment vertical="top"/>
      <protection hidden="1"/>
    </xf>
    <xf numFmtId="0" fontId="17" fillId="2" borderId="5" xfId="0" applyFont="1" applyFill="1" applyBorder="1" applyAlignment="1" applyProtection="1">
      <alignment vertical="top"/>
      <protection hidden="1"/>
    </xf>
    <xf numFmtId="166" fontId="18" fillId="2" borderId="0" xfId="0" applyNumberFormat="1" applyFont="1" applyFill="1" applyAlignment="1" applyProtection="1">
      <alignment wrapText="1"/>
      <protection hidden="1"/>
    </xf>
    <xf numFmtId="0" fontId="23" fillId="2" borderId="7" xfId="1" applyNumberFormat="1" applyFont="1" applyFill="1" applyBorder="1" applyAlignment="1" applyProtection="1">
      <alignment horizontal="left"/>
      <protection hidden="1"/>
    </xf>
    <xf numFmtId="0" fontId="23" fillId="2" borderId="8" xfId="1" applyNumberFormat="1" applyFont="1" applyFill="1" applyBorder="1" applyAlignment="1" applyProtection="1">
      <alignment horizontal="left"/>
      <protection hidden="1"/>
    </xf>
    <xf numFmtId="0" fontId="27" fillId="4" borderId="0" xfId="0" applyFont="1" applyFill="1" applyAlignment="1" applyProtection="1">
      <alignment vertical="top" wrapText="1"/>
      <protection hidden="1"/>
    </xf>
    <xf numFmtId="0" fontId="27" fillId="4" borderId="9" xfId="0" applyFont="1" applyFill="1" applyBorder="1" applyAlignment="1" applyProtection="1">
      <alignment vertical="top" wrapText="1"/>
      <protection hidden="1"/>
    </xf>
    <xf numFmtId="166" fontId="18" fillId="3" borderId="8" xfId="0" applyNumberFormat="1" applyFont="1" applyFill="1" applyBorder="1" applyAlignment="1" applyProtection="1">
      <alignment wrapText="1"/>
      <protection hidden="1"/>
    </xf>
    <xf numFmtId="0" fontId="0" fillId="2" borderId="13" xfId="0" applyFill="1" applyBorder="1" applyProtection="1">
      <protection hidden="1"/>
    </xf>
    <xf numFmtId="0" fontId="28" fillId="4" borderId="0" xfId="0" applyFont="1" applyFill="1" applyAlignment="1" applyProtection="1">
      <alignment wrapText="1"/>
      <protection hidden="1"/>
    </xf>
    <xf numFmtId="0" fontId="28" fillId="4" borderId="9" xfId="0" applyFont="1" applyFill="1" applyBorder="1" applyAlignment="1" applyProtection="1">
      <alignment wrapText="1"/>
      <protection hidden="1"/>
    </xf>
    <xf numFmtId="0" fontId="8" fillId="4" borderId="8" xfId="0" applyFont="1" applyFill="1" applyBorder="1" applyAlignment="1" applyProtection="1">
      <alignment vertical="top"/>
      <protection hidden="1"/>
    </xf>
    <xf numFmtId="0" fontId="8" fillId="4" borderId="14" xfId="0" applyFont="1" applyFill="1" applyBorder="1" applyAlignment="1" applyProtection="1">
      <alignment vertical="top"/>
      <protection hidden="1"/>
    </xf>
    <xf numFmtId="0" fontId="26" fillId="4" borderId="11" xfId="0" applyFont="1" applyFill="1" applyBorder="1" applyAlignment="1" applyProtection="1">
      <alignment vertical="top" wrapText="1"/>
      <protection hidden="1"/>
    </xf>
    <xf numFmtId="0" fontId="13" fillId="4" borderId="12" xfId="0" applyFont="1" applyFill="1" applyBorder="1" applyAlignment="1" applyProtection="1">
      <alignment wrapText="1"/>
      <protection hidden="1"/>
    </xf>
    <xf numFmtId="0" fontId="13" fillId="4" borderId="13" xfId="0" applyFont="1" applyFill="1" applyBorder="1" applyAlignment="1" applyProtection="1">
      <alignment wrapText="1"/>
      <protection hidden="1"/>
    </xf>
    <xf numFmtId="0" fontId="17" fillId="2" borderId="11" xfId="0" applyFont="1" applyFill="1" applyBorder="1" applyAlignment="1" applyProtection="1">
      <alignment vertical="top"/>
      <protection hidden="1"/>
    </xf>
    <xf numFmtId="164" fontId="18" fillId="3" borderId="8" xfId="1" applyNumberFormat="1" applyFont="1" applyFill="1" applyBorder="1" applyAlignment="1" applyProtection="1">
      <alignment horizontal="right" wrapText="1"/>
      <protection hidden="1"/>
    </xf>
    <xf numFmtId="164" fontId="18" fillId="3" borderId="14" xfId="1" applyNumberFormat="1" applyFont="1" applyFill="1" applyBorder="1" applyAlignment="1" applyProtection="1">
      <alignment horizontal="right" wrapText="1"/>
      <protection hidden="1"/>
    </xf>
    <xf numFmtId="164" fontId="18" fillId="3" borderId="0" xfId="1" applyNumberFormat="1" applyFont="1" applyFill="1" applyBorder="1" applyAlignment="1" applyProtection="1">
      <alignment horizontal="right" wrapText="1"/>
      <protection hidden="1"/>
    </xf>
    <xf numFmtId="164" fontId="18" fillId="3" borderId="9" xfId="1" applyNumberFormat="1" applyFont="1" applyFill="1" applyBorder="1" applyAlignment="1" applyProtection="1">
      <alignment horizontal="right" wrapText="1"/>
      <protection hidden="1"/>
    </xf>
    <xf numFmtId="164" fontId="18" fillId="3" borderId="12" xfId="1" applyNumberFormat="1" applyFont="1" applyFill="1" applyBorder="1" applyAlignment="1" applyProtection="1">
      <alignment horizontal="right" wrapText="1"/>
      <protection hidden="1"/>
    </xf>
    <xf numFmtId="164" fontId="18" fillId="3" borderId="13" xfId="1" applyNumberFormat="1" applyFont="1" applyFill="1" applyBorder="1" applyAlignment="1" applyProtection="1">
      <alignment horizontal="right" wrapText="1"/>
      <protection hidden="1"/>
    </xf>
    <xf numFmtId="0" fontId="17" fillId="2" borderId="12" xfId="0" applyFont="1" applyFill="1" applyBorder="1" applyAlignment="1" applyProtection="1">
      <alignment vertical="top"/>
      <protection hidden="1"/>
    </xf>
    <xf numFmtId="3" fontId="18" fillId="2" borderId="8" xfId="1" applyNumberFormat="1" applyFont="1" applyFill="1" applyBorder="1" applyAlignment="1" applyProtection="1">
      <alignment horizontal="right" wrapText="1"/>
      <protection hidden="1"/>
    </xf>
    <xf numFmtId="3" fontId="18" fillId="2" borderId="14" xfId="1" applyNumberFormat="1" applyFont="1" applyFill="1" applyBorder="1" applyAlignment="1" applyProtection="1">
      <alignment horizontal="right" wrapText="1"/>
      <protection hidden="1"/>
    </xf>
    <xf numFmtId="3" fontId="18" fillId="2" borderId="0" xfId="1" applyNumberFormat="1" applyFont="1" applyFill="1" applyBorder="1" applyAlignment="1" applyProtection="1">
      <alignment horizontal="right" wrapText="1"/>
      <protection hidden="1"/>
    </xf>
    <xf numFmtId="3" fontId="18" fillId="2" borderId="9" xfId="1" applyNumberFormat="1" applyFont="1" applyFill="1" applyBorder="1" applyAlignment="1" applyProtection="1">
      <alignment horizontal="right" wrapText="1"/>
      <protection hidden="1"/>
    </xf>
    <xf numFmtId="3" fontId="18" fillId="2" borderId="12" xfId="1" applyNumberFormat="1" applyFont="1" applyFill="1" applyBorder="1" applyAlignment="1" applyProtection="1">
      <alignment horizontal="right" wrapText="1"/>
      <protection hidden="1"/>
    </xf>
    <xf numFmtId="3" fontId="18" fillId="2" borderId="13" xfId="1" applyNumberFormat="1" applyFont="1" applyFill="1" applyBorder="1" applyAlignment="1" applyProtection="1">
      <alignment horizontal="right" wrapText="1"/>
      <protection hidden="1"/>
    </xf>
    <xf numFmtId="0" fontId="10" fillId="4" borderId="14" xfId="0" applyFont="1" applyFill="1" applyBorder="1" applyAlignment="1" applyProtection="1">
      <alignment horizontal="left" vertical="top" wrapText="1"/>
      <protection hidden="1"/>
    </xf>
    <xf numFmtId="0" fontId="13" fillId="4" borderId="0" xfId="0" applyFont="1" applyFill="1" applyAlignment="1" applyProtection="1">
      <alignment wrapText="1"/>
      <protection hidden="1"/>
    </xf>
    <xf numFmtId="0" fontId="18" fillId="2" borderId="4" xfId="0" applyFont="1" applyFill="1" applyBorder="1" applyAlignment="1" applyProtection="1">
      <alignment horizontal="left" vertical="top"/>
      <protection hidden="1"/>
    </xf>
    <xf numFmtId="0" fontId="18" fillId="2" borderId="5" xfId="0" applyFont="1" applyFill="1" applyBorder="1" applyAlignment="1" applyProtection="1">
      <alignment horizontal="left" vertical="top"/>
      <protection hidden="1"/>
    </xf>
    <xf numFmtId="0" fontId="18" fillId="2" borderId="7" xfId="0" applyFont="1" applyFill="1" applyBorder="1" applyAlignment="1" applyProtection="1">
      <alignment horizontal="left"/>
      <protection hidden="1"/>
    </xf>
    <xf numFmtId="0" fontId="18" fillId="2" borderId="8" xfId="0" applyFont="1" applyFill="1" applyBorder="1" applyAlignment="1" applyProtection="1">
      <alignment horizontal="left"/>
      <protection hidden="1"/>
    </xf>
    <xf numFmtId="167" fontId="18" fillId="3" borderId="8" xfId="5" applyNumberFormat="1" applyFont="1" applyFill="1" applyBorder="1" applyAlignment="1" applyProtection="1">
      <alignment horizontal="right" wrapText="1"/>
      <protection hidden="1"/>
    </xf>
    <xf numFmtId="167" fontId="18" fillId="3" borderId="14" xfId="5" applyNumberFormat="1" applyFont="1" applyFill="1" applyBorder="1" applyAlignment="1" applyProtection="1">
      <alignment horizontal="right" wrapText="1"/>
      <protection hidden="1"/>
    </xf>
    <xf numFmtId="0" fontId="18" fillId="2" borderId="11" xfId="0" applyFont="1" applyFill="1" applyBorder="1" applyAlignment="1" applyProtection="1">
      <alignment horizontal="left"/>
      <protection hidden="1"/>
    </xf>
    <xf numFmtId="0" fontId="18" fillId="2" borderId="12" xfId="0" applyFont="1" applyFill="1" applyBorder="1" applyAlignment="1" applyProtection="1">
      <alignment horizontal="left"/>
      <protection hidden="1"/>
    </xf>
    <xf numFmtId="167" fontId="18" fillId="3" borderId="12" xfId="5" applyNumberFormat="1" applyFont="1" applyFill="1" applyBorder="1" applyAlignment="1" applyProtection="1">
      <alignment horizontal="right" wrapText="1"/>
      <protection hidden="1"/>
    </xf>
    <xf numFmtId="167" fontId="18" fillId="3" borderId="13" xfId="5" applyNumberFormat="1" applyFont="1" applyFill="1" applyBorder="1" applyAlignment="1" applyProtection="1">
      <alignment horizontal="right" wrapText="1"/>
      <protection hidden="1"/>
    </xf>
    <xf numFmtId="0" fontId="13" fillId="2" borderId="4" xfId="0" applyFont="1" applyFill="1" applyBorder="1" applyAlignment="1" applyProtection="1">
      <alignment horizontal="left"/>
      <protection hidden="1"/>
    </xf>
    <xf numFmtId="0" fontId="13" fillId="2" borderId="5" xfId="0" applyFont="1" applyFill="1" applyBorder="1" applyAlignment="1" applyProtection="1">
      <alignment horizontal="left"/>
      <protection hidden="1"/>
    </xf>
    <xf numFmtId="167" fontId="13" fillId="3" borderId="5" xfId="5" applyNumberFormat="1" applyFont="1" applyFill="1" applyBorder="1" applyAlignment="1" applyProtection="1">
      <alignment horizontal="right" wrapText="1"/>
      <protection hidden="1"/>
    </xf>
    <xf numFmtId="167" fontId="8" fillId="3" borderId="5" xfId="0" applyNumberFormat="1" applyFont="1" applyFill="1" applyBorder="1" applyAlignment="1" applyProtection="1">
      <alignment horizontal="right" wrapText="1"/>
      <protection hidden="1"/>
    </xf>
    <xf numFmtId="3" fontId="8" fillId="3" borderId="5" xfId="0" applyNumberFormat="1" applyFont="1" applyFill="1" applyBorder="1" applyAlignment="1" applyProtection="1">
      <alignment horizontal="right" wrapText="1"/>
      <protection hidden="1"/>
    </xf>
    <xf numFmtId="3" fontId="8" fillId="3" borderId="6" xfId="0" applyNumberFormat="1" applyFont="1" applyFill="1" applyBorder="1" applyAlignment="1" applyProtection="1">
      <alignment horizontal="right" wrapText="1"/>
      <protection hidden="1"/>
    </xf>
    <xf numFmtId="0" fontId="18" fillId="2" borderId="10" xfId="0" applyFont="1" applyFill="1" applyBorder="1" applyAlignment="1" applyProtection="1">
      <alignment horizontal="left"/>
      <protection hidden="1"/>
    </xf>
    <xf numFmtId="0" fontId="18" fillId="2" borderId="0" xfId="0" applyFont="1" applyFill="1" applyAlignment="1" applyProtection="1">
      <alignment horizontal="left"/>
      <protection hidden="1"/>
    </xf>
    <xf numFmtId="165" fontId="18" fillId="2" borderId="0" xfId="3" applyNumberFormat="1" applyFont="1" applyFill="1" applyBorder="1" applyAlignment="1" applyProtection="1">
      <alignment horizontal="right" wrapText="1"/>
      <protection hidden="1"/>
    </xf>
    <xf numFmtId="167" fontId="18" fillId="2" borderId="0" xfId="5" applyNumberFormat="1" applyFont="1" applyFill="1" applyAlignment="1" applyProtection="1">
      <alignment horizontal="right" wrapText="1"/>
      <protection hidden="1"/>
    </xf>
    <xf numFmtId="167" fontId="18" fillId="2" borderId="9" xfId="5" applyNumberFormat="1" applyFont="1" applyFill="1" applyBorder="1" applyAlignment="1" applyProtection="1">
      <alignment horizontal="right" wrapText="1"/>
      <protection hidden="1"/>
    </xf>
    <xf numFmtId="167" fontId="18" fillId="2" borderId="12" xfId="5" applyNumberFormat="1" applyFont="1" applyFill="1" applyBorder="1" applyAlignment="1" applyProtection="1">
      <alignment horizontal="right" wrapText="1"/>
      <protection hidden="1"/>
    </xf>
    <xf numFmtId="167" fontId="18" fillId="2" borderId="13" xfId="5" applyNumberFormat="1" applyFont="1" applyFill="1" applyBorder="1" applyAlignment="1" applyProtection="1">
      <alignment horizontal="right" wrapText="1"/>
      <protection hidden="1"/>
    </xf>
    <xf numFmtId="0" fontId="13" fillId="2" borderId="11" xfId="0" applyFont="1" applyFill="1" applyBorder="1" applyAlignment="1" applyProtection="1">
      <alignment horizontal="left"/>
      <protection hidden="1"/>
    </xf>
    <xf numFmtId="0" fontId="13" fillId="2" borderId="12" xfId="0" applyFont="1" applyFill="1" applyBorder="1" applyAlignment="1" applyProtection="1">
      <alignment horizontal="left"/>
      <protection hidden="1"/>
    </xf>
    <xf numFmtId="167" fontId="13" fillId="2" borderId="12" xfId="5" applyNumberFormat="1" applyFont="1" applyFill="1" applyBorder="1" applyAlignment="1" applyProtection="1">
      <alignment horizontal="right" wrapText="1"/>
      <protection hidden="1"/>
    </xf>
    <xf numFmtId="167" fontId="13" fillId="2" borderId="13" xfId="5" applyNumberFormat="1" applyFont="1" applyFill="1" applyBorder="1" applyAlignment="1" applyProtection="1">
      <alignment horizontal="right" wrapText="1"/>
      <protection hidden="1"/>
    </xf>
    <xf numFmtId="0" fontId="13" fillId="2" borderId="0" xfId="0" applyFont="1" applyFill="1" applyAlignment="1" applyProtection="1">
      <alignment horizontal="left"/>
      <protection hidden="1"/>
    </xf>
    <xf numFmtId="0" fontId="12" fillId="2" borderId="7" xfId="0" applyFont="1" applyFill="1" applyBorder="1" applyProtection="1">
      <protection hidden="1"/>
    </xf>
    <xf numFmtId="0" fontId="12" fillId="2" borderId="8" xfId="0" applyFont="1" applyFill="1" applyBorder="1" applyProtection="1">
      <protection hidden="1"/>
    </xf>
    <xf numFmtId="167" fontId="18" fillId="2" borderId="8" xfId="5" applyNumberFormat="1" applyFont="1" applyFill="1" applyBorder="1" applyAlignment="1" applyProtection="1">
      <alignment horizontal="center" wrapText="1"/>
      <protection hidden="1"/>
    </xf>
    <xf numFmtId="167" fontId="30" fillId="2" borderId="8" xfId="0" applyNumberFormat="1" applyFont="1" applyFill="1" applyBorder="1" applyAlignment="1" applyProtection="1">
      <alignment wrapText="1"/>
      <protection hidden="1"/>
    </xf>
    <xf numFmtId="0" fontId="30" fillId="2" borderId="8" xfId="0" applyFont="1" applyFill="1" applyBorder="1" applyAlignment="1" applyProtection="1">
      <alignment wrapText="1"/>
      <protection hidden="1"/>
    </xf>
    <xf numFmtId="0" fontId="30" fillId="2" borderId="14" xfId="0" applyFont="1" applyFill="1" applyBorder="1" applyAlignment="1" applyProtection="1">
      <alignment wrapText="1"/>
      <protection hidden="1"/>
    </xf>
    <xf numFmtId="0" fontId="20" fillId="2" borderId="0" xfId="0" applyFont="1" applyFill="1" applyProtection="1">
      <protection hidden="1"/>
    </xf>
    <xf numFmtId="0" fontId="12" fillId="2" borderId="10" xfId="0" applyFont="1" applyFill="1" applyBorder="1" applyProtection="1">
      <protection hidden="1"/>
    </xf>
    <xf numFmtId="0" fontId="12" fillId="2" borderId="0" xfId="0" applyFont="1" applyFill="1" applyProtection="1">
      <protection hidden="1"/>
    </xf>
    <xf numFmtId="167" fontId="18" fillId="2" borderId="0" xfId="5" applyNumberFormat="1" applyFont="1" applyFill="1" applyAlignment="1" applyProtection="1">
      <alignment horizontal="center" wrapText="1"/>
      <protection hidden="1"/>
    </xf>
    <xf numFmtId="167" fontId="30" fillId="2" borderId="0" xfId="0" applyNumberFormat="1" applyFont="1" applyFill="1" applyAlignment="1" applyProtection="1">
      <alignment wrapText="1"/>
      <protection hidden="1"/>
    </xf>
    <xf numFmtId="0" fontId="30" fillId="2" borderId="0" xfId="0" applyFont="1" applyFill="1" applyAlignment="1" applyProtection="1">
      <alignment wrapText="1"/>
      <protection hidden="1"/>
    </xf>
    <xf numFmtId="0" fontId="30" fillId="2" borderId="9" xfId="0" applyFont="1" applyFill="1" applyBorder="1" applyAlignment="1" applyProtection="1">
      <alignment wrapText="1"/>
      <protection hidden="1"/>
    </xf>
    <xf numFmtId="0" fontId="12" fillId="2" borderId="11" xfId="0" applyFont="1" applyFill="1" applyBorder="1" applyProtection="1">
      <protection hidden="1"/>
    </xf>
    <xf numFmtId="0" fontId="12" fillId="2" borderId="12" xfId="0" applyFont="1" applyFill="1" applyBorder="1" applyProtection="1">
      <protection hidden="1"/>
    </xf>
    <xf numFmtId="0" fontId="18" fillId="2" borderId="12" xfId="5" applyFont="1" applyFill="1" applyBorder="1" applyAlignment="1" applyProtection="1">
      <alignment horizontal="center" wrapText="1"/>
      <protection hidden="1"/>
    </xf>
    <xf numFmtId="0" fontId="30" fillId="2" borderId="12" xfId="0" applyFont="1" applyFill="1" applyBorder="1" applyAlignment="1" applyProtection="1">
      <alignment wrapText="1"/>
      <protection hidden="1"/>
    </xf>
    <xf numFmtId="0" fontId="30" fillId="2" borderId="13" xfId="0" applyFont="1" applyFill="1" applyBorder="1" applyAlignment="1" applyProtection="1">
      <alignment wrapText="1"/>
      <protection hidden="1"/>
    </xf>
    <xf numFmtId="0" fontId="33" fillId="0" borderId="0" xfId="0" applyFont="1"/>
    <xf numFmtId="0" fontId="33" fillId="5" borderId="15" xfId="0" applyFont="1" applyFill="1" applyBorder="1" applyAlignment="1">
      <alignment wrapText="1"/>
    </xf>
    <xf numFmtId="0" fontId="33" fillId="6" borderId="15" xfId="0" applyFont="1" applyFill="1" applyBorder="1" applyAlignment="1">
      <alignment wrapText="1"/>
    </xf>
    <xf numFmtId="0" fontId="33" fillId="7" borderId="15" xfId="0" applyFont="1" applyFill="1" applyBorder="1" applyAlignment="1">
      <alignment wrapText="1"/>
    </xf>
    <xf numFmtId="0" fontId="33" fillId="7" borderId="15" xfId="0" applyFont="1" applyFill="1" applyBorder="1" applyAlignment="1">
      <alignment horizontal="left" wrapText="1"/>
    </xf>
    <xf numFmtId="0" fontId="33" fillId="8" borderId="15" xfId="0" applyFont="1" applyFill="1" applyBorder="1" applyAlignment="1">
      <alignment wrapText="1"/>
    </xf>
    <xf numFmtId="0" fontId="33" fillId="9" borderId="15" xfId="0" applyFont="1" applyFill="1" applyBorder="1" applyAlignment="1">
      <alignment wrapText="1"/>
    </xf>
    <xf numFmtId="0" fontId="33" fillId="10" borderId="15" xfId="0" applyFont="1" applyFill="1" applyBorder="1" applyAlignment="1">
      <alignment wrapText="1"/>
    </xf>
    <xf numFmtId="0" fontId="33" fillId="11" borderId="15" xfId="0" applyFont="1" applyFill="1" applyBorder="1" applyAlignment="1">
      <alignment wrapText="1"/>
    </xf>
    <xf numFmtId="0" fontId="33" fillId="12" borderId="15" xfId="0" applyFont="1" applyFill="1" applyBorder="1" applyAlignment="1">
      <alignment horizontal="right" wrapText="1"/>
    </xf>
    <xf numFmtId="0" fontId="8" fillId="0" borderId="0" xfId="0" applyFont="1"/>
    <xf numFmtId="0" fontId="15" fillId="0" borderId="0" xfId="0" applyFont="1"/>
    <xf numFmtId="0" fontId="15" fillId="13" borderId="17" xfId="0" applyFont="1" applyFill="1" applyBorder="1"/>
    <xf numFmtId="0" fontId="15" fillId="5" borderId="18" xfId="0" applyFont="1" applyFill="1" applyBorder="1" applyAlignment="1">
      <alignment wrapText="1"/>
    </xf>
    <xf numFmtId="0" fontId="15" fillId="6" borderId="18" xfId="0" applyFont="1" applyFill="1" applyBorder="1" applyAlignment="1">
      <alignment wrapText="1"/>
    </xf>
    <xf numFmtId="0" fontId="15" fillId="7" borderId="18" xfId="0" applyFont="1" applyFill="1" applyBorder="1" applyAlignment="1">
      <alignment wrapText="1"/>
    </xf>
    <xf numFmtId="0" fontId="15" fillId="7" borderId="18" xfId="0" applyFont="1" applyFill="1" applyBorder="1" applyAlignment="1">
      <alignment horizontal="left" wrapText="1"/>
    </xf>
    <xf numFmtId="0" fontId="15" fillId="8" borderId="18" xfId="0" applyFont="1" applyFill="1" applyBorder="1" applyAlignment="1">
      <alignment wrapText="1"/>
    </xf>
    <xf numFmtId="0" fontId="15" fillId="9" borderId="18" xfId="0" applyFont="1" applyFill="1" applyBorder="1" applyAlignment="1">
      <alignment wrapText="1"/>
    </xf>
    <xf numFmtId="0" fontId="15" fillId="10" borderId="18" xfId="0" applyFont="1" applyFill="1" applyBorder="1" applyAlignment="1">
      <alignment wrapText="1"/>
    </xf>
    <xf numFmtId="0" fontId="15" fillId="11" borderId="18" xfId="0" applyFont="1" applyFill="1" applyBorder="1" applyAlignment="1">
      <alignment wrapText="1"/>
    </xf>
    <xf numFmtId="0" fontId="15" fillId="12" borderId="18" xfId="0" applyFont="1" applyFill="1" applyBorder="1" applyAlignment="1">
      <alignment horizontal="right" wrapText="1"/>
    </xf>
    <xf numFmtId="0" fontId="8" fillId="2" borderId="0" xfId="0" applyFont="1" applyFill="1"/>
    <xf numFmtId="9" fontId="18" fillId="0" borderId="17" xfId="3" applyFont="1" applyFill="1" applyBorder="1" applyAlignment="1" applyProtection="1">
      <alignment horizontal="right" wrapText="1"/>
      <protection hidden="1"/>
    </xf>
    <xf numFmtId="0" fontId="28" fillId="0" borderId="0" xfId="0" applyFont="1"/>
    <xf numFmtId="0" fontId="28" fillId="0" borderId="0" xfId="0" applyFont="1" applyAlignment="1">
      <alignment horizontal="left"/>
    </xf>
    <xf numFmtId="0" fontId="8" fillId="5" borderId="17" xfId="0" applyFont="1" applyFill="1" applyBorder="1"/>
    <xf numFmtId="0" fontId="8" fillId="8" borderId="17" xfId="0" applyFont="1" applyFill="1" applyBorder="1"/>
    <xf numFmtId="0" fontId="35" fillId="8" borderId="17" xfId="0" applyFont="1" applyFill="1" applyBorder="1"/>
    <xf numFmtId="0" fontId="15" fillId="2" borderId="10" xfId="0" applyFont="1" applyFill="1" applyBorder="1" applyAlignment="1" applyProtection="1">
      <alignment horizontal="left"/>
      <protection hidden="1"/>
    </xf>
    <xf numFmtId="0" fontId="15" fillId="2" borderId="0" xfId="0" applyFont="1" applyFill="1" applyAlignment="1" applyProtection="1">
      <alignment horizontal="left"/>
      <protection hidden="1"/>
    </xf>
    <xf numFmtId="165" fontId="15" fillId="2" borderId="0" xfId="3" applyNumberFormat="1" applyFont="1" applyFill="1" applyBorder="1" applyAlignment="1" applyProtection="1">
      <alignment horizontal="right" wrapText="1"/>
      <protection hidden="1"/>
    </xf>
    <xf numFmtId="165" fontId="15" fillId="2" borderId="9" xfId="3" applyNumberFormat="1" applyFont="1" applyFill="1" applyBorder="1" applyAlignment="1" applyProtection="1">
      <alignment horizontal="right" wrapText="1"/>
      <protection hidden="1"/>
    </xf>
    <xf numFmtId="0" fontId="17" fillId="4" borderId="5" xfId="0" applyFont="1" applyFill="1" applyBorder="1" applyAlignment="1" applyProtection="1">
      <alignment horizontal="right"/>
      <protection hidden="1"/>
    </xf>
    <xf numFmtId="0" fontId="17" fillId="4" borderId="6" xfId="0" applyFont="1" applyFill="1" applyBorder="1" applyAlignment="1" applyProtection="1">
      <alignment horizontal="right"/>
      <protection hidden="1"/>
    </xf>
    <xf numFmtId="0" fontId="0" fillId="2" borderId="0" xfId="0" applyFill="1"/>
    <xf numFmtId="0" fontId="36" fillId="0" borderId="0" xfId="4" applyFont="1" applyFill="1"/>
    <xf numFmtId="0" fontId="37" fillId="2" borderId="0" xfId="0" applyFont="1" applyFill="1" applyAlignment="1">
      <alignment horizontal="center" vertical="center" readingOrder="1"/>
    </xf>
    <xf numFmtId="0" fontId="38" fillId="0" borderId="0" xfId="4" applyFont="1" applyFill="1"/>
    <xf numFmtId="0" fontId="39" fillId="2" borderId="0" xfId="0" applyFont="1" applyFill="1" applyAlignment="1">
      <alignment horizontal="center" vertical="center" readingOrder="1"/>
    </xf>
    <xf numFmtId="0" fontId="40" fillId="0" borderId="0" xfId="4" applyFont="1" applyFill="1"/>
    <xf numFmtId="0" fontId="41" fillId="2" borderId="0" xfId="0" applyFont="1" applyFill="1"/>
    <xf numFmtId="0" fontId="42" fillId="2" borderId="0" xfId="0" applyFont="1" applyFill="1" applyAlignment="1">
      <alignment horizontal="center"/>
    </xf>
    <xf numFmtId="0" fontId="43" fillId="2" borderId="0" xfId="0" applyFont="1" applyFill="1" applyAlignment="1">
      <alignment horizontal="center"/>
    </xf>
    <xf numFmtId="0" fontId="8" fillId="2" borderId="0" xfId="0" applyFont="1" applyFill="1" applyAlignment="1">
      <alignment horizontal="center"/>
    </xf>
    <xf numFmtId="0" fontId="44" fillId="2" borderId="0" xfId="0" applyFont="1" applyFill="1" applyAlignment="1">
      <alignment horizontal="center"/>
    </xf>
    <xf numFmtId="0" fontId="45" fillId="2" borderId="0" xfId="0" applyFont="1" applyFill="1"/>
    <xf numFmtId="0" fontId="7" fillId="2" borderId="0" xfId="0" applyFont="1" applyFill="1"/>
    <xf numFmtId="0" fontId="51" fillId="2" borderId="0" xfId="0" applyFont="1" applyFill="1" applyAlignment="1">
      <alignment horizontal="left" vertical="center"/>
    </xf>
    <xf numFmtId="0" fontId="51" fillId="2" borderId="0" xfId="0" applyFont="1" applyFill="1" applyAlignment="1">
      <alignment vertical="center"/>
    </xf>
    <xf numFmtId="0" fontId="51" fillId="2" borderId="0" xfId="0" applyFont="1" applyFill="1"/>
    <xf numFmtId="0" fontId="46" fillId="2" borderId="0" xfId="0" applyFont="1" applyFill="1"/>
    <xf numFmtId="0" fontId="46" fillId="2" borderId="0" xfId="0" applyFont="1" applyFill="1" applyAlignment="1">
      <alignment horizontal="center"/>
    </xf>
    <xf numFmtId="0" fontId="53" fillId="2" borderId="0" xfId="4" applyFont="1" applyFill="1"/>
    <xf numFmtId="0" fontId="15" fillId="2" borderId="7" xfId="0" applyFont="1" applyFill="1" applyBorder="1" applyAlignment="1" applyProtection="1">
      <alignment vertical="center"/>
      <protection hidden="1"/>
    </xf>
    <xf numFmtId="0" fontId="15" fillId="2" borderId="11" xfId="0" applyFont="1" applyFill="1" applyBorder="1" applyAlignment="1" applyProtection="1">
      <alignment vertical="center"/>
      <protection hidden="1"/>
    </xf>
    <xf numFmtId="0" fontId="15" fillId="2" borderId="10" xfId="0" applyFont="1" applyFill="1" applyBorder="1" applyAlignment="1" applyProtection="1">
      <alignment vertical="center"/>
      <protection hidden="1"/>
    </xf>
    <xf numFmtId="0" fontId="15" fillId="4" borderId="4" xfId="0" applyFont="1" applyFill="1" applyBorder="1" applyProtection="1">
      <protection hidden="1"/>
    </xf>
    <xf numFmtId="0" fontId="15" fillId="4" borderId="5" xfId="0" applyFont="1" applyFill="1" applyBorder="1" applyProtection="1">
      <protection hidden="1"/>
    </xf>
    <xf numFmtId="0" fontId="15" fillId="2" borderId="0" xfId="0" applyFont="1" applyFill="1" applyProtection="1">
      <protection hidden="1"/>
    </xf>
    <xf numFmtId="0" fontId="15" fillId="2" borderId="8" xfId="0" applyFont="1" applyFill="1" applyBorder="1" applyAlignment="1" applyProtection="1">
      <alignment vertical="center"/>
      <protection hidden="1"/>
    </xf>
    <xf numFmtId="3" fontId="15" fillId="2" borderId="0" xfId="0" applyNumberFormat="1" applyFont="1" applyFill="1" applyAlignment="1" applyProtection="1">
      <alignment vertical="center"/>
      <protection hidden="1"/>
    </xf>
    <xf numFmtId="3" fontId="15" fillId="2" borderId="9" xfId="0" applyNumberFormat="1" applyFont="1" applyFill="1" applyBorder="1" applyAlignment="1" applyProtection="1">
      <alignment vertical="center"/>
      <protection hidden="1"/>
    </xf>
    <xf numFmtId="0" fontId="15" fillId="2" borderId="0" xfId="0" applyFont="1" applyFill="1" applyAlignment="1" applyProtection="1">
      <alignment vertical="center"/>
      <protection hidden="1"/>
    </xf>
    <xf numFmtId="0" fontId="15" fillId="2" borderId="9" xfId="0" applyFont="1" applyFill="1" applyBorder="1" applyAlignment="1" applyProtection="1">
      <alignment vertical="center"/>
      <protection hidden="1"/>
    </xf>
    <xf numFmtId="0" fontId="15" fillId="2" borderId="12" xfId="0" applyFont="1" applyFill="1" applyBorder="1" applyAlignment="1" applyProtection="1">
      <alignment vertical="center"/>
      <protection hidden="1"/>
    </xf>
    <xf numFmtId="3" fontId="15" fillId="2" borderId="12" xfId="0" applyNumberFormat="1" applyFont="1" applyFill="1" applyBorder="1" applyAlignment="1" applyProtection="1">
      <alignment vertical="center"/>
      <protection hidden="1"/>
    </xf>
    <xf numFmtId="3" fontId="15" fillId="2" borderId="13" xfId="0" applyNumberFormat="1" applyFont="1" applyFill="1" applyBorder="1" applyAlignment="1" applyProtection="1">
      <alignment vertical="center"/>
      <protection hidden="1"/>
    </xf>
    <xf numFmtId="0" fontId="15" fillId="2" borderId="13" xfId="0" applyFont="1" applyFill="1" applyBorder="1" applyAlignment="1" applyProtection="1">
      <alignment vertical="center"/>
      <protection hidden="1"/>
    </xf>
    <xf numFmtId="164" fontId="15" fillId="3" borderId="5" xfId="0" applyNumberFormat="1" applyFont="1" applyFill="1" applyBorder="1" applyAlignment="1" applyProtection="1">
      <alignment vertical="top" wrapText="1"/>
      <protection hidden="1"/>
    </xf>
    <xf numFmtId="164" fontId="15" fillId="3" borderId="6" xfId="0" applyNumberFormat="1" applyFont="1" applyFill="1" applyBorder="1" applyAlignment="1" applyProtection="1">
      <alignment vertical="top" wrapText="1"/>
      <protection hidden="1"/>
    </xf>
    <xf numFmtId="164" fontId="15" fillId="3" borderId="8" xfId="0" applyNumberFormat="1" applyFont="1" applyFill="1" applyBorder="1" applyAlignment="1" applyProtection="1">
      <alignment vertical="top" wrapText="1"/>
      <protection hidden="1"/>
    </xf>
    <xf numFmtId="164" fontId="15" fillId="3" borderId="14" xfId="0" applyNumberFormat="1" applyFont="1" applyFill="1" applyBorder="1" applyAlignment="1" applyProtection="1">
      <alignment vertical="top" wrapText="1"/>
      <protection hidden="1"/>
    </xf>
    <xf numFmtId="164" fontId="15" fillId="3" borderId="0" xfId="0" applyNumberFormat="1" applyFont="1" applyFill="1" applyAlignment="1" applyProtection="1">
      <alignment vertical="top" wrapText="1"/>
      <protection hidden="1"/>
    </xf>
    <xf numFmtId="164" fontId="15" fillId="3" borderId="9" xfId="0" applyNumberFormat="1" applyFont="1" applyFill="1" applyBorder="1" applyAlignment="1" applyProtection="1">
      <alignment vertical="top" wrapText="1"/>
      <protection hidden="1"/>
    </xf>
    <xf numFmtId="164" fontId="15" fillId="2" borderId="5" xfId="0" applyNumberFormat="1" applyFont="1" applyFill="1" applyBorder="1" applyAlignment="1" applyProtection="1">
      <alignment vertical="top" wrapText="1"/>
      <protection hidden="1"/>
    </xf>
    <xf numFmtId="164" fontId="15" fillId="2" borderId="6" xfId="0" applyNumberFormat="1" applyFont="1" applyFill="1" applyBorder="1" applyAlignment="1" applyProtection="1">
      <alignment vertical="top" wrapText="1"/>
      <protection hidden="1"/>
    </xf>
    <xf numFmtId="0" fontId="15" fillId="2" borderId="4" xfId="0" applyFont="1" applyFill="1" applyBorder="1" applyAlignment="1" applyProtection="1">
      <alignment horizontal="left" vertical="top"/>
      <protection hidden="1"/>
    </xf>
    <xf numFmtId="0" fontId="15" fillId="2" borderId="5" xfId="0" applyFont="1" applyFill="1" applyBorder="1" applyAlignment="1" applyProtection="1">
      <alignment horizontal="left" vertical="top"/>
      <protection hidden="1"/>
    </xf>
    <xf numFmtId="0" fontId="17" fillId="4" borderId="11" xfId="0" applyFont="1" applyFill="1" applyBorder="1" applyAlignment="1" applyProtection="1">
      <alignment vertical="top"/>
      <protection hidden="1"/>
    </xf>
    <xf numFmtId="166" fontId="15" fillId="2" borderId="8" xfId="0" applyNumberFormat="1" applyFont="1" applyFill="1" applyBorder="1" applyAlignment="1" applyProtection="1">
      <alignment horizontal="right" wrapText="1"/>
      <protection hidden="1"/>
    </xf>
    <xf numFmtId="166" fontId="15" fillId="2" borderId="14" xfId="0" applyNumberFormat="1" applyFont="1" applyFill="1" applyBorder="1" applyAlignment="1" applyProtection="1">
      <alignment horizontal="right" wrapText="1"/>
      <protection hidden="1"/>
    </xf>
    <xf numFmtId="0" fontId="15" fillId="2" borderId="0" xfId="0" applyFont="1" applyFill="1" applyAlignment="1" applyProtection="1">
      <alignment wrapText="1"/>
      <protection hidden="1"/>
    </xf>
    <xf numFmtId="0" fontId="15" fillId="2" borderId="9" xfId="0" applyFont="1" applyFill="1" applyBorder="1" applyAlignment="1" applyProtection="1">
      <alignment wrapText="1"/>
      <protection hidden="1"/>
    </xf>
    <xf numFmtId="0" fontId="15" fillId="2" borderId="7" xfId="0" applyFont="1" applyFill="1" applyBorder="1" applyProtection="1">
      <protection hidden="1"/>
    </xf>
    <xf numFmtId="0" fontId="15" fillId="2" borderId="8" xfId="0" applyFont="1" applyFill="1" applyBorder="1" applyProtection="1">
      <protection hidden="1"/>
    </xf>
    <xf numFmtId="0" fontId="15" fillId="2" borderId="10" xfId="0" applyFont="1" applyFill="1" applyBorder="1" applyProtection="1">
      <protection hidden="1"/>
    </xf>
    <xf numFmtId="0" fontId="15" fillId="2" borderId="11" xfId="0" applyFont="1" applyFill="1" applyBorder="1" applyProtection="1">
      <protection hidden="1"/>
    </xf>
    <xf numFmtId="0" fontId="15" fillId="2" borderId="12" xfId="0" applyFont="1" applyFill="1" applyBorder="1" applyProtection="1">
      <protection hidden="1"/>
    </xf>
    <xf numFmtId="165" fontId="15" fillId="2" borderId="12" xfId="3" applyNumberFormat="1" applyFont="1" applyFill="1" applyBorder="1" applyAlignment="1" applyProtection="1">
      <alignment horizontal="right" wrapText="1"/>
      <protection hidden="1"/>
    </xf>
    <xf numFmtId="165" fontId="15" fillId="2" borderId="13" xfId="3" applyNumberFormat="1" applyFont="1" applyFill="1" applyBorder="1" applyAlignment="1" applyProtection="1">
      <alignment horizontal="right" wrapText="1"/>
      <protection hidden="1"/>
    </xf>
    <xf numFmtId="3" fontId="15" fillId="2" borderId="8" xfId="0" applyNumberFormat="1" applyFont="1" applyFill="1" applyBorder="1" applyAlignment="1" applyProtection="1">
      <alignment wrapText="1"/>
      <protection hidden="1"/>
    </xf>
    <xf numFmtId="3" fontId="15" fillId="2" borderId="14" xfId="0" applyNumberFormat="1" applyFont="1" applyFill="1" applyBorder="1" applyAlignment="1" applyProtection="1">
      <alignment wrapText="1"/>
      <protection hidden="1"/>
    </xf>
    <xf numFmtId="3" fontId="15" fillId="2" borderId="0" xfId="0" applyNumberFormat="1" applyFont="1" applyFill="1" applyAlignment="1" applyProtection="1">
      <alignment wrapText="1"/>
      <protection hidden="1"/>
    </xf>
    <xf numFmtId="3" fontId="15" fillId="2" borderId="9" xfId="0" applyNumberFormat="1" applyFont="1" applyFill="1" applyBorder="1" applyAlignment="1" applyProtection="1">
      <alignment wrapText="1"/>
      <protection hidden="1"/>
    </xf>
    <xf numFmtId="3" fontId="15" fillId="2" borderId="8" xfId="0" applyNumberFormat="1" applyFont="1" applyFill="1" applyBorder="1" applyAlignment="1" applyProtection="1">
      <alignment horizontal="right" wrapText="1"/>
      <protection hidden="1"/>
    </xf>
    <xf numFmtId="3" fontId="15" fillId="2" borderId="14" xfId="0" applyNumberFormat="1" applyFont="1" applyFill="1" applyBorder="1" applyAlignment="1" applyProtection="1">
      <alignment horizontal="right" wrapText="1"/>
      <protection hidden="1"/>
    </xf>
    <xf numFmtId="166" fontId="15" fillId="3" borderId="8" xfId="0" applyNumberFormat="1" applyFont="1" applyFill="1" applyBorder="1" applyAlignment="1" applyProtection="1">
      <alignment horizontal="right" wrapText="1"/>
      <protection hidden="1"/>
    </xf>
    <xf numFmtId="166" fontId="15" fillId="3" borderId="14" xfId="0" applyNumberFormat="1" applyFont="1" applyFill="1" applyBorder="1" applyAlignment="1" applyProtection="1">
      <alignment horizontal="right" wrapText="1"/>
      <protection hidden="1"/>
    </xf>
    <xf numFmtId="166" fontId="15" fillId="2" borderId="0" xfId="0" applyNumberFormat="1" applyFont="1" applyFill="1" applyAlignment="1" applyProtection="1">
      <alignment horizontal="right" wrapText="1"/>
      <protection hidden="1"/>
    </xf>
    <xf numFmtId="166" fontId="15" fillId="2" borderId="9" xfId="0" applyNumberFormat="1" applyFont="1" applyFill="1" applyBorder="1" applyAlignment="1" applyProtection="1">
      <alignment horizontal="right" wrapText="1"/>
      <protection hidden="1"/>
    </xf>
    <xf numFmtId="3" fontId="15" fillId="2" borderId="12" xfId="0" applyNumberFormat="1" applyFont="1" applyFill="1" applyBorder="1" applyAlignment="1" applyProtection="1">
      <alignment horizontal="right" wrapText="1"/>
      <protection hidden="1"/>
    </xf>
    <xf numFmtId="3" fontId="15" fillId="2" borderId="13" xfId="0" applyNumberFormat="1" applyFont="1" applyFill="1" applyBorder="1" applyAlignment="1" applyProtection="1">
      <alignment horizontal="right" wrapText="1"/>
      <protection hidden="1"/>
    </xf>
    <xf numFmtId="3" fontId="15" fillId="2" borderId="0" xfId="0" applyNumberFormat="1" applyFont="1" applyFill="1" applyAlignment="1" applyProtection="1">
      <alignment horizontal="right" wrapText="1"/>
      <protection hidden="1"/>
    </xf>
    <xf numFmtId="3" fontId="15" fillId="2" borderId="9" xfId="0" applyNumberFormat="1" applyFont="1" applyFill="1" applyBorder="1" applyAlignment="1" applyProtection="1">
      <alignment horizontal="right" wrapText="1"/>
      <protection hidden="1"/>
    </xf>
    <xf numFmtId="0" fontId="15" fillId="2" borderId="5" xfId="0" applyFont="1" applyFill="1" applyBorder="1" applyAlignment="1" applyProtection="1">
      <alignment wrapText="1"/>
      <protection hidden="1"/>
    </xf>
    <xf numFmtId="0" fontId="15" fillId="2" borderId="6" xfId="0" applyFont="1" applyFill="1" applyBorder="1" applyAlignment="1" applyProtection="1">
      <alignment wrapText="1"/>
      <protection hidden="1"/>
    </xf>
    <xf numFmtId="166" fontId="15" fillId="3" borderId="8" xfId="0" applyNumberFormat="1" applyFont="1" applyFill="1" applyBorder="1" applyAlignment="1" applyProtection="1">
      <alignment wrapText="1"/>
      <protection hidden="1"/>
    </xf>
    <xf numFmtId="166" fontId="15" fillId="3" borderId="14" xfId="0" applyNumberFormat="1" applyFont="1" applyFill="1" applyBorder="1" applyAlignment="1" applyProtection="1">
      <alignment wrapText="1"/>
      <protection hidden="1"/>
    </xf>
    <xf numFmtId="166" fontId="15" fillId="2" borderId="0" xfId="0" applyNumberFormat="1" applyFont="1" applyFill="1" applyAlignment="1" applyProtection="1">
      <alignment wrapText="1"/>
      <protection hidden="1"/>
    </xf>
    <xf numFmtId="166" fontId="15" fillId="2" borderId="9" xfId="0" applyNumberFormat="1" applyFont="1" applyFill="1" applyBorder="1" applyAlignment="1" applyProtection="1">
      <alignment wrapText="1"/>
      <protection hidden="1"/>
    </xf>
    <xf numFmtId="3" fontId="15" fillId="2" borderId="12" xfId="0" applyNumberFormat="1" applyFont="1" applyFill="1" applyBorder="1" applyAlignment="1" applyProtection="1">
      <alignment wrapText="1"/>
      <protection hidden="1"/>
    </xf>
    <xf numFmtId="3" fontId="15" fillId="2" borderId="13" xfId="0" applyNumberFormat="1" applyFont="1" applyFill="1" applyBorder="1" applyAlignment="1" applyProtection="1">
      <alignment wrapText="1"/>
      <protection hidden="1"/>
    </xf>
    <xf numFmtId="164" fontId="15" fillId="2" borderId="12" xfId="0" applyNumberFormat="1" applyFont="1" applyFill="1" applyBorder="1" applyAlignment="1" applyProtection="1">
      <alignment wrapText="1"/>
      <protection hidden="1"/>
    </xf>
    <xf numFmtId="164" fontId="15" fillId="2" borderId="13" xfId="0" applyNumberFormat="1" applyFont="1" applyFill="1" applyBorder="1" applyAlignment="1" applyProtection="1">
      <alignment wrapText="1"/>
      <protection hidden="1"/>
    </xf>
    <xf numFmtId="0" fontId="15" fillId="2" borderId="7" xfId="0" applyFont="1" applyFill="1" applyBorder="1" applyAlignment="1" applyProtection="1">
      <alignment horizontal="left"/>
      <protection hidden="1"/>
    </xf>
    <xf numFmtId="0" fontId="15" fillId="2" borderId="8" xfId="0" applyFont="1" applyFill="1" applyBorder="1" applyAlignment="1" applyProtection="1">
      <alignment horizontal="left"/>
      <protection hidden="1"/>
    </xf>
    <xf numFmtId="0" fontId="15" fillId="2" borderId="11" xfId="0" applyFont="1" applyFill="1" applyBorder="1" applyAlignment="1" applyProtection="1">
      <alignment horizontal="left"/>
      <protection hidden="1"/>
    </xf>
    <xf numFmtId="0" fontId="15" fillId="2" borderId="12" xfId="0" applyFont="1" applyFill="1" applyBorder="1" applyAlignment="1" applyProtection="1">
      <alignment horizontal="left"/>
      <protection hidden="1"/>
    </xf>
    <xf numFmtId="0" fontId="54" fillId="4" borderId="11" xfId="0" applyFont="1" applyFill="1" applyBorder="1" applyAlignment="1" applyProtection="1">
      <alignment vertical="top"/>
      <protection hidden="1"/>
    </xf>
    <xf numFmtId="0" fontId="54" fillId="4" borderId="0" xfId="0" applyFont="1" applyFill="1" applyAlignment="1" applyProtection="1">
      <alignment vertical="top"/>
      <protection hidden="1"/>
    </xf>
    <xf numFmtId="167" fontId="15" fillId="2" borderId="5" xfId="0" applyNumberFormat="1" applyFont="1" applyFill="1" applyBorder="1" applyAlignment="1" applyProtection="1">
      <alignment wrapText="1"/>
      <protection hidden="1"/>
    </xf>
    <xf numFmtId="0" fontId="15" fillId="2" borderId="6" xfId="0" applyFont="1" applyFill="1" applyBorder="1" applyAlignment="1" applyProtection="1">
      <alignment horizontal="right" vertical="top" wrapText="1"/>
      <protection hidden="1"/>
    </xf>
    <xf numFmtId="3" fontId="15" fillId="2" borderId="5" xfId="0" applyNumberFormat="1" applyFont="1" applyFill="1" applyBorder="1" applyAlignment="1" applyProtection="1">
      <alignment horizontal="right" wrapText="1"/>
      <protection hidden="1"/>
    </xf>
    <xf numFmtId="167" fontId="15" fillId="2" borderId="5" xfId="0" applyNumberFormat="1" applyFont="1" applyFill="1" applyBorder="1" applyAlignment="1" applyProtection="1">
      <alignment horizontal="right" wrapText="1"/>
      <protection hidden="1"/>
    </xf>
    <xf numFmtId="3" fontId="15" fillId="2" borderId="6" xfId="0" applyNumberFormat="1" applyFont="1" applyFill="1" applyBorder="1" applyAlignment="1" applyProtection="1">
      <alignment horizontal="right" wrapText="1"/>
      <protection hidden="1"/>
    </xf>
    <xf numFmtId="0" fontId="15" fillId="2" borderId="6" xfId="0" applyFont="1" applyFill="1" applyBorder="1" applyAlignment="1" applyProtection="1">
      <alignment horizontal="right" wrapText="1"/>
      <protection hidden="1"/>
    </xf>
    <xf numFmtId="0" fontId="55" fillId="2" borderId="0" xfId="0" applyFont="1" applyFill="1" applyAlignment="1">
      <alignment horizontal="right"/>
    </xf>
    <xf numFmtId="0" fontId="56" fillId="2" borderId="0" xfId="0" applyFont="1" applyFill="1"/>
    <xf numFmtId="0" fontId="50" fillId="2" borderId="0" xfId="0" applyFont="1" applyFill="1"/>
    <xf numFmtId="0" fontId="46" fillId="14" borderId="0" xfId="0" applyFont="1" applyFill="1" applyAlignment="1">
      <alignment vertical="center" wrapText="1"/>
    </xf>
    <xf numFmtId="0" fontId="15" fillId="2" borderId="0" xfId="6" applyFill="1"/>
    <xf numFmtId="0" fontId="10" fillId="2" borderId="0" xfId="0" applyFont="1" applyFill="1" applyAlignment="1">
      <alignment vertical="center" wrapText="1"/>
    </xf>
    <xf numFmtId="0" fontId="46" fillId="2" borderId="0" xfId="0" applyFont="1" applyFill="1" applyAlignment="1">
      <alignment vertical="center" wrapText="1"/>
    </xf>
    <xf numFmtId="0" fontId="57" fillId="2" borderId="0" xfId="0" applyFont="1" applyFill="1" applyAlignment="1">
      <alignment horizontal="left"/>
    </xf>
    <xf numFmtId="0" fontId="0" fillId="2" borderId="19" xfId="0" applyFill="1" applyBorder="1"/>
    <xf numFmtId="0" fontId="50" fillId="2" borderId="0" xfId="0" applyFont="1" applyFill="1" applyAlignment="1">
      <alignment horizontal="center"/>
    </xf>
    <xf numFmtId="0" fontId="58" fillId="2" borderId="0" xfId="0" applyFont="1" applyFill="1" applyAlignment="1">
      <alignment horizontal="left"/>
    </xf>
    <xf numFmtId="0" fontId="51" fillId="0" borderId="0" xfId="0" applyFont="1" applyAlignment="1">
      <alignment horizontal="left" wrapText="1"/>
    </xf>
    <xf numFmtId="0" fontId="51" fillId="0" borderId="20" xfId="0" applyFont="1" applyBorder="1" applyAlignment="1">
      <alignment horizontal="left" wrapText="1"/>
    </xf>
    <xf numFmtId="0" fontId="51" fillId="0" borderId="21" xfId="0" applyFont="1" applyBorder="1" applyAlignment="1">
      <alignment horizontal="left" wrapText="1"/>
    </xf>
    <xf numFmtId="0" fontId="51" fillId="0" borderId="22" xfId="0" applyFont="1" applyBorder="1" applyAlignment="1">
      <alignment horizontal="left" wrapText="1"/>
    </xf>
    <xf numFmtId="0" fontId="51" fillId="0" borderId="23" xfId="0" applyFont="1" applyBorder="1" applyAlignment="1">
      <alignment horizontal="left" wrapText="1"/>
    </xf>
    <xf numFmtId="0" fontId="58" fillId="15" borderId="0" xfId="0" applyFont="1" applyFill="1" applyAlignment="1">
      <alignment horizontal="left"/>
    </xf>
    <xf numFmtId="0" fontId="58" fillId="2" borderId="24" xfId="0" applyFont="1" applyFill="1" applyBorder="1" applyAlignment="1">
      <alignment horizontal="left"/>
    </xf>
    <xf numFmtId="0" fontId="0" fillId="0" borderId="22" xfId="0" applyBorder="1"/>
    <xf numFmtId="0" fontId="59" fillId="16" borderId="5" xfId="0" applyFont="1" applyFill="1" applyBorder="1" applyAlignment="1">
      <alignment wrapText="1"/>
    </xf>
    <xf numFmtId="0" fontId="59" fillId="16" borderId="6" xfId="0" applyFont="1" applyFill="1" applyBorder="1" applyAlignment="1">
      <alignment wrapText="1"/>
    </xf>
    <xf numFmtId="0" fontId="0" fillId="0" borderId="25" xfId="0" applyBorder="1"/>
    <xf numFmtId="168" fontId="46" fillId="0" borderId="26" xfId="0" applyNumberFormat="1" applyFont="1" applyBorder="1" applyAlignment="1">
      <alignment horizontal="left" vertical="top"/>
    </xf>
    <xf numFmtId="49" fontId="46" fillId="0" borderId="27" xfId="0" applyNumberFormat="1" applyFont="1" applyBorder="1" applyAlignment="1">
      <alignment horizontal="left" vertical="top"/>
    </xf>
    <xf numFmtId="0" fontId="46" fillId="0" borderId="28" xfId="0" applyFont="1" applyBorder="1" applyAlignment="1">
      <alignment horizontal="left" vertical="top"/>
    </xf>
    <xf numFmtId="168" fontId="46" fillId="0" borderId="29" xfId="0" applyNumberFormat="1" applyFont="1" applyBorder="1" applyAlignment="1">
      <alignment horizontal="left" vertical="top"/>
    </xf>
    <xf numFmtId="169" fontId="46" fillId="0" borderId="27" xfId="0" applyNumberFormat="1" applyFont="1" applyBorder="1" applyAlignment="1">
      <alignment horizontal="left" vertical="top"/>
    </xf>
    <xf numFmtId="0" fontId="46" fillId="0" borderId="28" xfId="0" applyFont="1" applyBorder="1" applyAlignment="1">
      <alignment horizontal="left" vertical="top" wrapText="1"/>
    </xf>
    <xf numFmtId="170" fontId="46" fillId="0" borderId="27" xfId="0" applyNumberFormat="1" applyFont="1" applyBorder="1" applyAlignment="1">
      <alignment horizontal="left" vertical="top"/>
    </xf>
    <xf numFmtId="0" fontId="46" fillId="0" borderId="30" xfId="0" applyFont="1" applyBorder="1"/>
    <xf numFmtId="0" fontId="46" fillId="0" borderId="31" xfId="0" applyFont="1" applyBorder="1"/>
    <xf numFmtId="0" fontId="46" fillId="0" borderId="22" xfId="0" applyFont="1" applyBorder="1"/>
    <xf numFmtId="0" fontId="46" fillId="0" borderId="9" xfId="0" applyFont="1" applyBorder="1"/>
    <xf numFmtId="0" fontId="46" fillId="0" borderId="32" xfId="0" applyFont="1" applyBorder="1"/>
    <xf numFmtId="0" fontId="46" fillId="0" borderId="33" xfId="0" applyFont="1" applyBorder="1"/>
    <xf numFmtId="0" fontId="46" fillId="0" borderId="34" xfId="0" applyFont="1" applyBorder="1"/>
    <xf numFmtId="0" fontId="46" fillId="0" borderId="13" xfId="0" applyFont="1" applyBorder="1"/>
    <xf numFmtId="0" fontId="46" fillId="0" borderId="25" xfId="0" applyFont="1" applyBorder="1"/>
    <xf numFmtId="0" fontId="47" fillId="2" borderId="25" xfId="0" applyFont="1" applyFill="1" applyBorder="1"/>
    <xf numFmtId="0" fontId="46" fillId="2" borderId="25" xfId="0" applyFont="1" applyFill="1" applyBorder="1"/>
    <xf numFmtId="0" fontId="46" fillId="2" borderId="22" xfId="0" applyFont="1" applyFill="1" applyBorder="1"/>
    <xf numFmtId="0" fontId="0" fillId="2" borderId="22" xfId="0" applyFill="1" applyBorder="1"/>
    <xf numFmtId="0" fontId="49" fillId="2" borderId="25" xfId="0" applyFont="1" applyFill="1" applyBorder="1" applyAlignment="1">
      <alignment vertical="center"/>
    </xf>
    <xf numFmtId="0" fontId="49" fillId="2" borderId="0" xfId="0" applyFont="1" applyFill="1" applyAlignment="1">
      <alignment vertical="center"/>
    </xf>
    <xf numFmtId="0" fontId="60" fillId="2" borderId="0" xfId="0" applyFont="1" applyFill="1"/>
    <xf numFmtId="0" fontId="48" fillId="2" borderId="0" xfId="0" applyFont="1" applyFill="1"/>
    <xf numFmtId="0" fontId="15" fillId="2" borderId="0" xfId="0" applyFont="1" applyFill="1" applyAlignment="1" applyProtection="1">
      <alignment horizontal="left" vertical="center"/>
      <protection hidden="1"/>
    </xf>
    <xf numFmtId="0" fontId="62" fillId="2" borderId="0" xfId="0" applyFont="1" applyFill="1" applyAlignment="1" applyProtection="1">
      <alignment vertical="center"/>
      <protection hidden="1"/>
    </xf>
    <xf numFmtId="0" fontId="62" fillId="2" borderId="0" xfId="0" applyFont="1" applyFill="1" applyAlignment="1" applyProtection="1">
      <alignment horizontal="left" vertical="center"/>
      <protection hidden="1"/>
    </xf>
    <xf numFmtId="0" fontId="28" fillId="2" borderId="0" xfId="0" applyFont="1" applyFill="1"/>
    <xf numFmtId="0" fontId="35" fillId="2" borderId="0" xfId="0" applyFont="1" applyFill="1"/>
    <xf numFmtId="0" fontId="10" fillId="4" borderId="8" xfId="0" applyFont="1" applyFill="1" applyBorder="1" applyAlignment="1" applyProtection="1">
      <alignment horizontal="left" vertical="top" wrapText="1"/>
      <protection hidden="1"/>
    </xf>
    <xf numFmtId="0" fontId="23" fillId="2" borderId="12" xfId="0" applyFont="1" applyFill="1" applyBorder="1" applyAlignment="1" applyProtection="1">
      <alignment horizontal="left" vertical="top" wrapText="1"/>
      <protection hidden="1"/>
    </xf>
    <xf numFmtId="0" fontId="23" fillId="2" borderId="0" xfId="0" applyFont="1" applyFill="1" applyAlignment="1" applyProtection="1">
      <alignment horizontal="left" vertical="top" wrapText="1"/>
      <protection hidden="1"/>
    </xf>
    <xf numFmtId="0" fontId="4" fillId="2" borderId="0" xfId="0" applyFont="1" applyFill="1"/>
    <xf numFmtId="0" fontId="0" fillId="0" borderId="0" xfId="0" applyProtection="1">
      <protection hidden="1"/>
    </xf>
    <xf numFmtId="0" fontId="24" fillId="2" borderId="0" xfId="1" applyNumberFormat="1" applyFont="1" applyFill="1" applyBorder="1" applyAlignment="1" applyProtection="1">
      <alignment horizontal="left"/>
      <protection hidden="1"/>
    </xf>
    <xf numFmtId="0" fontId="8" fillId="2" borderId="0" xfId="0" applyFont="1" applyFill="1" applyAlignment="1" applyProtection="1">
      <alignment horizontal="right" vertical="center"/>
      <protection hidden="1"/>
    </xf>
    <xf numFmtId="0" fontId="0" fillId="0" borderId="21" xfId="0" applyBorder="1"/>
    <xf numFmtId="0" fontId="59" fillId="16" borderId="4" xfId="0" applyFont="1" applyFill="1" applyBorder="1" applyAlignment="1">
      <alignment wrapText="1"/>
    </xf>
    <xf numFmtId="0" fontId="53" fillId="0" borderId="0" xfId="4" applyFont="1"/>
    <xf numFmtId="0" fontId="15" fillId="2" borderId="5" xfId="0" applyFont="1" applyFill="1" applyBorder="1" applyAlignment="1" applyProtection="1">
      <alignment horizontal="right" wrapText="1"/>
      <protection hidden="1"/>
    </xf>
    <xf numFmtId="0" fontId="15" fillId="2" borderId="5" xfId="0" applyFont="1" applyFill="1" applyBorder="1" applyAlignment="1" applyProtection="1">
      <alignment horizontal="right" vertical="top" wrapText="1"/>
      <protection hidden="1"/>
    </xf>
    <xf numFmtId="0" fontId="14" fillId="4" borderId="0" xfId="0" applyFont="1" applyFill="1" applyAlignment="1" applyProtection="1">
      <alignment horizontal="right"/>
      <protection hidden="1"/>
    </xf>
    <xf numFmtId="0" fontId="26" fillId="4" borderId="10" xfId="0" applyFont="1" applyFill="1" applyBorder="1" applyProtection="1">
      <protection hidden="1"/>
    </xf>
    <xf numFmtId="0" fontId="14" fillId="4" borderId="12" xfId="0" applyFont="1" applyFill="1" applyBorder="1" applyAlignment="1" applyProtection="1">
      <alignment horizontal="right"/>
      <protection hidden="1"/>
    </xf>
    <xf numFmtId="0" fontId="26" fillId="4" borderId="0" xfId="0" applyFont="1" applyFill="1" applyAlignment="1" applyProtection="1">
      <alignment vertical="top" wrapText="1"/>
      <protection hidden="1"/>
    </xf>
    <xf numFmtId="165" fontId="15" fillId="2" borderId="14" xfId="3" applyNumberFormat="1" applyFont="1" applyFill="1" applyBorder="1" applyAlignment="1" applyProtection="1">
      <alignment horizontal="right" wrapText="1"/>
      <protection hidden="1"/>
    </xf>
    <xf numFmtId="0" fontId="15" fillId="17" borderId="0" xfId="0" applyFont="1" applyFill="1"/>
    <xf numFmtId="0" fontId="15" fillId="17" borderId="17" xfId="0" applyFont="1" applyFill="1" applyBorder="1"/>
    <xf numFmtId="0" fontId="18" fillId="17" borderId="17" xfId="0" applyFont="1" applyFill="1" applyBorder="1"/>
    <xf numFmtId="2" fontId="15" fillId="17" borderId="17" xfId="0" applyNumberFormat="1" applyFont="1" applyFill="1" applyBorder="1"/>
    <xf numFmtId="1" fontId="15" fillId="17" borderId="17" xfId="0" applyNumberFormat="1" applyFont="1" applyFill="1" applyBorder="1"/>
    <xf numFmtId="0" fontId="15" fillId="17" borderId="17" xfId="0" applyFont="1" applyFill="1" applyBorder="1" applyAlignment="1">
      <alignment horizontal="right"/>
    </xf>
    <xf numFmtId="0" fontId="18" fillId="17" borderId="0" xfId="0" applyFont="1" applyFill="1"/>
    <xf numFmtId="0" fontId="0" fillId="17" borderId="0" xfId="0" applyFill="1"/>
    <xf numFmtId="0" fontId="5" fillId="17" borderId="17" xfId="8" applyFill="1" applyBorder="1"/>
    <xf numFmtId="2" fontId="15" fillId="17" borderId="0" xfId="0" applyNumberFormat="1" applyFont="1" applyFill="1"/>
    <xf numFmtId="1" fontId="15" fillId="17" borderId="0" xfId="0" applyNumberFormat="1" applyFont="1" applyFill="1"/>
    <xf numFmtId="0" fontId="15" fillId="17" borderId="0" xfId="0" applyFont="1" applyFill="1" applyAlignment="1">
      <alignment horizontal="right"/>
    </xf>
    <xf numFmtId="0" fontId="18" fillId="17" borderId="6" xfId="0" applyFont="1" applyFill="1" applyBorder="1"/>
    <xf numFmtId="0" fontId="15" fillId="17" borderId="0" xfId="7" applyFont="1" applyFill="1"/>
    <xf numFmtId="0" fontId="18" fillId="17" borderId="0" xfId="7" applyFont="1" applyFill="1"/>
    <xf numFmtId="0" fontId="62" fillId="0" borderId="0" xfId="0" applyFont="1"/>
    <xf numFmtId="0" fontId="62" fillId="17" borderId="0" xfId="0" applyFont="1" applyFill="1"/>
    <xf numFmtId="0" fontId="15" fillId="17" borderId="17" xfId="7" applyFont="1" applyFill="1" applyBorder="1" applyAlignment="1">
      <alignment horizontal="right" vertical="top" wrapText="1"/>
    </xf>
    <xf numFmtId="2" fontId="15" fillId="17" borderId="17" xfId="7" applyNumberFormat="1" applyFont="1" applyFill="1" applyBorder="1" applyAlignment="1">
      <alignment horizontal="right" vertical="top" wrapText="1"/>
    </xf>
    <xf numFmtId="1" fontId="15" fillId="17" borderId="17" xfId="7" applyNumberFormat="1" applyFont="1" applyFill="1" applyBorder="1" applyAlignment="1">
      <alignment horizontal="right" vertical="top" wrapText="1"/>
    </xf>
    <xf numFmtId="0" fontId="15" fillId="17" borderId="17" xfId="7" applyFont="1" applyFill="1" applyBorder="1"/>
    <xf numFmtId="0" fontId="3" fillId="17" borderId="17" xfId="7" applyFill="1" applyBorder="1"/>
    <xf numFmtId="0" fontId="0" fillId="17" borderId="17" xfId="0" applyFill="1" applyBorder="1"/>
    <xf numFmtId="171" fontId="15" fillId="3" borderId="8" xfId="0" applyNumberFormat="1" applyFont="1" applyFill="1" applyBorder="1" applyAlignment="1" applyProtection="1">
      <alignment wrapText="1"/>
      <protection hidden="1"/>
    </xf>
    <xf numFmtId="171" fontId="15" fillId="3" borderId="14" xfId="0" applyNumberFormat="1" applyFont="1" applyFill="1" applyBorder="1" applyAlignment="1" applyProtection="1">
      <alignment wrapText="1"/>
      <protection hidden="1"/>
    </xf>
    <xf numFmtId="164" fontId="8" fillId="2" borderId="5" xfId="0" applyNumberFormat="1" applyFont="1" applyFill="1" applyBorder="1" applyAlignment="1" applyProtection="1">
      <alignment vertical="top" wrapText="1"/>
      <protection hidden="1"/>
    </xf>
    <xf numFmtId="164" fontId="8" fillId="2" borderId="6" xfId="0" applyNumberFormat="1" applyFont="1" applyFill="1" applyBorder="1" applyAlignment="1" applyProtection="1">
      <alignment vertical="top" wrapText="1"/>
      <protection hidden="1"/>
    </xf>
    <xf numFmtId="165" fontId="18" fillId="2" borderId="9" xfId="3" applyNumberFormat="1" applyFont="1" applyFill="1" applyBorder="1" applyAlignment="1" applyProtection="1">
      <alignment horizontal="right" wrapText="1"/>
      <protection hidden="1"/>
    </xf>
    <xf numFmtId="0" fontId="15" fillId="2" borderId="11" xfId="0" applyFont="1" applyFill="1" applyBorder="1" applyAlignment="1" applyProtection="1">
      <alignment horizontal="left" vertical="top"/>
      <protection hidden="1"/>
    </xf>
    <xf numFmtId="0" fontId="7" fillId="2" borderId="0" xfId="0" applyFont="1" applyFill="1" applyProtection="1">
      <protection hidden="1"/>
    </xf>
    <xf numFmtId="0" fontId="8" fillId="4" borderId="0" xfId="0" applyFont="1" applyFill="1" applyAlignment="1" applyProtection="1">
      <alignment horizontal="left"/>
      <protection hidden="1"/>
    </xf>
    <xf numFmtId="0" fontId="15" fillId="2" borderId="12" xfId="0" applyFont="1" applyFill="1" applyBorder="1" applyAlignment="1" applyProtection="1">
      <alignment horizontal="left" vertical="top"/>
      <protection hidden="1"/>
    </xf>
    <xf numFmtId="0" fontId="19" fillId="4" borderId="0" xfId="0" applyFont="1" applyFill="1" applyAlignment="1" applyProtection="1">
      <alignment vertical="top"/>
      <protection hidden="1"/>
    </xf>
    <xf numFmtId="0" fontId="26" fillId="4" borderId="0" xfId="0" applyFont="1" applyFill="1" applyProtection="1">
      <protection hidden="1"/>
    </xf>
    <xf numFmtId="0" fontId="26" fillId="4" borderId="12" xfId="0" applyFont="1" applyFill="1" applyBorder="1" applyAlignment="1" applyProtection="1">
      <alignment vertical="top" wrapText="1"/>
      <protection hidden="1"/>
    </xf>
    <xf numFmtId="0" fontId="15" fillId="0" borderId="0" xfId="0" applyFont="1" applyProtection="1">
      <protection hidden="1"/>
    </xf>
    <xf numFmtId="165" fontId="15" fillId="0" borderId="0" xfId="3" applyNumberFormat="1" applyFont="1" applyFill="1" applyBorder="1" applyAlignment="1" applyProtection="1">
      <alignment horizontal="right" wrapText="1"/>
      <protection hidden="1"/>
    </xf>
    <xf numFmtId="0" fontId="66" fillId="0" borderId="0" xfId="0" applyFont="1" applyProtection="1">
      <protection hidden="1"/>
    </xf>
    <xf numFmtId="0" fontId="0" fillId="0" borderId="17" xfId="0" applyBorder="1"/>
    <xf numFmtId="0" fontId="23" fillId="0" borderId="0" xfId="0" applyFont="1" applyAlignment="1" applyProtection="1">
      <alignment horizontal="left" vertical="top" wrapText="1"/>
      <protection hidden="1"/>
    </xf>
    <xf numFmtId="0" fontId="8" fillId="0" borderId="17" xfId="0" applyFont="1" applyBorder="1"/>
    <xf numFmtId="0" fontId="34" fillId="0" borderId="17" xfId="0" applyFont="1" applyBorder="1" applyAlignment="1" applyProtection="1">
      <alignment vertical="top" wrapText="1"/>
      <protection hidden="1"/>
    </xf>
    <xf numFmtId="0" fontId="13" fillId="0" borderId="17" xfId="0" applyFont="1" applyBorder="1" applyProtection="1">
      <protection hidden="1"/>
    </xf>
    <xf numFmtId="0" fontId="13" fillId="0" borderId="17" xfId="0" applyFont="1" applyBorder="1"/>
    <xf numFmtId="0" fontId="0" fillId="0" borderId="17" xfId="0" applyBorder="1" applyAlignment="1" applyProtection="1">
      <alignment horizontal="left"/>
      <protection hidden="1"/>
    </xf>
    <xf numFmtId="9" fontId="0" fillId="0" borderId="17" xfId="0" applyNumberFormat="1" applyBorder="1"/>
    <xf numFmtId="0" fontId="15" fillId="0" borderId="0" xfId="0" applyFont="1" applyAlignment="1" applyProtection="1">
      <alignment horizontal="left"/>
      <protection hidden="1"/>
    </xf>
    <xf numFmtId="3" fontId="18" fillId="0" borderId="0" xfId="1" applyNumberFormat="1" applyFont="1" applyFill="1" applyBorder="1" applyAlignment="1" applyProtection="1">
      <alignment horizontal="right" wrapText="1"/>
      <protection hidden="1"/>
    </xf>
    <xf numFmtId="3" fontId="15" fillId="0" borderId="0" xfId="0" applyNumberFormat="1" applyFont="1" applyAlignment="1" applyProtection="1">
      <alignment horizontal="right" wrapText="1"/>
      <protection hidden="1"/>
    </xf>
    <xf numFmtId="3" fontId="15" fillId="0" borderId="0" xfId="0" applyNumberFormat="1" applyFont="1" applyAlignment="1" applyProtection="1">
      <alignment wrapText="1"/>
      <protection hidden="1"/>
    </xf>
    <xf numFmtId="0" fontId="7" fillId="0" borderId="0" xfId="0" applyFont="1" applyProtection="1">
      <protection hidden="1"/>
    </xf>
    <xf numFmtId="0" fontId="66" fillId="0" borderId="0" xfId="0" quotePrefix="1" applyFont="1" applyAlignment="1" applyProtection="1">
      <alignment horizontal="right"/>
      <protection hidden="1"/>
    </xf>
    <xf numFmtId="0" fontId="11" fillId="4" borderId="10" xfId="0" applyFont="1" applyFill="1" applyBorder="1" applyAlignment="1" applyProtection="1">
      <alignment vertical="top"/>
      <protection hidden="1"/>
    </xf>
    <xf numFmtId="0" fontId="13" fillId="4" borderId="9" xfId="0" applyFont="1" applyFill="1" applyBorder="1" applyAlignment="1" applyProtection="1">
      <alignment wrapText="1"/>
      <protection hidden="1"/>
    </xf>
    <xf numFmtId="0" fontId="15" fillId="2" borderId="0" xfId="0" applyFont="1" applyFill="1" applyAlignment="1" applyProtection="1">
      <alignment horizontal="left" vertical="top"/>
      <protection hidden="1"/>
    </xf>
    <xf numFmtId="164" fontId="16" fillId="2" borderId="8" xfId="0" applyNumberFormat="1" applyFont="1" applyFill="1" applyBorder="1" applyAlignment="1" applyProtection="1">
      <alignment horizontal="right" wrapText="1"/>
      <protection hidden="1"/>
    </xf>
    <xf numFmtId="164" fontId="16" fillId="2" borderId="8" xfId="0" applyNumberFormat="1" applyFont="1" applyFill="1" applyBorder="1" applyAlignment="1" applyProtection="1">
      <alignment wrapText="1"/>
      <protection hidden="1"/>
    </xf>
    <xf numFmtId="164" fontId="16" fillId="2" borderId="14" xfId="0" applyNumberFormat="1" applyFont="1" applyFill="1" applyBorder="1" applyAlignment="1" applyProtection="1">
      <alignment wrapText="1"/>
      <protection hidden="1"/>
    </xf>
    <xf numFmtId="164" fontId="16" fillId="2" borderId="12" xfId="0" applyNumberFormat="1" applyFont="1" applyFill="1" applyBorder="1" applyAlignment="1" applyProtection="1">
      <alignment wrapText="1"/>
      <protection hidden="1"/>
    </xf>
    <xf numFmtId="164" fontId="16" fillId="2" borderId="13" xfId="0" applyNumberFormat="1" applyFont="1" applyFill="1" applyBorder="1" applyAlignment="1" applyProtection="1">
      <alignment wrapText="1"/>
      <protection hidden="1"/>
    </xf>
    <xf numFmtId="164" fontId="18" fillId="2" borderId="5" xfId="1" applyNumberFormat="1" applyFont="1" applyFill="1" applyBorder="1" applyAlignment="1" applyProtection="1">
      <alignment horizontal="right" wrapText="1"/>
      <protection hidden="1"/>
    </xf>
    <xf numFmtId="164" fontId="18" fillId="2" borderId="6" xfId="1" applyNumberFormat="1" applyFont="1" applyFill="1" applyBorder="1" applyAlignment="1" applyProtection="1">
      <alignment horizontal="right" wrapText="1"/>
      <protection hidden="1"/>
    </xf>
    <xf numFmtId="0" fontId="1" fillId="0" borderId="0" xfId="0" applyFont="1"/>
    <xf numFmtId="0" fontId="1" fillId="8" borderId="17" xfId="0" applyFont="1" applyFill="1" applyBorder="1"/>
    <xf numFmtId="0" fontId="1" fillId="13" borderId="16" xfId="0" applyFont="1" applyFill="1" applyBorder="1"/>
    <xf numFmtId="0" fontId="1" fillId="2" borderId="0" xfId="0" applyFont="1" applyFill="1"/>
    <xf numFmtId="0" fontId="1" fillId="0" borderId="0" xfId="0" applyFont="1" applyAlignment="1">
      <alignment horizontal="left"/>
    </xf>
    <xf numFmtId="0" fontId="3" fillId="0" borderId="0" xfId="0" applyFont="1"/>
    <xf numFmtId="0" fontId="35" fillId="0" borderId="0" xfId="0" applyFont="1"/>
    <xf numFmtId="0" fontId="3" fillId="0" borderId="0" xfId="7"/>
    <xf numFmtId="0" fontId="2" fillId="0" borderId="0" xfId="7" applyFont="1"/>
    <xf numFmtId="0" fontId="15" fillId="0" borderId="0" xfId="7" applyFont="1"/>
    <xf numFmtId="0" fontId="8" fillId="0" borderId="0" xfId="0" applyFont="1" applyAlignment="1">
      <alignment wrapText="1"/>
    </xf>
    <xf numFmtId="0" fontId="46" fillId="2" borderId="0" xfId="0" applyFont="1" applyFill="1" applyAlignment="1">
      <alignment vertical="top" wrapText="1"/>
    </xf>
    <xf numFmtId="0" fontId="46" fillId="0" borderId="0" xfId="0" applyFont="1" applyAlignment="1">
      <alignment vertical="top" wrapText="1"/>
    </xf>
    <xf numFmtId="0" fontId="50" fillId="2" borderId="0" xfId="0" applyFont="1" applyFill="1" applyAlignment="1">
      <alignment horizontal="left"/>
    </xf>
    <xf numFmtId="0" fontId="53" fillId="0" borderId="0" xfId="4" applyFont="1"/>
    <xf numFmtId="0" fontId="50" fillId="2" borderId="0" xfId="0" applyFont="1" applyFill="1" applyAlignment="1">
      <alignment horizontal="center"/>
    </xf>
    <xf numFmtId="0" fontId="10" fillId="0" borderId="0" xfId="0" applyFont="1" applyAlignment="1" applyProtection="1">
      <alignment horizontal="right" vertical="top"/>
      <protection hidden="1"/>
    </xf>
    <xf numFmtId="0" fontId="11" fillId="0" borderId="0" xfId="0" applyFont="1" applyAlignment="1" applyProtection="1">
      <alignment horizontal="right"/>
      <protection hidden="1"/>
    </xf>
    <xf numFmtId="0" fontId="67" fillId="2" borderId="0" xfId="0" applyFont="1" applyFill="1" applyAlignment="1" applyProtection="1">
      <alignment horizontal="left" wrapText="1"/>
      <protection hidden="1"/>
    </xf>
    <xf numFmtId="0" fontId="67" fillId="2" borderId="11" xfId="0" applyFont="1" applyFill="1" applyBorder="1" applyAlignment="1" applyProtection="1">
      <alignment horizontal="left" wrapText="1"/>
      <protection hidden="1"/>
    </xf>
    <xf numFmtId="0" fontId="67" fillId="2" borderId="12" xfId="0" applyFont="1" applyFill="1" applyBorder="1" applyAlignment="1" applyProtection="1">
      <alignment horizontal="left" wrapText="1"/>
      <protection hidden="1"/>
    </xf>
    <xf numFmtId="0" fontId="18" fillId="2" borderId="4" xfId="1" applyNumberFormat="1" applyFont="1" applyFill="1" applyBorder="1" applyAlignment="1" applyProtection="1">
      <alignment horizontal="left" wrapText="1"/>
      <protection hidden="1"/>
    </xf>
    <xf numFmtId="0" fontId="18" fillId="2" borderId="5" xfId="1" applyNumberFormat="1" applyFont="1" applyFill="1" applyBorder="1" applyAlignment="1" applyProtection="1">
      <alignment horizontal="left" wrapText="1"/>
      <protection hidden="1"/>
    </xf>
    <xf numFmtId="0" fontId="18" fillId="2" borderId="11" xfId="1" applyNumberFormat="1" applyFont="1" applyFill="1" applyBorder="1" applyAlignment="1" applyProtection="1">
      <alignment horizontal="left" wrapText="1"/>
      <protection hidden="1"/>
    </xf>
    <xf numFmtId="0" fontId="18" fillId="2" borderId="12" xfId="1" applyNumberFormat="1" applyFont="1" applyFill="1" applyBorder="1" applyAlignment="1" applyProtection="1">
      <alignment horizontal="left" wrapText="1"/>
      <protection hidden="1"/>
    </xf>
    <xf numFmtId="0" fontId="10" fillId="0" borderId="9" xfId="0" applyFont="1" applyBorder="1" applyAlignment="1" applyProtection="1">
      <alignment horizontal="right" vertical="top"/>
      <protection hidden="1"/>
    </xf>
    <xf numFmtId="0" fontId="11" fillId="0" borderId="9" xfId="0" applyFont="1" applyBorder="1" applyAlignment="1" applyProtection="1">
      <alignment horizontal="right"/>
      <protection hidden="1"/>
    </xf>
    <xf numFmtId="0" fontId="10" fillId="4" borderId="7" xfId="0" applyFont="1" applyFill="1" applyBorder="1" applyAlignment="1" applyProtection="1">
      <alignment horizontal="left" vertical="top" wrapText="1"/>
      <protection hidden="1"/>
    </xf>
    <xf numFmtId="0" fontId="10" fillId="4" borderId="8" xfId="0" applyFont="1" applyFill="1" applyBorder="1" applyAlignment="1" applyProtection="1">
      <alignment horizontal="left" vertical="top" wrapText="1"/>
      <protection hidden="1"/>
    </xf>
    <xf numFmtId="0" fontId="11" fillId="4" borderId="10" xfId="0" applyFont="1" applyFill="1" applyBorder="1" applyAlignment="1" applyProtection="1">
      <alignment horizontal="left" vertical="top" wrapText="1"/>
      <protection hidden="1"/>
    </xf>
    <xf numFmtId="0" fontId="11" fillId="4" borderId="0" xfId="0" applyFont="1" applyFill="1" applyAlignment="1" applyProtection="1">
      <alignment horizontal="left" vertical="top" wrapText="1"/>
      <protection hidden="1"/>
    </xf>
    <xf numFmtId="0" fontId="23" fillId="2" borderId="10" xfId="0" applyFont="1" applyFill="1" applyBorder="1" applyAlignment="1" applyProtection="1">
      <alignment horizontal="left" vertical="top" wrapText="1"/>
      <protection hidden="1"/>
    </xf>
    <xf numFmtId="0" fontId="23" fillId="2" borderId="0" xfId="0" applyFont="1" applyFill="1" applyAlignment="1" applyProtection="1">
      <alignment horizontal="left" vertical="top" wrapText="1"/>
      <protection hidden="1"/>
    </xf>
    <xf numFmtId="0" fontId="23" fillId="2" borderId="11" xfId="0" applyFont="1" applyFill="1" applyBorder="1" applyAlignment="1" applyProtection="1">
      <alignment horizontal="left" vertical="top" wrapText="1"/>
      <protection hidden="1"/>
    </xf>
    <xf numFmtId="0" fontId="23" fillId="2" borderId="12" xfId="0" applyFont="1" applyFill="1" applyBorder="1" applyAlignment="1" applyProtection="1">
      <alignment horizontal="left" vertical="top" wrapText="1"/>
      <protection hidden="1"/>
    </xf>
    <xf numFmtId="0" fontId="7" fillId="2" borderId="0" xfId="0" applyFont="1" applyFill="1" applyAlignment="1" applyProtection="1">
      <alignment horizontal="center"/>
      <protection hidden="1"/>
    </xf>
    <xf numFmtId="0" fontId="25" fillId="2" borderId="0" xfId="0" applyFont="1" applyFill="1" applyAlignment="1" applyProtection="1">
      <alignment horizontal="left" vertical="top" wrapText="1"/>
      <protection hidden="1"/>
    </xf>
    <xf numFmtId="0" fontId="8" fillId="3" borderId="1" xfId="0" applyFont="1" applyFill="1" applyBorder="1" applyAlignment="1" applyProtection="1">
      <alignment horizontal="left" vertical="center"/>
      <protection locked="0" hidden="1"/>
    </xf>
    <xf numFmtId="0" fontId="8" fillId="3" borderId="2" xfId="0" applyFont="1" applyFill="1" applyBorder="1" applyAlignment="1" applyProtection="1">
      <alignment horizontal="left" vertical="center"/>
      <protection locked="0" hidden="1"/>
    </xf>
    <xf numFmtId="0" fontId="8" fillId="3" borderId="3" xfId="0" applyFont="1" applyFill="1" applyBorder="1" applyAlignment="1" applyProtection="1">
      <alignment horizontal="left" vertical="center"/>
      <protection locked="0" hidden="1"/>
    </xf>
    <xf numFmtId="0" fontId="8" fillId="2" borderId="0" xfId="0" applyFont="1" applyFill="1" applyAlignment="1" applyProtection="1">
      <alignment horizontal="right" vertical="center"/>
      <protection hidden="1"/>
    </xf>
    <xf numFmtId="0" fontId="63" fillId="0" borderId="0" xfId="4" applyFont="1" applyFill="1"/>
    <xf numFmtId="0" fontId="15" fillId="2" borderId="15" xfId="0" applyFont="1" applyFill="1" applyBorder="1" applyAlignment="1" applyProtection="1">
      <alignment horizontal="left" vertical="top" wrapText="1"/>
      <protection hidden="1"/>
    </xf>
    <xf numFmtId="0" fontId="15" fillId="2" borderId="16" xfId="0" applyFont="1" applyFill="1" applyBorder="1" applyAlignment="1" applyProtection="1">
      <alignment horizontal="left" vertical="top" wrapText="1"/>
      <protection hidden="1"/>
    </xf>
    <xf numFmtId="0" fontId="15" fillId="2" borderId="18" xfId="0" applyFont="1" applyFill="1" applyBorder="1" applyAlignment="1" applyProtection="1">
      <alignment horizontal="left" vertical="top" wrapText="1"/>
      <protection hidden="1"/>
    </xf>
    <xf numFmtId="0" fontId="8" fillId="8" borderId="17" xfId="0" applyFont="1" applyFill="1" applyBorder="1" applyAlignment="1">
      <alignment horizontal="center" wrapText="1"/>
    </xf>
    <xf numFmtId="0" fontId="64" fillId="2" borderId="0" xfId="4" applyFont="1" applyFill="1" applyAlignment="1">
      <alignment horizontal="left"/>
    </xf>
    <xf numFmtId="0" fontId="61" fillId="2" borderId="0" xfId="4" applyFont="1" applyFill="1" applyAlignment="1">
      <alignment horizontal="left"/>
    </xf>
  </cellXfs>
  <cellStyles count="9">
    <cellStyle name="Comma" xfId="1" builtinId="3"/>
    <cellStyle name="Currency" xfId="2" builtinId="4"/>
    <cellStyle name="Hyperlink" xfId="4" builtinId="8"/>
    <cellStyle name="Normal" xfId="0" builtinId="0"/>
    <cellStyle name="Normal 2" xfId="7" xr:uid="{191E2A0D-9301-484B-BAF9-2EF98B459E46}"/>
    <cellStyle name="Normal 2 4" xfId="6" xr:uid="{D7296B03-B18D-4DC7-BD81-ABCA86F539CD}"/>
    <cellStyle name="Normal 3" xfId="8" xr:uid="{F125AD72-0482-4274-B904-6D42370E2CFD}"/>
    <cellStyle name="Normal_Table 1 Jan 2012" xfId="5" xr:uid="{6FBD6D6D-FEFD-4873-A714-98A08079ACEB}"/>
    <cellStyle name="Percent" xfId="3" builtinId="5"/>
  </cellStyles>
  <dxfs count="10">
    <dxf>
      <font>
        <color rgb="FFFFFF99"/>
      </font>
    </dxf>
    <dxf>
      <font>
        <b/>
        <i val="0"/>
        <color rgb="FFFF0000"/>
      </font>
    </dxf>
    <dxf>
      <font>
        <color theme="0"/>
      </font>
    </dxf>
    <dxf>
      <font>
        <color theme="0"/>
      </font>
    </dxf>
    <dxf>
      <font>
        <color theme="0"/>
      </font>
    </dxf>
    <dxf>
      <font>
        <color rgb="FFFFFF99"/>
      </font>
    </dxf>
    <dxf>
      <font>
        <color theme="0"/>
      </font>
    </dxf>
    <dxf>
      <font>
        <color theme="0"/>
      </font>
      <fill>
        <patternFill>
          <bgColor theme="0"/>
        </patternFill>
      </fill>
      <border>
        <left/>
        <right/>
        <top/>
        <bottom/>
        <vertical/>
        <horizontal/>
      </border>
    </dxf>
    <dxf>
      <font>
        <color theme="0"/>
      </font>
    </dxf>
    <dxf>
      <font>
        <color theme="0"/>
      </font>
    </dxf>
  </dxfs>
  <tableStyles count="0" defaultTableStyle="TableStyleMedium2" defaultPivotStyle="PivotStyleLight16"/>
  <colors>
    <mruColors>
      <color rgb="FF59468D"/>
      <color rgb="FFE1CE9D"/>
      <color rgb="FF97D88A"/>
      <color rgb="FFFCBE37"/>
      <color rgb="FFAECFE6"/>
      <color rgb="FFEDEBF5"/>
      <color rgb="FFEDF5EB"/>
      <color rgb="FFC33A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'PRP LA trend tool 2015-23'!$N$115</c:f>
          <c:strCache>
            <c:ptCount val="1"/>
            <c:pt idx="0">
              <c:v>Average weekly general needs (social rent) net rent (£ per week)</c:v>
            </c:pt>
          </c:strCache>
        </c:strRef>
      </c:tx>
      <c:layout>
        <c:manualLayout>
          <c:xMode val="edge"/>
          <c:yMode val="edge"/>
          <c:x val="1.410236383033975E-3"/>
          <c:y val="5.4985739535030704E-3"/>
        </c:manualLayout>
      </c:layout>
      <c:overlay val="0"/>
      <c:txPr>
        <a:bodyPr/>
        <a:lstStyle/>
        <a:p>
          <a:pPr algn="l">
            <a:defRPr sz="1200" b="1">
              <a:solidFill>
                <a:srgbClr val="59468D"/>
              </a:solidFill>
              <a:latin typeface="Arial" panose="020B0604020202020204" pitchFamily="34" charset="0"/>
              <a:cs typeface="Arial" panose="020B0604020202020204" pitchFamily="34" charset="0"/>
            </a:defRPr>
          </a:pPr>
          <a:endParaRPr lang="en-US"/>
        </a:p>
      </c:txPr>
    </c:title>
    <c:autoTitleDeleted val="0"/>
    <c:plotArea>
      <c:layout>
        <c:manualLayout>
          <c:layoutTarget val="inner"/>
          <c:xMode val="edge"/>
          <c:yMode val="edge"/>
          <c:x val="0.11287211093735368"/>
          <c:y val="0.1670537373952469"/>
          <c:w val="0.84790389296508695"/>
          <c:h val="0.67850052075336154"/>
        </c:manualLayout>
      </c:layout>
      <c:barChart>
        <c:barDir val="col"/>
        <c:grouping val="clustered"/>
        <c:varyColors val="0"/>
        <c:ser>
          <c:idx val="5"/>
          <c:order val="0"/>
          <c:tx>
            <c:strRef>
              <c:f>'PRP LA trend tool 2015-23'!$B$96</c:f>
              <c:strCache>
                <c:ptCount val="1"/>
                <c:pt idx="0">
                  <c:v>0</c:v>
                </c:pt>
              </c:strCache>
            </c:strRef>
          </c:tx>
          <c:spPr>
            <a:solidFill>
              <a:srgbClr val="59468D"/>
            </a:solidFill>
          </c:spPr>
          <c:invertIfNegative val="0"/>
          <c:cat>
            <c:numRef>
              <c:f>'PRP LA trend tool 2015-23'!$E$95:$M$95</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2015-23'!$E$97:$M$97</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7CE-4AF2-8256-8A751D9EA685}"/>
            </c:ext>
          </c:extLst>
        </c:ser>
        <c:dLbls>
          <c:showLegendKey val="0"/>
          <c:showVal val="0"/>
          <c:showCatName val="0"/>
          <c:showSerName val="0"/>
          <c:showPercent val="0"/>
          <c:showBubbleSize val="0"/>
        </c:dLbls>
        <c:gapWidth val="150"/>
        <c:axId val="192849792"/>
        <c:axId val="192851968"/>
      </c:barChart>
      <c:lineChart>
        <c:grouping val="standard"/>
        <c:varyColors val="0"/>
        <c:ser>
          <c:idx val="0"/>
          <c:order val="1"/>
          <c:tx>
            <c:strRef>
              <c:f>'PRP LA trend tool 2015-23'!$B$102</c:f>
              <c:strCache>
                <c:ptCount val="1"/>
              </c:strCache>
            </c:strRef>
          </c:tx>
          <c:spPr>
            <a:ln>
              <a:solidFill>
                <a:srgbClr val="AECFE6"/>
              </a:solidFill>
            </a:ln>
          </c:spPr>
          <c:marker>
            <c:spPr>
              <a:solidFill>
                <a:srgbClr val="AECFE6"/>
              </a:solidFill>
              <a:ln>
                <a:solidFill>
                  <a:srgbClr val="AECFE6"/>
                </a:solidFill>
              </a:ln>
            </c:spPr>
          </c:marker>
          <c:cat>
            <c:numRef>
              <c:f>'PRP LA trend tool 2015-23'!$E$95:$M$95</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2015-23'!$E$103:$M$103</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1-37CE-4AF2-8256-8A751D9EA685}"/>
            </c:ext>
          </c:extLst>
        </c:ser>
        <c:ser>
          <c:idx val="1"/>
          <c:order val="2"/>
          <c:tx>
            <c:strRef>
              <c:f>'PRP LA trend tool 2015-23'!$B$108</c:f>
              <c:strCache>
                <c:ptCount val="1"/>
                <c:pt idx="0">
                  <c:v>England</c:v>
                </c:pt>
              </c:strCache>
            </c:strRef>
          </c:tx>
          <c:spPr>
            <a:ln>
              <a:solidFill>
                <a:srgbClr val="FCBE37"/>
              </a:solidFill>
            </a:ln>
          </c:spPr>
          <c:marker>
            <c:symbol val="circle"/>
            <c:size val="7"/>
            <c:spPr>
              <a:solidFill>
                <a:srgbClr val="FCBE37"/>
              </a:solidFill>
              <a:ln>
                <a:solidFill>
                  <a:srgbClr val="FCBE37"/>
                </a:solidFill>
              </a:ln>
            </c:spPr>
          </c:marker>
          <c:cat>
            <c:numRef>
              <c:f>'PRP LA trend tool 2015-23'!$E$95:$M$95</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2015-23'!$E$109:$M$109</c:f>
              <c:numCache>
                <c:formatCode>"£"#,##0.00</c:formatCode>
                <c:ptCount val="9"/>
                <c:pt idx="0">
                  <c:v>95.88</c:v>
                </c:pt>
                <c:pt idx="1">
                  <c:v>97.84</c:v>
                </c:pt>
                <c:pt idx="2">
                  <c:v>96.61</c:v>
                </c:pt>
                <c:pt idx="3">
                  <c:v>96.33</c:v>
                </c:pt>
                <c:pt idx="4">
                  <c:v>95.12</c:v>
                </c:pt>
                <c:pt idx="5">
                  <c:v>94.25</c:v>
                </c:pt>
                <c:pt idx="6">
                  <c:v>96.6</c:v>
                </c:pt>
                <c:pt idx="7">
                  <c:v>98.05</c:v>
                </c:pt>
                <c:pt idx="8">
                  <c:v>102.15</c:v>
                </c:pt>
              </c:numCache>
            </c:numRef>
          </c:val>
          <c:smooth val="0"/>
          <c:extLst>
            <c:ext xmlns:c16="http://schemas.microsoft.com/office/drawing/2014/chart" uri="{C3380CC4-5D6E-409C-BE32-E72D297353CC}">
              <c16:uniqueId val="{00000002-37CE-4AF2-8256-8A751D9EA685}"/>
            </c:ext>
          </c:extLst>
        </c:ser>
        <c:dLbls>
          <c:showLegendKey val="0"/>
          <c:showVal val="0"/>
          <c:showCatName val="0"/>
          <c:showSerName val="0"/>
          <c:showPercent val="0"/>
          <c:showBubbleSize val="0"/>
        </c:dLbls>
        <c:marker val="1"/>
        <c:smooth val="0"/>
        <c:axId val="192849792"/>
        <c:axId val="192851968"/>
      </c:lineChart>
      <c:catAx>
        <c:axId val="192849792"/>
        <c:scaling>
          <c:orientation val="minMax"/>
        </c:scaling>
        <c:delete val="0"/>
        <c:axPos val="b"/>
        <c:numFmt formatCode="General" sourceLinked="1"/>
        <c:majorTickMark val="out"/>
        <c:minorTickMark val="none"/>
        <c:tickLblPos val="nextTo"/>
        <c:spPr>
          <a:ln>
            <a:solidFill>
              <a:schemeClr val="tx1"/>
            </a:solidFill>
          </a:ln>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crossAx val="192851968"/>
        <c:crosses val="autoZero"/>
        <c:auto val="1"/>
        <c:lblAlgn val="ctr"/>
        <c:lblOffset val="100"/>
        <c:noMultiLvlLbl val="0"/>
      </c:catAx>
      <c:valAx>
        <c:axId val="192851968"/>
        <c:scaling>
          <c:orientation val="minMax"/>
        </c:scaling>
        <c:delete val="0"/>
        <c:axPos val="l"/>
        <c:majorGridlines>
          <c:spPr>
            <a:ln>
              <a:solidFill>
                <a:schemeClr val="bg1">
                  <a:lumMod val="75000"/>
                </a:schemeClr>
              </a:solidFill>
            </a:ln>
          </c:spPr>
        </c:majorGridlines>
        <c:numFmt formatCode="&quot;£&quot;#,##0" sourceLinked="0"/>
        <c:majorTickMark val="out"/>
        <c:minorTickMark val="none"/>
        <c:tickLblPos val="nextTo"/>
        <c:spPr>
          <a:ln>
            <a:solidFill>
              <a:schemeClr val="tx1"/>
            </a:solidFill>
          </a:ln>
        </c:spPr>
        <c:txPr>
          <a:bodyPr/>
          <a:lstStyle/>
          <a:p>
            <a:pPr>
              <a:defRPr>
                <a:latin typeface="Arial" panose="020B0604020202020204" pitchFamily="34" charset="0"/>
                <a:cs typeface="Arial" panose="020B0604020202020204" pitchFamily="34" charset="0"/>
              </a:defRPr>
            </a:pPr>
            <a:endParaRPr lang="en-US"/>
          </a:p>
        </c:txPr>
        <c:crossAx val="192849792"/>
        <c:crosses val="autoZero"/>
        <c:crossBetween val="between"/>
      </c:valAx>
      <c:spPr>
        <a:noFill/>
      </c:spPr>
    </c:plotArea>
    <c:legend>
      <c:legendPos val="b"/>
      <c:layout>
        <c:manualLayout>
          <c:xMode val="edge"/>
          <c:yMode val="edge"/>
          <c:x val="3.8207986102889203E-2"/>
          <c:y val="0.92297576322752684"/>
          <c:w val="0.92038886115131813"/>
          <c:h val="5.7834472924930498E-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'PRP LA trend tool 2015-23'!$B$38</c:f>
          <c:strCache>
            <c:ptCount val="1"/>
            <c:pt idx="0">
              <c:v>Total social units by provision type</c:v>
            </c:pt>
          </c:strCache>
        </c:strRef>
      </c:tx>
      <c:layout>
        <c:manualLayout>
          <c:xMode val="edge"/>
          <c:yMode val="edge"/>
          <c:x val="7.7307297551671133E-3"/>
          <c:y val="7.8714426142512464E-3"/>
        </c:manualLayout>
      </c:layout>
      <c:overlay val="0"/>
      <c:txPr>
        <a:bodyPr/>
        <a:lstStyle/>
        <a:p>
          <a:pPr algn="l">
            <a:defRPr sz="1200">
              <a:solidFill>
                <a:srgbClr val="59468D"/>
              </a:solidFill>
              <a:latin typeface="Arial" panose="020B0604020202020204" pitchFamily="34" charset="0"/>
              <a:cs typeface="Arial" panose="020B0604020202020204" pitchFamily="34" charset="0"/>
            </a:defRPr>
          </a:pPr>
          <a:endParaRPr lang="en-US"/>
        </a:p>
      </c:txPr>
    </c:title>
    <c:autoTitleDeleted val="0"/>
    <c:plotArea>
      <c:layout>
        <c:manualLayout>
          <c:layoutTarget val="inner"/>
          <c:xMode val="edge"/>
          <c:yMode val="edge"/>
          <c:x val="0.11268427818004711"/>
          <c:y val="0.11440344951169447"/>
          <c:w val="0.85039661648358544"/>
          <c:h val="0.7212804338202744"/>
        </c:manualLayout>
      </c:layout>
      <c:barChart>
        <c:barDir val="col"/>
        <c:grouping val="stacked"/>
        <c:varyColors val="0"/>
        <c:ser>
          <c:idx val="0"/>
          <c:order val="0"/>
          <c:tx>
            <c:strRef>
              <c:f>'PRP LA trend tool 2015-23'!$C$41</c:f>
              <c:strCache>
                <c:ptCount val="1"/>
                <c:pt idx="0">
                  <c:v>General needs</c:v>
                </c:pt>
              </c:strCache>
            </c:strRef>
          </c:tx>
          <c:spPr>
            <a:solidFill>
              <a:srgbClr val="59468D"/>
            </a:solidFill>
          </c:spPr>
          <c:invertIfNegative val="0"/>
          <c:cat>
            <c:numRef>
              <c:f>'PRP LA trend tool 2015-23'!$E$40:$M$40</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2015-23'!$E$41:$M$41</c:f>
              <c:numCache>
                <c:formatCode>#,##0;\-#,##0.00_-;"-"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A136-436B-B11A-A4C3B02D58D4}"/>
            </c:ext>
          </c:extLst>
        </c:ser>
        <c:ser>
          <c:idx val="1"/>
          <c:order val="1"/>
          <c:tx>
            <c:strRef>
              <c:f>'PRP LA trend tool 2015-23'!$C$44</c:f>
              <c:strCache>
                <c:ptCount val="1"/>
                <c:pt idx="0">
                  <c:v>Supported housing</c:v>
                </c:pt>
              </c:strCache>
            </c:strRef>
          </c:tx>
          <c:spPr>
            <a:solidFill>
              <a:srgbClr val="AECFE6"/>
            </a:solidFill>
          </c:spPr>
          <c:invertIfNegative val="0"/>
          <c:cat>
            <c:numRef>
              <c:f>'PRP LA trend tool 2015-23'!$E$40:$M$40</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2015-23'!$E$44:$M$44</c:f>
              <c:numCache>
                <c:formatCode>#,##0;\-#,##0.00_-;"-"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A136-436B-B11A-A4C3B02D58D4}"/>
            </c:ext>
          </c:extLst>
        </c:ser>
        <c:ser>
          <c:idx val="2"/>
          <c:order val="2"/>
          <c:tx>
            <c:strRef>
              <c:f>'PRP LA trend tool 2015-23'!$C$45</c:f>
              <c:strCache>
                <c:ptCount val="1"/>
                <c:pt idx="0">
                  <c:v>Housing for older people</c:v>
                </c:pt>
              </c:strCache>
            </c:strRef>
          </c:tx>
          <c:spPr>
            <a:solidFill>
              <a:srgbClr val="FCBE37"/>
            </a:solidFill>
          </c:spPr>
          <c:invertIfNegative val="0"/>
          <c:cat>
            <c:numRef>
              <c:f>'PRP LA trend tool 2015-23'!$E$40:$M$40</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2015-23'!$E$45:$M$45</c:f>
              <c:numCache>
                <c:formatCode>#,##0;\-#,##0.00_-;"-"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A136-436B-B11A-A4C3B02D58D4}"/>
            </c:ext>
          </c:extLst>
        </c:ser>
        <c:ser>
          <c:idx val="3"/>
          <c:order val="3"/>
          <c:tx>
            <c:strRef>
              <c:f>'PRP LA trend tool 2015-23'!$B$46</c:f>
              <c:strCache>
                <c:ptCount val="1"/>
                <c:pt idx="0">
                  <c:v>Low cost home ownership (LCHO)</c:v>
                </c:pt>
              </c:strCache>
            </c:strRef>
          </c:tx>
          <c:spPr>
            <a:solidFill>
              <a:srgbClr val="E1CE9D"/>
            </a:solidFill>
          </c:spPr>
          <c:invertIfNegative val="0"/>
          <c:cat>
            <c:numRef>
              <c:f>'PRP LA trend tool 2015-23'!$E$40:$M$40</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2015-23'!$E$46:$M$46</c:f>
              <c:numCache>
                <c:formatCode>#,##0;\-#,##0.00_-;"-"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A136-436B-B11A-A4C3B02D58D4}"/>
            </c:ext>
          </c:extLst>
        </c:ser>
        <c:dLbls>
          <c:showLegendKey val="0"/>
          <c:showVal val="0"/>
          <c:showCatName val="0"/>
          <c:showSerName val="0"/>
          <c:showPercent val="0"/>
          <c:showBubbleSize val="0"/>
        </c:dLbls>
        <c:gapWidth val="150"/>
        <c:overlap val="100"/>
        <c:axId val="202784768"/>
        <c:axId val="202786304"/>
      </c:barChart>
      <c:catAx>
        <c:axId val="202784768"/>
        <c:scaling>
          <c:orientation val="minMax"/>
        </c:scaling>
        <c:delete val="0"/>
        <c:axPos val="b"/>
        <c:numFmt formatCode="General" sourceLinked="1"/>
        <c:majorTickMark val="out"/>
        <c:minorTickMark val="none"/>
        <c:tickLblPos val="nextTo"/>
        <c:spPr>
          <a:ln>
            <a:solidFill>
              <a:schemeClr val="tx1"/>
            </a:solidFill>
          </a:ln>
        </c:spPr>
        <c:txPr>
          <a:bodyPr/>
          <a:lstStyle/>
          <a:p>
            <a:pPr>
              <a:defRPr>
                <a:latin typeface="Arial" panose="020B0604020202020204" pitchFamily="34" charset="0"/>
                <a:cs typeface="Arial" panose="020B0604020202020204" pitchFamily="34" charset="0"/>
              </a:defRPr>
            </a:pPr>
            <a:endParaRPr lang="en-US"/>
          </a:p>
        </c:txPr>
        <c:crossAx val="202786304"/>
        <c:crosses val="autoZero"/>
        <c:auto val="1"/>
        <c:lblAlgn val="ctr"/>
        <c:lblOffset val="100"/>
        <c:noMultiLvlLbl val="0"/>
      </c:catAx>
      <c:valAx>
        <c:axId val="202786304"/>
        <c:scaling>
          <c:orientation val="minMax"/>
        </c:scaling>
        <c:delete val="0"/>
        <c:axPos val="l"/>
        <c:majorGridlines>
          <c:spPr>
            <a:ln>
              <a:solidFill>
                <a:schemeClr val="bg1">
                  <a:lumMod val="75000"/>
                </a:schemeClr>
              </a:solidFill>
            </a:ln>
          </c:spPr>
        </c:majorGridlines>
        <c:numFmt formatCode="#,##0;\-#,##0.00_-;&quot;0&quot;" sourceLinked="0"/>
        <c:majorTickMark val="out"/>
        <c:minorTickMark val="none"/>
        <c:tickLblPos val="nextTo"/>
        <c:spPr>
          <a:ln>
            <a:solidFill>
              <a:schemeClr val="tx1"/>
            </a:solidFill>
          </a:ln>
        </c:spPr>
        <c:txPr>
          <a:bodyPr/>
          <a:lstStyle/>
          <a:p>
            <a:pPr>
              <a:defRPr sz="1000">
                <a:latin typeface="Arial" panose="020B0604020202020204" pitchFamily="34" charset="0"/>
                <a:cs typeface="Arial" panose="020B0604020202020204" pitchFamily="34" charset="0"/>
              </a:defRPr>
            </a:pPr>
            <a:endParaRPr lang="en-US"/>
          </a:p>
        </c:txPr>
        <c:crossAx val="202784768"/>
        <c:crosses val="autoZero"/>
        <c:crossBetween val="between"/>
      </c:valAx>
      <c:spPr>
        <a:solidFill>
          <a:sysClr val="window" lastClr="FFFFFF"/>
        </a:solidFill>
      </c:spPr>
    </c:plotArea>
    <c:legend>
      <c:legendPos val="b"/>
      <c:layout>
        <c:manualLayout>
          <c:xMode val="edge"/>
          <c:yMode val="edge"/>
          <c:x val="0.12624078304661715"/>
          <c:y val="0.8936965590306134"/>
          <c:w val="0.82271034928965592"/>
          <c:h val="9.336609119079238E-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chemeClr val="tx1"/>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'PRP LA trend tool 2015-23'!$B$149</c:f>
          <c:strCache>
            <c:ptCount val="1"/>
            <c:pt idx="0">
              <c:v>Average weekly supported housing/housing for older people (social rent) net rent (£ per week)</c:v>
            </c:pt>
          </c:strCache>
        </c:strRef>
      </c:tx>
      <c:layout>
        <c:manualLayout>
          <c:xMode val="edge"/>
          <c:yMode val="edge"/>
          <c:x val="7.6271466088737886E-3"/>
          <c:y val="5.0457387426235834E-3"/>
        </c:manualLayout>
      </c:layout>
      <c:overlay val="0"/>
      <c:txPr>
        <a:bodyPr/>
        <a:lstStyle/>
        <a:p>
          <a:pPr algn="l">
            <a:defRPr sz="1200">
              <a:solidFill>
                <a:srgbClr val="59468D"/>
              </a:solidFill>
              <a:latin typeface="Arial" panose="020B0604020202020204" pitchFamily="34" charset="0"/>
              <a:cs typeface="Arial" panose="020B0604020202020204" pitchFamily="34" charset="0"/>
            </a:defRPr>
          </a:pPr>
          <a:endParaRPr lang="en-US"/>
        </a:p>
      </c:txPr>
    </c:title>
    <c:autoTitleDeleted val="0"/>
    <c:plotArea>
      <c:layout>
        <c:manualLayout>
          <c:layoutTarget val="inner"/>
          <c:xMode val="edge"/>
          <c:yMode val="edge"/>
          <c:x val="0.10301285541967801"/>
          <c:y val="0.18153024935323792"/>
          <c:w val="0.86503919263113171"/>
          <c:h val="0.69163185112140246"/>
        </c:manualLayout>
      </c:layout>
      <c:barChart>
        <c:barDir val="col"/>
        <c:grouping val="clustered"/>
        <c:varyColors val="0"/>
        <c:ser>
          <c:idx val="0"/>
          <c:order val="0"/>
          <c:tx>
            <c:strRef>
              <c:f>'PRP LA trend tool 2015-23'!$B$151</c:f>
              <c:strCache>
                <c:ptCount val="1"/>
                <c:pt idx="0">
                  <c:v>0</c:v>
                </c:pt>
              </c:strCache>
            </c:strRef>
          </c:tx>
          <c:spPr>
            <a:solidFill>
              <a:srgbClr val="59468D"/>
            </a:solidFill>
          </c:spPr>
          <c:invertIfNegative val="0"/>
          <c:cat>
            <c:numRef>
              <c:f>'PRP LA trend tool 2015-23'!$E$150:$M$150</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2015-23'!$E$152:$M$152</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6B6A-4CCB-B7BB-296B67B83752}"/>
            </c:ext>
          </c:extLst>
        </c:ser>
        <c:dLbls>
          <c:showLegendKey val="0"/>
          <c:showVal val="0"/>
          <c:showCatName val="0"/>
          <c:showSerName val="0"/>
          <c:showPercent val="0"/>
          <c:showBubbleSize val="0"/>
        </c:dLbls>
        <c:gapWidth val="150"/>
        <c:axId val="202805632"/>
        <c:axId val="202807552"/>
      </c:barChart>
      <c:lineChart>
        <c:grouping val="standard"/>
        <c:varyColors val="0"/>
        <c:ser>
          <c:idx val="1"/>
          <c:order val="1"/>
          <c:tx>
            <c:strRef>
              <c:f>'PRP LA trend tool 2015-23'!$B$157</c:f>
              <c:strCache>
                <c:ptCount val="1"/>
              </c:strCache>
            </c:strRef>
          </c:tx>
          <c:spPr>
            <a:ln>
              <a:solidFill>
                <a:srgbClr val="AECFE6"/>
              </a:solidFill>
            </a:ln>
          </c:spPr>
          <c:marker>
            <c:symbol val="diamond"/>
            <c:size val="7"/>
            <c:spPr>
              <a:solidFill>
                <a:srgbClr val="AECFE6"/>
              </a:solidFill>
              <a:ln>
                <a:solidFill>
                  <a:srgbClr val="AECFE6"/>
                </a:solidFill>
              </a:ln>
            </c:spPr>
          </c:marker>
          <c:cat>
            <c:numRef>
              <c:f>'PRP LA trend tool 2015-23'!$E$150:$M$150</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2015-23'!$E$158:$M$158</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1-6B6A-4CCB-B7BB-296B67B83752}"/>
            </c:ext>
          </c:extLst>
        </c:ser>
        <c:ser>
          <c:idx val="2"/>
          <c:order val="2"/>
          <c:tx>
            <c:strRef>
              <c:f>'PRP LA trend tool 2015-23'!$B$163</c:f>
              <c:strCache>
                <c:ptCount val="1"/>
                <c:pt idx="0">
                  <c:v>England</c:v>
                </c:pt>
              </c:strCache>
            </c:strRef>
          </c:tx>
          <c:spPr>
            <a:ln>
              <a:solidFill>
                <a:srgbClr val="FCBE37"/>
              </a:solidFill>
            </a:ln>
          </c:spPr>
          <c:marker>
            <c:symbol val="circle"/>
            <c:size val="7"/>
            <c:spPr>
              <a:solidFill>
                <a:srgbClr val="FCBE37"/>
              </a:solidFill>
              <a:ln>
                <a:solidFill>
                  <a:srgbClr val="FCBE37"/>
                </a:solidFill>
              </a:ln>
            </c:spPr>
          </c:marker>
          <c:cat>
            <c:numRef>
              <c:f>'PRP LA trend tool 2015-23'!$E$150:$M$150</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2015-23'!$E$164:$M$164</c:f>
              <c:numCache>
                <c:formatCode>"£"#,##0.00</c:formatCode>
                <c:ptCount val="9"/>
                <c:pt idx="0">
                  <c:v>87.71</c:v>
                </c:pt>
                <c:pt idx="1">
                  <c:v>89.43</c:v>
                </c:pt>
                <c:pt idx="2">
                  <c:v>91.25</c:v>
                </c:pt>
                <c:pt idx="3">
                  <c:v>93.08</c:v>
                </c:pt>
                <c:pt idx="4">
                  <c:v>92.78</c:v>
                </c:pt>
                <c:pt idx="5">
                  <c:v>90.81</c:v>
                </c:pt>
                <c:pt idx="6">
                  <c:v>93.69</c:v>
                </c:pt>
                <c:pt idx="7">
                  <c:v>95.6</c:v>
                </c:pt>
                <c:pt idx="8">
                  <c:v>100.43</c:v>
                </c:pt>
              </c:numCache>
            </c:numRef>
          </c:val>
          <c:smooth val="0"/>
          <c:extLst>
            <c:ext xmlns:c16="http://schemas.microsoft.com/office/drawing/2014/chart" uri="{C3380CC4-5D6E-409C-BE32-E72D297353CC}">
              <c16:uniqueId val="{00000002-6B6A-4CCB-B7BB-296B67B83752}"/>
            </c:ext>
          </c:extLst>
        </c:ser>
        <c:dLbls>
          <c:showLegendKey val="0"/>
          <c:showVal val="0"/>
          <c:showCatName val="0"/>
          <c:showSerName val="0"/>
          <c:showPercent val="0"/>
          <c:showBubbleSize val="0"/>
        </c:dLbls>
        <c:marker val="1"/>
        <c:smooth val="0"/>
        <c:axId val="202805632"/>
        <c:axId val="202807552"/>
      </c:lineChart>
      <c:catAx>
        <c:axId val="202805632"/>
        <c:scaling>
          <c:orientation val="minMax"/>
        </c:scaling>
        <c:delete val="0"/>
        <c:axPos val="b"/>
        <c:numFmt formatCode="General" sourceLinked="1"/>
        <c:majorTickMark val="out"/>
        <c:minorTickMark val="none"/>
        <c:tickLblPos val="nextTo"/>
        <c:spPr>
          <a:ln>
            <a:solidFill>
              <a:schemeClr val="tx1"/>
            </a:solidFill>
          </a:ln>
        </c:spPr>
        <c:txPr>
          <a:bodyPr/>
          <a:lstStyle/>
          <a:p>
            <a:pPr>
              <a:defRPr>
                <a:latin typeface="Arial" panose="020B0604020202020204" pitchFamily="34" charset="0"/>
                <a:cs typeface="Arial" panose="020B0604020202020204" pitchFamily="34" charset="0"/>
              </a:defRPr>
            </a:pPr>
            <a:endParaRPr lang="en-US"/>
          </a:p>
        </c:txPr>
        <c:crossAx val="202807552"/>
        <c:crosses val="autoZero"/>
        <c:auto val="1"/>
        <c:lblAlgn val="ctr"/>
        <c:lblOffset val="100"/>
        <c:noMultiLvlLbl val="0"/>
      </c:catAx>
      <c:valAx>
        <c:axId val="202807552"/>
        <c:scaling>
          <c:orientation val="minMax"/>
        </c:scaling>
        <c:delete val="0"/>
        <c:axPos val="l"/>
        <c:majorGridlines>
          <c:spPr>
            <a:ln>
              <a:solidFill>
                <a:schemeClr val="bg1">
                  <a:lumMod val="75000"/>
                </a:schemeClr>
              </a:solidFill>
            </a:ln>
          </c:spPr>
        </c:majorGridlines>
        <c:numFmt formatCode="&quot;£&quot;#,##0" sourceLinked="0"/>
        <c:majorTickMark val="out"/>
        <c:minorTickMark val="none"/>
        <c:tickLblPos val="nextTo"/>
        <c:spPr>
          <a:ln>
            <a:solidFill>
              <a:schemeClr val="tx1"/>
            </a:solidFill>
          </a:ln>
        </c:spPr>
        <c:txPr>
          <a:bodyPr/>
          <a:lstStyle/>
          <a:p>
            <a:pPr>
              <a:defRPr>
                <a:latin typeface="Arial" panose="020B0604020202020204" pitchFamily="34" charset="0"/>
                <a:cs typeface="Arial" panose="020B0604020202020204" pitchFamily="34" charset="0"/>
              </a:defRPr>
            </a:pPr>
            <a:endParaRPr lang="en-US"/>
          </a:p>
        </c:txPr>
        <c:crossAx val="202805632"/>
        <c:crosses val="autoZero"/>
        <c:crossBetween val="between"/>
      </c:valAx>
      <c:spPr>
        <a:noFill/>
      </c:spPr>
    </c:plotArea>
    <c:legend>
      <c:legendPos val="b"/>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'PRP LA trend tool 2015-23'!$B$204</c:f>
          <c:strCache>
            <c:ptCount val="1"/>
            <c:pt idx="0">
              <c:v>Average weekly Affordable Rent general needs gross rent (£ per week)</c:v>
            </c:pt>
          </c:strCache>
        </c:strRef>
      </c:tx>
      <c:layout>
        <c:manualLayout>
          <c:xMode val="edge"/>
          <c:yMode val="edge"/>
          <c:x val="3.3618211819185892E-3"/>
          <c:y val="1.0904283842448605E-2"/>
        </c:manualLayout>
      </c:layout>
      <c:overlay val="0"/>
      <c:txPr>
        <a:bodyPr/>
        <a:lstStyle/>
        <a:p>
          <a:pPr algn="l">
            <a:defRPr sz="1200">
              <a:solidFill>
                <a:srgbClr val="59468D"/>
              </a:solidFill>
              <a:latin typeface="Arial" panose="020B0604020202020204" pitchFamily="34" charset="0"/>
              <a:cs typeface="Arial" panose="020B0604020202020204" pitchFamily="34" charset="0"/>
            </a:defRPr>
          </a:pPr>
          <a:endParaRPr lang="en-US"/>
        </a:p>
      </c:txPr>
    </c:title>
    <c:autoTitleDeleted val="0"/>
    <c:plotArea>
      <c:layout>
        <c:manualLayout>
          <c:layoutTarget val="inner"/>
          <c:xMode val="edge"/>
          <c:yMode val="edge"/>
          <c:x val="0.10432698662460017"/>
          <c:y val="0.18488140889078256"/>
          <c:w val="0.85761739890707467"/>
          <c:h val="0.64825590608020789"/>
        </c:manualLayout>
      </c:layout>
      <c:barChart>
        <c:barDir val="col"/>
        <c:grouping val="clustered"/>
        <c:varyColors val="0"/>
        <c:ser>
          <c:idx val="0"/>
          <c:order val="0"/>
          <c:tx>
            <c:strRef>
              <c:f>'PRP LA trend tool 2015-23'!$B$206</c:f>
              <c:strCache>
                <c:ptCount val="1"/>
                <c:pt idx="0">
                  <c:v>0</c:v>
                </c:pt>
              </c:strCache>
            </c:strRef>
          </c:tx>
          <c:spPr>
            <a:solidFill>
              <a:srgbClr val="59468D"/>
            </a:solidFill>
          </c:spPr>
          <c:invertIfNegative val="0"/>
          <c:cat>
            <c:numRef>
              <c:f>'PRP LA trend tool 2015-23'!$E$205:$M$205</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2015-23'!$E$207:$M$207</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62E7-40E3-B518-532D262CD342}"/>
            </c:ext>
          </c:extLst>
        </c:ser>
        <c:dLbls>
          <c:showLegendKey val="0"/>
          <c:showVal val="0"/>
          <c:showCatName val="0"/>
          <c:showSerName val="0"/>
          <c:showPercent val="0"/>
          <c:showBubbleSize val="0"/>
        </c:dLbls>
        <c:gapWidth val="150"/>
        <c:axId val="192894080"/>
        <c:axId val="192896000"/>
      </c:barChart>
      <c:lineChart>
        <c:grouping val="standard"/>
        <c:varyColors val="0"/>
        <c:ser>
          <c:idx val="1"/>
          <c:order val="1"/>
          <c:tx>
            <c:strRef>
              <c:f>'PRP LA trend tool 2015-23'!$B$209</c:f>
              <c:strCache>
                <c:ptCount val="1"/>
              </c:strCache>
            </c:strRef>
          </c:tx>
          <c:spPr>
            <a:ln>
              <a:solidFill>
                <a:srgbClr val="AECFE6"/>
              </a:solidFill>
            </a:ln>
          </c:spPr>
          <c:marker>
            <c:symbol val="diamond"/>
            <c:size val="7"/>
            <c:spPr>
              <a:solidFill>
                <a:srgbClr val="AECFE6"/>
              </a:solidFill>
              <a:ln>
                <a:solidFill>
                  <a:srgbClr val="AECFE6"/>
                </a:solidFill>
              </a:ln>
            </c:spPr>
          </c:marker>
          <c:cat>
            <c:numRef>
              <c:f>'PRP LA trend tool 2015-23'!$E$205:$M$205</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2015-23'!$E$210:$M$210</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1-62E7-40E3-B518-532D262CD342}"/>
            </c:ext>
          </c:extLst>
        </c:ser>
        <c:ser>
          <c:idx val="2"/>
          <c:order val="2"/>
          <c:tx>
            <c:strRef>
              <c:f>'PRP LA trend tool 2015-23'!$B$212</c:f>
              <c:strCache>
                <c:ptCount val="1"/>
                <c:pt idx="0">
                  <c:v>England</c:v>
                </c:pt>
              </c:strCache>
            </c:strRef>
          </c:tx>
          <c:spPr>
            <a:ln>
              <a:solidFill>
                <a:srgbClr val="FCBE37"/>
              </a:solidFill>
            </a:ln>
          </c:spPr>
          <c:marker>
            <c:symbol val="circle"/>
            <c:size val="7"/>
            <c:spPr>
              <a:solidFill>
                <a:srgbClr val="FCBE37"/>
              </a:solidFill>
              <a:ln>
                <a:solidFill>
                  <a:srgbClr val="FCBE37"/>
                </a:solidFill>
              </a:ln>
            </c:spPr>
          </c:marker>
          <c:cat>
            <c:numRef>
              <c:f>'PRP LA trend tool 2015-23'!$E$205:$M$205</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2015-23'!$E$213:$M$213</c:f>
              <c:numCache>
                <c:formatCode>"£"#,##0.00</c:formatCode>
                <c:ptCount val="9"/>
                <c:pt idx="0">
                  <c:v>124.34</c:v>
                </c:pt>
                <c:pt idx="1">
                  <c:v>128.6</c:v>
                </c:pt>
                <c:pt idx="2">
                  <c:v>127.95</c:v>
                </c:pt>
                <c:pt idx="3">
                  <c:v>127.8</c:v>
                </c:pt>
                <c:pt idx="4">
                  <c:v>128.05000000000001</c:v>
                </c:pt>
                <c:pt idx="5">
                  <c:v>128.62</c:v>
                </c:pt>
                <c:pt idx="6">
                  <c:v>133.31</c:v>
                </c:pt>
                <c:pt idx="7">
                  <c:v>136.72</c:v>
                </c:pt>
                <c:pt idx="8">
                  <c:v>143.80000000000001</c:v>
                </c:pt>
              </c:numCache>
            </c:numRef>
          </c:val>
          <c:smooth val="0"/>
          <c:extLst>
            <c:ext xmlns:c16="http://schemas.microsoft.com/office/drawing/2014/chart" uri="{C3380CC4-5D6E-409C-BE32-E72D297353CC}">
              <c16:uniqueId val="{00000002-62E7-40E3-B518-532D262CD342}"/>
            </c:ext>
          </c:extLst>
        </c:ser>
        <c:dLbls>
          <c:showLegendKey val="0"/>
          <c:showVal val="0"/>
          <c:showCatName val="0"/>
          <c:showSerName val="0"/>
          <c:showPercent val="0"/>
          <c:showBubbleSize val="0"/>
        </c:dLbls>
        <c:marker val="1"/>
        <c:smooth val="0"/>
        <c:axId val="192894080"/>
        <c:axId val="192896000"/>
      </c:lineChart>
      <c:catAx>
        <c:axId val="192894080"/>
        <c:scaling>
          <c:orientation val="minMax"/>
        </c:scaling>
        <c:delete val="0"/>
        <c:axPos val="b"/>
        <c:numFmt formatCode="General" sourceLinked="1"/>
        <c:majorTickMark val="out"/>
        <c:minorTickMark val="none"/>
        <c:tickLblPos val="nextTo"/>
        <c:spPr>
          <a:ln>
            <a:solidFill>
              <a:schemeClr val="tx1"/>
            </a:solidFill>
          </a:ln>
        </c:spPr>
        <c:txPr>
          <a:bodyPr/>
          <a:lstStyle/>
          <a:p>
            <a:pPr>
              <a:defRPr>
                <a:latin typeface="Arial" panose="020B0604020202020204" pitchFamily="34" charset="0"/>
                <a:cs typeface="Arial" panose="020B0604020202020204" pitchFamily="34" charset="0"/>
              </a:defRPr>
            </a:pPr>
            <a:endParaRPr lang="en-US"/>
          </a:p>
        </c:txPr>
        <c:crossAx val="192896000"/>
        <c:crosses val="autoZero"/>
        <c:auto val="1"/>
        <c:lblAlgn val="ctr"/>
        <c:lblOffset val="100"/>
        <c:noMultiLvlLbl val="0"/>
      </c:catAx>
      <c:valAx>
        <c:axId val="192896000"/>
        <c:scaling>
          <c:orientation val="minMax"/>
        </c:scaling>
        <c:delete val="0"/>
        <c:axPos val="l"/>
        <c:majorGridlines>
          <c:spPr>
            <a:ln>
              <a:solidFill>
                <a:schemeClr val="bg1">
                  <a:lumMod val="75000"/>
                </a:schemeClr>
              </a:solidFill>
            </a:ln>
          </c:spPr>
        </c:majorGridlines>
        <c:numFmt formatCode="&quot;£&quot;#,##0" sourceLinked="0"/>
        <c:majorTickMark val="out"/>
        <c:minorTickMark val="none"/>
        <c:tickLblPos val="nextTo"/>
        <c:spPr>
          <a:ln>
            <a:solidFill>
              <a:schemeClr val="tx1"/>
            </a:solidFill>
          </a:ln>
        </c:spPr>
        <c:txPr>
          <a:bodyPr/>
          <a:lstStyle/>
          <a:p>
            <a:pPr>
              <a:defRPr>
                <a:latin typeface="Arial" panose="020B0604020202020204" pitchFamily="34" charset="0"/>
                <a:cs typeface="Arial" panose="020B0604020202020204" pitchFamily="34" charset="0"/>
              </a:defRPr>
            </a:pPr>
            <a:endParaRPr lang="en-US"/>
          </a:p>
        </c:txPr>
        <c:crossAx val="192894080"/>
        <c:crosses val="autoZero"/>
        <c:crossBetween val="between"/>
      </c:valAx>
      <c:spPr>
        <a:noFill/>
      </c:spPr>
    </c:plotArea>
    <c:legend>
      <c:legendPos val="b"/>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chemeClr val="tx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'PRP LA trend tool 2015-23'!$B$248</c:f>
          <c:strCache>
            <c:ptCount val="1"/>
            <c:pt idx="0">
              <c:v>Average weekly Affordable Rent supported housing/housing for older people gross rent (£ per week)</c:v>
            </c:pt>
          </c:strCache>
        </c:strRef>
      </c:tx>
      <c:layout>
        <c:manualLayout>
          <c:xMode val="edge"/>
          <c:yMode val="edge"/>
          <c:x val="1.5793644797100744E-3"/>
          <c:y val="3.721425241401823E-3"/>
        </c:manualLayout>
      </c:layout>
      <c:overlay val="0"/>
      <c:txPr>
        <a:bodyPr/>
        <a:lstStyle/>
        <a:p>
          <a:pPr algn="l">
            <a:defRPr sz="1200">
              <a:solidFill>
                <a:srgbClr val="59468D"/>
              </a:solidFill>
              <a:latin typeface="Arial" panose="020B0604020202020204" pitchFamily="34" charset="0"/>
              <a:cs typeface="Arial" panose="020B0604020202020204" pitchFamily="34" charset="0"/>
            </a:defRPr>
          </a:pPr>
          <a:endParaRPr lang="en-US"/>
        </a:p>
      </c:txPr>
    </c:title>
    <c:autoTitleDeleted val="0"/>
    <c:plotArea>
      <c:layout>
        <c:manualLayout>
          <c:layoutTarget val="inner"/>
          <c:xMode val="edge"/>
          <c:yMode val="edge"/>
          <c:x val="0.10172434221701142"/>
          <c:y val="0.23599432819630134"/>
          <c:w val="0.86232853727954795"/>
          <c:h val="0.59737900313273684"/>
        </c:manualLayout>
      </c:layout>
      <c:barChart>
        <c:barDir val="col"/>
        <c:grouping val="clustered"/>
        <c:varyColors val="0"/>
        <c:ser>
          <c:idx val="0"/>
          <c:order val="0"/>
          <c:tx>
            <c:strRef>
              <c:f>'PRP LA trend tool 2015-23'!$B$250</c:f>
              <c:strCache>
                <c:ptCount val="1"/>
                <c:pt idx="0">
                  <c:v>0</c:v>
                </c:pt>
              </c:strCache>
            </c:strRef>
          </c:tx>
          <c:spPr>
            <a:solidFill>
              <a:srgbClr val="59468D"/>
            </a:solidFill>
          </c:spPr>
          <c:invertIfNegative val="0"/>
          <c:cat>
            <c:numRef>
              <c:f>'PRP LA trend tool 2015-23'!$E$249:$M$249</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2015-23'!$E$251:$M$251</c:f>
              <c:numCache>
                <c:formatCode>"£"#,##0.00;\-#,##0.00_-;"-"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CD94-444C-A1B0-1A8286718B10}"/>
            </c:ext>
          </c:extLst>
        </c:ser>
        <c:dLbls>
          <c:showLegendKey val="0"/>
          <c:showVal val="0"/>
          <c:showCatName val="0"/>
          <c:showSerName val="0"/>
          <c:showPercent val="0"/>
          <c:showBubbleSize val="0"/>
        </c:dLbls>
        <c:gapWidth val="150"/>
        <c:axId val="192931712"/>
        <c:axId val="192942080"/>
      </c:barChart>
      <c:lineChart>
        <c:grouping val="standard"/>
        <c:varyColors val="0"/>
        <c:ser>
          <c:idx val="1"/>
          <c:order val="1"/>
          <c:tx>
            <c:strRef>
              <c:f>'PRP LA trend tool 2015-23'!$B$253</c:f>
              <c:strCache>
                <c:ptCount val="1"/>
              </c:strCache>
            </c:strRef>
          </c:tx>
          <c:spPr>
            <a:ln>
              <a:solidFill>
                <a:srgbClr val="AECFE6"/>
              </a:solidFill>
            </a:ln>
          </c:spPr>
          <c:marker>
            <c:symbol val="diamond"/>
            <c:size val="7"/>
            <c:spPr>
              <a:solidFill>
                <a:srgbClr val="AECFE6"/>
              </a:solidFill>
              <a:ln>
                <a:solidFill>
                  <a:srgbClr val="AECFE6"/>
                </a:solidFill>
              </a:ln>
            </c:spPr>
          </c:marker>
          <c:cat>
            <c:numRef>
              <c:f>'PRP LA trend tool 2015-23'!$E$249:$M$249</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2015-23'!$E$254:$M$254</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1-CD94-444C-A1B0-1A8286718B10}"/>
            </c:ext>
          </c:extLst>
        </c:ser>
        <c:ser>
          <c:idx val="2"/>
          <c:order val="2"/>
          <c:tx>
            <c:strRef>
              <c:f>'PRP LA trend tool 2015-23'!$B$256</c:f>
              <c:strCache>
                <c:ptCount val="1"/>
                <c:pt idx="0">
                  <c:v>England</c:v>
                </c:pt>
              </c:strCache>
            </c:strRef>
          </c:tx>
          <c:spPr>
            <a:ln>
              <a:solidFill>
                <a:srgbClr val="FCBE37"/>
              </a:solidFill>
            </a:ln>
          </c:spPr>
          <c:marker>
            <c:symbol val="circle"/>
            <c:size val="7"/>
            <c:spPr>
              <a:solidFill>
                <a:srgbClr val="FFC000"/>
              </a:solidFill>
              <a:ln>
                <a:solidFill>
                  <a:srgbClr val="FCBE37"/>
                </a:solidFill>
              </a:ln>
            </c:spPr>
          </c:marker>
          <c:cat>
            <c:numRef>
              <c:f>'PRP LA trend tool 2015-23'!$E$249:$M$249</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2015-23'!$E$257:$M$257</c:f>
              <c:numCache>
                <c:formatCode>"£"#,##0.00</c:formatCode>
                <c:ptCount val="9"/>
                <c:pt idx="0">
                  <c:v>146.38999999999999</c:v>
                </c:pt>
                <c:pt idx="1">
                  <c:v>154.62</c:v>
                </c:pt>
                <c:pt idx="2">
                  <c:v>163.69999999999999</c:v>
                </c:pt>
                <c:pt idx="3">
                  <c:v>166.43</c:v>
                </c:pt>
                <c:pt idx="4">
                  <c:v>169.93</c:v>
                </c:pt>
                <c:pt idx="5">
                  <c:v>172.58</c:v>
                </c:pt>
                <c:pt idx="6">
                  <c:v>176.5</c:v>
                </c:pt>
                <c:pt idx="7">
                  <c:v>181.29</c:v>
                </c:pt>
                <c:pt idx="8">
                  <c:v>193.03</c:v>
                </c:pt>
              </c:numCache>
            </c:numRef>
          </c:val>
          <c:smooth val="0"/>
          <c:extLst>
            <c:ext xmlns:c16="http://schemas.microsoft.com/office/drawing/2014/chart" uri="{C3380CC4-5D6E-409C-BE32-E72D297353CC}">
              <c16:uniqueId val="{00000002-CD94-444C-A1B0-1A8286718B10}"/>
            </c:ext>
          </c:extLst>
        </c:ser>
        <c:dLbls>
          <c:showLegendKey val="0"/>
          <c:showVal val="0"/>
          <c:showCatName val="0"/>
          <c:showSerName val="0"/>
          <c:showPercent val="0"/>
          <c:showBubbleSize val="0"/>
        </c:dLbls>
        <c:marker val="1"/>
        <c:smooth val="0"/>
        <c:axId val="192931712"/>
        <c:axId val="192942080"/>
      </c:lineChart>
      <c:catAx>
        <c:axId val="192931712"/>
        <c:scaling>
          <c:orientation val="minMax"/>
        </c:scaling>
        <c:delete val="0"/>
        <c:axPos val="b"/>
        <c:numFmt formatCode="General" sourceLinked="1"/>
        <c:majorTickMark val="out"/>
        <c:minorTickMark val="none"/>
        <c:tickLblPos val="nextTo"/>
        <c:spPr>
          <a:ln>
            <a:solidFill>
              <a:schemeClr val="tx1"/>
            </a:solidFill>
          </a:ln>
        </c:spPr>
        <c:txPr>
          <a:bodyPr/>
          <a:lstStyle/>
          <a:p>
            <a:pPr>
              <a:defRPr>
                <a:latin typeface="Arial" panose="020B0604020202020204" pitchFamily="34" charset="0"/>
                <a:cs typeface="Arial" panose="020B0604020202020204" pitchFamily="34" charset="0"/>
              </a:defRPr>
            </a:pPr>
            <a:endParaRPr lang="en-US"/>
          </a:p>
        </c:txPr>
        <c:crossAx val="192942080"/>
        <c:crosses val="autoZero"/>
        <c:auto val="1"/>
        <c:lblAlgn val="ctr"/>
        <c:lblOffset val="100"/>
        <c:noMultiLvlLbl val="0"/>
      </c:catAx>
      <c:valAx>
        <c:axId val="192942080"/>
        <c:scaling>
          <c:orientation val="minMax"/>
        </c:scaling>
        <c:delete val="0"/>
        <c:axPos val="l"/>
        <c:majorGridlines>
          <c:spPr>
            <a:ln>
              <a:solidFill>
                <a:schemeClr val="bg1">
                  <a:lumMod val="75000"/>
                </a:schemeClr>
              </a:solidFill>
            </a:ln>
          </c:spPr>
        </c:majorGridlines>
        <c:numFmt formatCode="&quot;£&quot;#,##0_);\(&quot;£&quot;#,##0\)" sourceLinked="0"/>
        <c:majorTickMark val="out"/>
        <c:minorTickMark val="none"/>
        <c:tickLblPos val="nextTo"/>
        <c:spPr>
          <a:ln>
            <a:solidFill>
              <a:schemeClr val="tx1"/>
            </a:solidFill>
          </a:ln>
        </c:spPr>
        <c:txPr>
          <a:bodyPr/>
          <a:lstStyle/>
          <a:p>
            <a:pPr>
              <a:defRPr>
                <a:latin typeface="Arial" panose="020B0604020202020204" pitchFamily="34" charset="0"/>
                <a:cs typeface="Arial" panose="020B0604020202020204" pitchFamily="34" charset="0"/>
              </a:defRPr>
            </a:pPr>
            <a:endParaRPr lang="en-US"/>
          </a:p>
        </c:txPr>
        <c:crossAx val="192931712"/>
        <c:crosses val="autoZero"/>
        <c:crossBetween val="between"/>
      </c:valAx>
      <c:spPr>
        <a:noFill/>
      </c:spPr>
    </c:plotArea>
    <c:legend>
      <c:legendPos val="b"/>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chemeClr val="tx1"/>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'PRP LA trend tool 2015-23'!$O$368</c:f>
          <c:strCache>
            <c:ptCount val="1"/>
            <c:pt idx="0">
              <c:v>Vacant general needs self-contained units and percentage of all general needs self-contained units vacant</c:v>
            </c:pt>
          </c:strCache>
        </c:strRef>
      </c:tx>
      <c:layout>
        <c:manualLayout>
          <c:xMode val="edge"/>
          <c:yMode val="edge"/>
          <c:x val="3.2039469456882131E-3"/>
          <c:y val="5.8585115485273445E-3"/>
        </c:manualLayout>
      </c:layout>
      <c:overlay val="0"/>
      <c:txPr>
        <a:bodyPr/>
        <a:lstStyle/>
        <a:p>
          <a:pPr algn="l" rtl="0">
            <a:defRPr lang="en-US" sz="1200" b="1" i="0" u="none" strike="noStrike" kern="1200" baseline="0">
              <a:solidFill>
                <a:srgbClr val="8064A2">
                  <a:lumMod val="75000"/>
                </a:srgb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1758065047408646E-2"/>
          <c:y val="0.11864613950534217"/>
          <c:w val="0.81440951936874328"/>
          <c:h val="0.70859634172403729"/>
        </c:manualLayout>
      </c:layout>
      <c:barChart>
        <c:barDir val="col"/>
        <c:grouping val="stacked"/>
        <c:varyColors val="0"/>
        <c:ser>
          <c:idx val="0"/>
          <c:order val="0"/>
          <c:tx>
            <c:strRef>
              <c:f>'PRP LA trend tool 2015-23'!$B$344</c:f>
              <c:strCache>
                <c:ptCount val="1"/>
                <c:pt idx="0">
                  <c:v>Vacant and available for letting</c:v>
                </c:pt>
              </c:strCache>
            </c:strRef>
          </c:tx>
          <c:spPr>
            <a:solidFill>
              <a:srgbClr val="59468D"/>
            </a:solidFill>
          </c:spPr>
          <c:invertIfNegative val="0"/>
          <c:dPt>
            <c:idx val="0"/>
            <c:invertIfNegative val="0"/>
            <c:bubble3D val="0"/>
            <c:spPr>
              <a:solidFill>
                <a:srgbClr val="59468D"/>
              </a:solidFill>
            </c:spPr>
            <c:extLst>
              <c:ext xmlns:c16="http://schemas.microsoft.com/office/drawing/2014/chart" uri="{C3380CC4-5D6E-409C-BE32-E72D297353CC}">
                <c16:uniqueId val="{00000001-FC55-44E9-94CF-AD02F83DCB4B}"/>
              </c:ext>
            </c:extLst>
          </c:dPt>
          <c:cat>
            <c:numRef>
              <c:f>'PRP LA trend tool 2015-23'!$E$341:$M$341</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2015-23'!$E$344:$M$344</c:f>
              <c:numCache>
                <c:formatCode>_-* #,##0_-;\-* #,##0_-;_-*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FC55-44E9-94CF-AD02F83DCB4B}"/>
            </c:ext>
          </c:extLst>
        </c:ser>
        <c:ser>
          <c:idx val="1"/>
          <c:order val="1"/>
          <c:tx>
            <c:strRef>
              <c:f>'PRP LA trend tool 2015-23'!$B$345</c:f>
              <c:strCache>
                <c:ptCount val="1"/>
                <c:pt idx="0">
                  <c:v>Vacant and not available for letting</c:v>
                </c:pt>
              </c:strCache>
            </c:strRef>
          </c:tx>
          <c:spPr>
            <a:solidFill>
              <a:srgbClr val="AECFE6"/>
            </a:solidFill>
          </c:spPr>
          <c:invertIfNegative val="0"/>
          <c:cat>
            <c:numRef>
              <c:f>'PRP LA trend tool 2015-23'!$E$341:$M$341</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2015-23'!$E$345:$M$345</c:f>
              <c:numCache>
                <c:formatCode>_-* #,##0_-;\-* #,##0_-;_-*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FC55-44E9-94CF-AD02F83DCB4B}"/>
            </c:ext>
          </c:extLst>
        </c:ser>
        <c:dLbls>
          <c:showLegendKey val="0"/>
          <c:showVal val="0"/>
          <c:showCatName val="0"/>
          <c:showSerName val="0"/>
          <c:showPercent val="0"/>
          <c:showBubbleSize val="0"/>
        </c:dLbls>
        <c:gapWidth val="92"/>
        <c:overlap val="100"/>
        <c:axId val="192971136"/>
        <c:axId val="192973056"/>
      </c:barChart>
      <c:lineChart>
        <c:grouping val="standard"/>
        <c:varyColors val="0"/>
        <c:ser>
          <c:idx val="2"/>
          <c:order val="2"/>
          <c:tx>
            <c:strRef>
              <c:f>'PRP LA trend tool 2015-23'!$B$347</c:f>
              <c:strCache>
                <c:ptCount val="1"/>
                <c:pt idx="0">
                  <c:v>% of units vacant</c:v>
                </c:pt>
              </c:strCache>
            </c:strRef>
          </c:tx>
          <c:spPr>
            <a:ln>
              <a:solidFill>
                <a:srgbClr val="FCBE37"/>
              </a:solidFill>
            </a:ln>
          </c:spPr>
          <c:marker>
            <c:symbol val="diamond"/>
            <c:size val="5"/>
            <c:spPr>
              <a:solidFill>
                <a:srgbClr val="FCBE37"/>
              </a:solidFill>
              <a:ln>
                <a:solidFill>
                  <a:srgbClr val="FCBE37"/>
                </a:solidFill>
              </a:ln>
            </c:spPr>
          </c:marker>
          <c:cat>
            <c:numRef>
              <c:f>'PRP LA trend tool 2015-23'!$E$341:$M$341</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2015-23'!$E$347:$M$347</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4-FC55-44E9-94CF-AD02F83DCB4B}"/>
            </c:ext>
          </c:extLst>
        </c:ser>
        <c:dLbls>
          <c:showLegendKey val="0"/>
          <c:showVal val="0"/>
          <c:showCatName val="0"/>
          <c:showSerName val="0"/>
          <c:showPercent val="0"/>
          <c:showBubbleSize val="0"/>
        </c:dLbls>
        <c:marker val="1"/>
        <c:smooth val="0"/>
        <c:axId val="192976384"/>
        <c:axId val="192974848"/>
      </c:lineChart>
      <c:catAx>
        <c:axId val="192971136"/>
        <c:scaling>
          <c:orientation val="minMax"/>
        </c:scaling>
        <c:delete val="0"/>
        <c:axPos val="b"/>
        <c:numFmt formatCode="General" sourceLinked="1"/>
        <c:majorTickMark val="out"/>
        <c:minorTickMark val="none"/>
        <c:tickLblPos val="nextTo"/>
        <c:spPr>
          <a:ln>
            <a:solidFill>
              <a:sysClr val="windowText" lastClr="000000"/>
            </a:solidFill>
          </a:ln>
        </c:spPr>
        <c:txPr>
          <a:bodyPr/>
          <a:lstStyle/>
          <a:p>
            <a:pPr>
              <a:defRPr>
                <a:latin typeface="Arial" panose="020B0604020202020204" pitchFamily="34" charset="0"/>
                <a:cs typeface="Arial" panose="020B0604020202020204" pitchFamily="34" charset="0"/>
              </a:defRPr>
            </a:pPr>
            <a:endParaRPr lang="en-US"/>
          </a:p>
        </c:txPr>
        <c:crossAx val="192973056"/>
        <c:crosses val="autoZero"/>
        <c:auto val="1"/>
        <c:lblAlgn val="ctr"/>
        <c:lblOffset val="100"/>
        <c:noMultiLvlLbl val="0"/>
      </c:catAx>
      <c:valAx>
        <c:axId val="192973056"/>
        <c:scaling>
          <c:orientation val="minMax"/>
        </c:scaling>
        <c:delete val="0"/>
        <c:axPos val="l"/>
        <c:majorGridlines>
          <c:spPr>
            <a:ln>
              <a:solidFill>
                <a:sysClr val="window" lastClr="FFFFFF">
                  <a:lumMod val="75000"/>
                </a:sysClr>
              </a:solidFill>
            </a:ln>
          </c:spPr>
        </c:majorGridlines>
        <c:numFmt formatCode="#,##0" sourceLinked="0"/>
        <c:majorTickMark val="out"/>
        <c:minorTickMark val="none"/>
        <c:tickLblPos val="nextTo"/>
        <c:spPr>
          <a:ln>
            <a:solidFill>
              <a:sysClr val="windowText" lastClr="000000"/>
            </a:solidFill>
          </a:ln>
        </c:spPr>
        <c:txPr>
          <a:bodyPr/>
          <a:lstStyle/>
          <a:p>
            <a:pPr>
              <a:defRPr>
                <a:latin typeface="Arial" panose="020B0604020202020204" pitchFamily="34" charset="0"/>
                <a:cs typeface="Arial" panose="020B0604020202020204" pitchFamily="34" charset="0"/>
              </a:defRPr>
            </a:pPr>
            <a:endParaRPr lang="en-US"/>
          </a:p>
        </c:txPr>
        <c:crossAx val="192971136"/>
        <c:crosses val="autoZero"/>
        <c:crossBetween val="between"/>
      </c:valAx>
      <c:valAx>
        <c:axId val="192974848"/>
        <c:scaling>
          <c:orientation val="minMax"/>
        </c:scaling>
        <c:delete val="0"/>
        <c:axPos val="r"/>
        <c:numFmt formatCode="0.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192976384"/>
        <c:crosses val="max"/>
        <c:crossBetween val="between"/>
      </c:valAx>
      <c:catAx>
        <c:axId val="192976384"/>
        <c:scaling>
          <c:orientation val="minMax"/>
        </c:scaling>
        <c:delete val="1"/>
        <c:axPos val="b"/>
        <c:numFmt formatCode="General" sourceLinked="1"/>
        <c:majorTickMark val="out"/>
        <c:minorTickMark val="none"/>
        <c:tickLblPos val="nextTo"/>
        <c:crossAx val="192974848"/>
        <c:crosses val="autoZero"/>
        <c:auto val="1"/>
        <c:lblAlgn val="ctr"/>
        <c:lblOffset val="100"/>
        <c:noMultiLvlLbl val="0"/>
      </c:catAx>
      <c:spPr>
        <a:noFill/>
      </c:spPr>
    </c:plotArea>
    <c:legend>
      <c:legendPos val="b"/>
      <c:layout>
        <c:manualLayout>
          <c:xMode val="edge"/>
          <c:yMode val="edge"/>
          <c:x val="9.2485995151925002E-2"/>
          <c:y val="0.90197448249931356"/>
          <c:w val="0.8288606361940265"/>
          <c:h val="8.3517757281416902E-2"/>
        </c:manualLayout>
      </c:layout>
      <c:overlay val="0"/>
      <c:txPr>
        <a:bodyPr/>
        <a:lstStyle/>
        <a:p>
          <a:pPr rtl="0">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ysClr val="windowText" lastClr="000000"/>
      </a:solidFill>
    </a:ln>
  </c:spPr>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'PRP LA trend tool 2015-23'!$K$291</c:f>
          <c:strCache>
            <c:ptCount val="1"/>
            <c:pt idx="0">
              <c:v>Percentage of sales per year by type for large PRPs</c:v>
            </c:pt>
          </c:strCache>
        </c:strRef>
      </c:tx>
      <c:layout>
        <c:manualLayout>
          <c:xMode val="edge"/>
          <c:yMode val="edge"/>
          <c:x val="4.7244277888922629E-3"/>
          <c:y val="8.636571723514546E-3"/>
        </c:manualLayout>
      </c:layout>
      <c:overlay val="0"/>
      <c:txPr>
        <a:bodyPr/>
        <a:lstStyle/>
        <a:p>
          <a:pPr algn="l">
            <a:defRPr sz="1200">
              <a:solidFill>
                <a:schemeClr val="accent4">
                  <a:lumMod val="75000"/>
                </a:schemeClr>
              </a:solidFill>
              <a:latin typeface="Arial" panose="020B0604020202020204" pitchFamily="34" charset="0"/>
              <a:cs typeface="Arial" panose="020B0604020202020204" pitchFamily="34" charset="0"/>
            </a:defRPr>
          </a:pPr>
          <a:endParaRPr lang="en-US"/>
        </a:p>
      </c:txPr>
    </c:title>
    <c:autoTitleDeleted val="0"/>
    <c:plotArea>
      <c:layout>
        <c:manualLayout>
          <c:layoutTarget val="inner"/>
          <c:xMode val="edge"/>
          <c:yMode val="edge"/>
          <c:x val="9.9938321956074161E-2"/>
          <c:y val="0.12260381090224921"/>
          <c:w val="0.86051728336146505"/>
          <c:h val="0.61875307253540568"/>
        </c:manualLayout>
      </c:layout>
      <c:barChart>
        <c:barDir val="bar"/>
        <c:grouping val="stacked"/>
        <c:varyColors val="0"/>
        <c:ser>
          <c:idx val="0"/>
          <c:order val="0"/>
          <c:tx>
            <c:strRef>
              <c:f>'PRP LA trend tool 2015-23'!$Q$273</c:f>
              <c:strCache>
                <c:ptCount val="1"/>
                <c:pt idx="0">
                  <c:v>Total sales to registered providers</c:v>
                </c:pt>
              </c:strCache>
            </c:strRef>
          </c:tx>
          <c:spPr>
            <a:solidFill>
              <a:srgbClr val="59468D"/>
            </a:solidFill>
          </c:spPr>
          <c:invertIfNegative val="0"/>
          <c:cat>
            <c:numRef>
              <c:f>'PRP LA trend tool 2015-23'!$R$272:$Z$272</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2015-23'!$R$273:$Z$273</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A1A9-456C-A7CB-B339B154BBE2}"/>
            </c:ext>
          </c:extLst>
        </c:ser>
        <c:ser>
          <c:idx val="1"/>
          <c:order val="1"/>
          <c:tx>
            <c:strRef>
              <c:f>'PRP LA trend tool 2015-23'!$Q$274</c:f>
              <c:strCache>
                <c:ptCount val="1"/>
                <c:pt idx="0">
                  <c:v>Total sales to tenants</c:v>
                </c:pt>
              </c:strCache>
            </c:strRef>
          </c:tx>
          <c:spPr>
            <a:solidFill>
              <a:srgbClr val="AECFE6"/>
            </a:solidFill>
          </c:spPr>
          <c:invertIfNegative val="0"/>
          <c:cat>
            <c:numRef>
              <c:f>'PRP LA trend tool 2015-23'!$R$272:$Z$272</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2015-23'!$R$274:$Z$274</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A1A9-456C-A7CB-B339B154BBE2}"/>
            </c:ext>
          </c:extLst>
        </c:ser>
        <c:ser>
          <c:idx val="2"/>
          <c:order val="2"/>
          <c:tx>
            <c:strRef>
              <c:f>'PRP LA trend tool 2015-23'!$Q$275</c:f>
              <c:strCache>
                <c:ptCount val="1"/>
                <c:pt idx="0">
                  <c:v>Total sales to other</c:v>
                </c:pt>
              </c:strCache>
            </c:strRef>
          </c:tx>
          <c:spPr>
            <a:solidFill>
              <a:srgbClr val="FCBE37"/>
            </a:solidFill>
          </c:spPr>
          <c:invertIfNegative val="0"/>
          <c:cat>
            <c:numRef>
              <c:f>'PRP LA trend tool 2015-23'!$R$272:$Z$272</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2015-23'!$R$275:$Z$275</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A1A9-456C-A7CB-B339B154BBE2}"/>
            </c:ext>
          </c:extLst>
        </c:ser>
        <c:ser>
          <c:idx val="3"/>
          <c:order val="3"/>
          <c:tx>
            <c:strRef>
              <c:f>'PRP LA trend tool 2015-23'!$Q$276</c:f>
              <c:strCache>
                <c:ptCount val="1"/>
                <c:pt idx="0">
                  <c:v>First tranche LCHO sales</c:v>
                </c:pt>
              </c:strCache>
            </c:strRef>
          </c:tx>
          <c:spPr>
            <a:solidFill>
              <a:srgbClr val="97D88A"/>
            </a:solidFill>
          </c:spPr>
          <c:invertIfNegative val="0"/>
          <c:cat>
            <c:numRef>
              <c:f>'PRP LA trend tool 2015-23'!$R$272:$Z$272</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2015-23'!$R$276:$Z$276</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A1A9-456C-A7CB-B339B154BBE2}"/>
            </c:ext>
          </c:extLst>
        </c:ser>
        <c:ser>
          <c:idx val="4"/>
          <c:order val="4"/>
          <c:tx>
            <c:strRef>
              <c:f>'PRP LA trend tool 2015-23'!$Q$277</c:f>
              <c:strCache>
                <c:ptCount val="1"/>
                <c:pt idx="0">
                  <c:v>100% staircased LCHO sales</c:v>
                </c:pt>
              </c:strCache>
            </c:strRef>
          </c:tx>
          <c:spPr>
            <a:solidFill>
              <a:srgbClr val="E1CE9D"/>
            </a:solidFill>
          </c:spPr>
          <c:invertIfNegative val="0"/>
          <c:cat>
            <c:numRef>
              <c:f>'PRP LA trend tool 2015-23'!$R$272:$Z$272</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'PRP LA trend tool 2015-23'!$R$277:$Z$277</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A1A9-456C-A7CB-B339B154BBE2}"/>
            </c:ext>
          </c:extLst>
        </c:ser>
        <c:dLbls>
          <c:showLegendKey val="0"/>
          <c:showVal val="0"/>
          <c:showCatName val="0"/>
          <c:showSerName val="0"/>
          <c:showPercent val="0"/>
          <c:showBubbleSize val="0"/>
        </c:dLbls>
        <c:gapWidth val="80"/>
        <c:overlap val="100"/>
        <c:axId val="434268800"/>
        <c:axId val="434274688"/>
      </c:barChart>
      <c:catAx>
        <c:axId val="434268800"/>
        <c:scaling>
          <c:orientation val="minMax"/>
        </c:scaling>
        <c:delete val="0"/>
        <c:axPos val="l"/>
        <c:numFmt formatCode="General" sourceLinked="1"/>
        <c:majorTickMark val="out"/>
        <c:minorTickMark val="none"/>
        <c:tickLblPos val="nextTo"/>
        <c:spPr>
          <a:ln>
            <a:solidFill>
              <a:sysClr val="windowText" lastClr="000000"/>
            </a:solidFill>
          </a:ln>
        </c:spPr>
        <c:txPr>
          <a:bodyPr/>
          <a:lstStyle/>
          <a:p>
            <a:pPr>
              <a:defRPr sz="1000">
                <a:latin typeface="Arial" panose="020B0604020202020204" pitchFamily="34" charset="0"/>
                <a:cs typeface="Arial" panose="020B0604020202020204" pitchFamily="34" charset="0"/>
              </a:defRPr>
            </a:pPr>
            <a:endParaRPr lang="en-US"/>
          </a:p>
        </c:txPr>
        <c:crossAx val="434274688"/>
        <c:crosses val="autoZero"/>
        <c:auto val="1"/>
        <c:lblAlgn val="ctr"/>
        <c:lblOffset val="100"/>
        <c:noMultiLvlLbl val="0"/>
      </c:catAx>
      <c:valAx>
        <c:axId val="434274688"/>
        <c:scaling>
          <c:orientation val="minMax"/>
          <c:max val="1"/>
        </c:scaling>
        <c:delete val="0"/>
        <c:axPos val="b"/>
        <c:majorGridlines>
          <c:spPr>
            <a:ln>
              <a:solidFill>
                <a:sysClr val="window" lastClr="FFFFFF">
                  <a:lumMod val="75000"/>
                </a:sysClr>
              </a:solidFill>
            </a:ln>
          </c:spPr>
        </c:majorGridlines>
        <c:numFmt formatCode="0%" sourceLinked="1"/>
        <c:majorTickMark val="out"/>
        <c:minorTickMark val="none"/>
        <c:tickLblPos val="nextTo"/>
        <c:spPr>
          <a:ln>
            <a:solidFill>
              <a:sysClr val="windowText" lastClr="000000"/>
            </a:solidFill>
          </a:ln>
        </c:spPr>
        <c:txPr>
          <a:bodyPr/>
          <a:lstStyle/>
          <a:p>
            <a:pPr>
              <a:defRPr>
                <a:latin typeface="Arial" panose="020B0604020202020204" pitchFamily="34" charset="0"/>
                <a:cs typeface="Arial" panose="020B0604020202020204" pitchFamily="34" charset="0"/>
              </a:defRPr>
            </a:pPr>
            <a:endParaRPr lang="en-US"/>
          </a:p>
        </c:txPr>
        <c:crossAx val="434268800"/>
        <c:crosses val="autoZero"/>
        <c:crossBetween val="between"/>
      </c:valAx>
    </c:plotArea>
    <c:legend>
      <c:legendPos val="b"/>
      <c:layout>
        <c:manualLayout>
          <c:xMode val="edge"/>
          <c:yMode val="edge"/>
          <c:x val="3.2967834427686263E-2"/>
          <c:y val="0.81867659403313442"/>
          <c:w val="0.96338435930336463"/>
          <c:h val="0.1628047535724701"/>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0"/>
    <c:dispBlanksAs val="gap"/>
    <c:showDLblsOverMax val="0"/>
  </c:chart>
  <c:spPr>
    <a:ln>
      <a:solidFill>
        <a:sysClr val="windowText" lastClr="000000"/>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4</xdr:col>
      <xdr:colOff>5829300</xdr:colOff>
      <xdr:row>1</xdr:row>
      <xdr:rowOff>22224</xdr:rowOff>
    </xdr:from>
    <xdr:to>
      <xdr:col>10</xdr:col>
      <xdr:colOff>590549</xdr:colOff>
      <xdr:row>7</xdr:row>
      <xdr:rowOff>25400</xdr:rowOff>
    </xdr:to>
    <xdr:sp macro="" textlink="">
      <xdr:nvSpPr>
        <xdr:cNvPr id="2" name="Text Box 2">
          <a:extLst>
            <a:ext uri="{FF2B5EF4-FFF2-40B4-BE49-F238E27FC236}">
              <a16:creationId xmlns:a16="http://schemas.microsoft.com/office/drawing/2014/main" id="{5BE3445B-2033-44BC-A05D-233AD8FB59ED}"/>
            </a:ext>
          </a:extLst>
        </xdr:cNvPr>
        <xdr:cNvSpPr>
          <a:spLocks noChangeArrowheads="1"/>
        </xdr:cNvSpPr>
      </xdr:nvSpPr>
      <xdr:spPr bwMode="auto">
        <a:xfrm>
          <a:off x="7639050" y="250824"/>
          <a:ext cx="4552949" cy="1517651"/>
        </a:xfrm>
        <a:prstGeom prst="roundRect">
          <a:avLst>
            <a:gd name="adj" fmla="val 9648"/>
          </a:avLst>
        </a:prstGeom>
        <a:noFill/>
        <a:ln w="28575" algn="ctr">
          <a:solidFill>
            <a:srgbClr val="59468D"/>
          </a:solidFill>
          <a:round/>
          <a:headEnd/>
          <a:tailEnd/>
        </a:ln>
        <a:effectLst/>
        <a:extLst>
          <a:ext uri="{909E8E84-426E-40DD-AFC4-6F175D3DCCD1}">
            <a14:hiddenFill xmlns:a14="http://schemas.microsoft.com/office/drawing/2010/main">
              <a:solidFill>
                <a:srgbClr val="EEEBF5"/>
              </a:solidFill>
            </a14:hiddenFill>
          </a:ext>
          <a:ext uri="{AF507438-7753-43E0-B8FC-AC1667EBCBE1}">
            <a14:hiddenEffects xmlns:a14="http://schemas.microsoft.com/office/drawing/2010/main">
              <a:effectLst>
                <a:outerShdw sx="0" sy="0" algn="ctr" rotWithShape="0">
                  <a:srgbClr val="59468D">
                    <a:alpha val="0"/>
                  </a:srgbClr>
                </a:outerShdw>
              </a:effectLst>
            </a14:hiddenEffects>
          </a:ext>
        </a:extLst>
      </xdr:spPr>
      <xdr:txBody>
        <a:bodyPr vertOverflow="clip" wrap="square" lIns="91440" tIns="45720" rIns="91440" bIns="45720" anchor="t" upright="1"/>
        <a:lstStyle/>
        <a:p>
          <a:pPr algn="ctr" rtl="0">
            <a:defRPr sz="1000"/>
          </a:pPr>
          <a:r>
            <a:rPr lang="en-GB" sz="1200" b="1" i="0" u="none" strike="noStrike" baseline="0">
              <a:solidFill>
                <a:srgbClr val="594691"/>
              </a:solidFill>
              <a:latin typeface="Arial"/>
              <a:cs typeface="Arial"/>
            </a:rPr>
            <a:t>Why not have your say on our statistics in 2023/24?</a:t>
          </a:r>
        </a:p>
        <a:p>
          <a:pPr algn="ctr" rtl="0">
            <a:defRPr sz="1000"/>
          </a:pPr>
          <a:endParaRPr lang="en-GB" sz="600" b="1" i="0" u="none" strike="noStrike" baseline="0">
            <a:solidFill>
              <a:srgbClr val="594691"/>
            </a:solidFill>
            <a:latin typeface="Arial"/>
            <a:cs typeface="Arial"/>
          </a:endParaRPr>
        </a:p>
        <a:p>
          <a:pPr algn="ctr" rtl="0">
            <a:defRPr sz="1000"/>
          </a:pPr>
          <a:r>
            <a:rPr lang="en-GB" sz="1000" b="0" i="0" u="none" strike="noStrike" baseline="0">
              <a:solidFill>
                <a:srgbClr val="594691"/>
              </a:solidFill>
              <a:latin typeface="Arial"/>
              <a:cs typeface="Arial"/>
            </a:rPr>
            <a:t>Email feedback to </a:t>
          </a:r>
          <a:r>
            <a:rPr lang="en-GB" sz="1000" b="0" i="0" u="none" strike="noStrike" baseline="0">
              <a:solidFill>
                <a:srgbClr val="0000FF"/>
              </a:solidFill>
              <a:latin typeface="Arial"/>
              <a:cs typeface="Arial"/>
            </a:rPr>
            <a:t>enquiries@rsh.gov.uk</a:t>
          </a:r>
          <a:r>
            <a:rPr lang="en-GB" sz="1000" b="0" i="0" u="none" strike="noStrike" baseline="0">
              <a:solidFill>
                <a:srgbClr val="594691"/>
              </a:solidFill>
              <a:latin typeface="Arial"/>
              <a:cs typeface="Arial"/>
            </a:rPr>
            <a:t> or rate how this document meets your needs </a:t>
          </a:r>
          <a:r>
            <a:rPr lang="en-GB" sz="1000" b="1" i="0" u="none" strike="noStrike" baseline="0">
              <a:solidFill>
                <a:srgbClr val="594691"/>
              </a:solidFill>
              <a:latin typeface="Arial"/>
              <a:cs typeface="Arial"/>
            </a:rPr>
            <a:t>by clicking 1 of the 3 options below:</a:t>
          </a:r>
        </a:p>
        <a:p>
          <a:pPr algn="ctr" rtl="0">
            <a:defRPr sz="1000"/>
          </a:pPr>
          <a:endParaRPr lang="en-GB" sz="1000" b="1" i="0" u="none" strike="noStrike" baseline="0">
            <a:solidFill>
              <a:srgbClr val="594691"/>
            </a:solidFill>
            <a:latin typeface="Arial"/>
            <a:cs typeface="Arial"/>
          </a:endParaRPr>
        </a:p>
        <a:p>
          <a:pPr algn="l" rtl="0">
            <a:defRPr sz="1000"/>
          </a:pPr>
          <a:endParaRPr lang="en-GB" sz="1100" b="0" i="0" u="none" strike="noStrike" baseline="0">
            <a:solidFill>
              <a:srgbClr val="00B050"/>
            </a:solidFill>
            <a:latin typeface="Arial"/>
            <a:cs typeface="Arial"/>
          </a:endParaRPr>
        </a:p>
      </xdr:txBody>
    </xdr:sp>
    <xdr:clientData/>
  </xdr:twoCellAnchor>
  <xdr:twoCellAnchor editAs="oneCell">
    <xdr:from>
      <xdr:col>1</xdr:col>
      <xdr:colOff>263526</xdr:colOff>
      <xdr:row>1</xdr:row>
      <xdr:rowOff>206822</xdr:rowOff>
    </xdr:from>
    <xdr:to>
      <xdr:col>4</xdr:col>
      <xdr:colOff>787401</xdr:colOff>
      <xdr:row>5</xdr:row>
      <xdr:rowOff>96801</xdr:rowOff>
    </xdr:to>
    <xdr:pic>
      <xdr:nvPicPr>
        <xdr:cNvPr id="3" name="Picture 2">
          <a:extLst>
            <a:ext uri="{FF2B5EF4-FFF2-40B4-BE49-F238E27FC236}">
              <a16:creationId xmlns:a16="http://schemas.microsoft.com/office/drawing/2014/main" id="{BC720063-A50D-47D4-AE95-71D306030833}"/>
            </a:ext>
          </a:extLst>
        </xdr:cNvPr>
        <xdr:cNvPicPr>
          <a:picLocks noChangeAspect="1"/>
        </xdr:cNvPicPr>
      </xdr:nvPicPr>
      <xdr:blipFill>
        <a:blip xmlns:r="http://schemas.openxmlformats.org/officeDocument/2006/relationships" r:embed="rId1"/>
        <a:stretch>
          <a:fillRect/>
        </a:stretch>
      </xdr:blipFill>
      <xdr:spPr>
        <a:xfrm>
          <a:off x="482601" y="435422"/>
          <a:ext cx="2117725" cy="10425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333375</xdr:colOff>
      <xdr:row>1</xdr:row>
      <xdr:rowOff>19050</xdr:rowOff>
    </xdr:from>
    <xdr:ext cx="1428297" cy="727075"/>
    <xdr:pic>
      <xdr:nvPicPr>
        <xdr:cNvPr id="2" name="Picture 1">
          <a:extLst>
            <a:ext uri="{FF2B5EF4-FFF2-40B4-BE49-F238E27FC236}">
              <a16:creationId xmlns:a16="http://schemas.microsoft.com/office/drawing/2014/main" id="{66777289-B530-4507-B8B4-E03892C1C2FC}"/>
            </a:ext>
          </a:extLst>
        </xdr:cNvPr>
        <xdr:cNvPicPr>
          <a:picLocks noChangeAspect="1"/>
        </xdr:cNvPicPr>
      </xdr:nvPicPr>
      <xdr:blipFill>
        <a:blip xmlns:r="http://schemas.openxmlformats.org/officeDocument/2006/relationships" r:embed="rId1"/>
        <a:stretch>
          <a:fillRect/>
        </a:stretch>
      </xdr:blipFill>
      <xdr:spPr>
        <a:xfrm>
          <a:off x="333375" y="314325"/>
          <a:ext cx="1428297" cy="7270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206375</xdr:colOff>
      <xdr:row>0</xdr:row>
      <xdr:rowOff>282575</xdr:rowOff>
    </xdr:from>
    <xdr:ext cx="1384638" cy="704850"/>
    <xdr:pic>
      <xdr:nvPicPr>
        <xdr:cNvPr id="2" name="Picture 1">
          <a:extLst>
            <a:ext uri="{FF2B5EF4-FFF2-40B4-BE49-F238E27FC236}">
              <a16:creationId xmlns:a16="http://schemas.microsoft.com/office/drawing/2014/main" id="{B2011ED5-191B-450A-8F21-956A66D0D598}"/>
            </a:ext>
          </a:extLst>
        </xdr:cNvPr>
        <xdr:cNvPicPr>
          <a:picLocks noChangeAspect="1"/>
        </xdr:cNvPicPr>
      </xdr:nvPicPr>
      <xdr:blipFill>
        <a:blip xmlns:r="http://schemas.openxmlformats.org/officeDocument/2006/relationships" r:embed="rId1"/>
        <a:stretch>
          <a:fillRect/>
        </a:stretch>
      </xdr:blipFill>
      <xdr:spPr>
        <a:xfrm>
          <a:off x="311150" y="282575"/>
          <a:ext cx="1384638" cy="7048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800963</xdr:colOff>
      <xdr:row>65</xdr:row>
      <xdr:rowOff>2684</xdr:rowOff>
    </xdr:from>
    <xdr:to>
      <xdr:col>12</xdr:col>
      <xdr:colOff>800963</xdr:colOff>
      <xdr:row>90</xdr:row>
      <xdr:rowOff>151109</xdr:rowOff>
    </xdr:to>
    <xdr:graphicFrame macro="">
      <xdr:nvGraphicFramePr>
        <xdr:cNvPr id="2" name="Chart 1">
          <a:extLst>
            <a:ext uri="{FF2B5EF4-FFF2-40B4-BE49-F238E27FC236}">
              <a16:creationId xmlns:a16="http://schemas.microsoft.com/office/drawing/2014/main" id="{BC71E521-2C2F-421C-B733-4AE30BBA9E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802813</xdr:colOff>
      <xdr:row>10</xdr:row>
      <xdr:rowOff>10073</xdr:rowOff>
    </xdr:from>
    <xdr:to>
      <xdr:col>12</xdr:col>
      <xdr:colOff>800963</xdr:colOff>
      <xdr:row>35</xdr:row>
      <xdr:rowOff>164848</xdr:rowOff>
    </xdr:to>
    <xdr:graphicFrame macro="">
      <xdr:nvGraphicFramePr>
        <xdr:cNvPr id="3" name="Chart 2">
          <a:extLst>
            <a:ext uri="{FF2B5EF4-FFF2-40B4-BE49-F238E27FC236}">
              <a16:creationId xmlns:a16="http://schemas.microsoft.com/office/drawing/2014/main" id="{043D763D-F149-43A7-A726-2213A239F8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800100</xdr:colOff>
      <xdr:row>119</xdr:row>
      <xdr:rowOff>952</xdr:rowOff>
    </xdr:from>
    <xdr:to>
      <xdr:col>12</xdr:col>
      <xdr:colOff>800963</xdr:colOff>
      <xdr:row>144</xdr:row>
      <xdr:rowOff>152552</xdr:rowOff>
    </xdr:to>
    <xdr:graphicFrame macro="">
      <xdr:nvGraphicFramePr>
        <xdr:cNvPr id="5" name="Chart 4">
          <a:extLst>
            <a:ext uri="{FF2B5EF4-FFF2-40B4-BE49-F238E27FC236}">
              <a16:creationId xmlns:a16="http://schemas.microsoft.com/office/drawing/2014/main" id="{9CFEFB11-E86E-4760-A535-FEC265DE30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803663</xdr:colOff>
      <xdr:row>174</xdr:row>
      <xdr:rowOff>2226</xdr:rowOff>
    </xdr:from>
    <xdr:to>
      <xdr:col>12</xdr:col>
      <xdr:colOff>800963</xdr:colOff>
      <xdr:row>199</xdr:row>
      <xdr:rowOff>150651</xdr:rowOff>
    </xdr:to>
    <xdr:graphicFrame macro="">
      <xdr:nvGraphicFramePr>
        <xdr:cNvPr id="6" name="Chart 5">
          <a:extLst>
            <a:ext uri="{FF2B5EF4-FFF2-40B4-BE49-F238E27FC236}">
              <a16:creationId xmlns:a16="http://schemas.microsoft.com/office/drawing/2014/main" id="{0935598D-3B14-4EA2-8CD2-7ACFE6C345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804088</xdr:colOff>
      <xdr:row>218</xdr:row>
      <xdr:rowOff>0</xdr:rowOff>
    </xdr:from>
    <xdr:to>
      <xdr:col>12</xdr:col>
      <xdr:colOff>800963</xdr:colOff>
      <xdr:row>243</xdr:row>
      <xdr:rowOff>145250</xdr:rowOff>
    </xdr:to>
    <xdr:graphicFrame macro="">
      <xdr:nvGraphicFramePr>
        <xdr:cNvPr id="7" name="Chart 6">
          <a:extLst>
            <a:ext uri="{FF2B5EF4-FFF2-40B4-BE49-F238E27FC236}">
              <a16:creationId xmlns:a16="http://schemas.microsoft.com/office/drawing/2014/main" id="{F8D382CA-2F69-46A3-9142-6CCB1AF898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1238</xdr:colOff>
      <xdr:row>311</xdr:row>
      <xdr:rowOff>1628</xdr:rowOff>
    </xdr:from>
    <xdr:to>
      <xdr:col>12</xdr:col>
      <xdr:colOff>800963</xdr:colOff>
      <xdr:row>336</xdr:row>
      <xdr:rowOff>150053</xdr:rowOff>
    </xdr:to>
    <xdr:graphicFrame macro="">
      <xdr:nvGraphicFramePr>
        <xdr:cNvPr id="8" name="Chart 7">
          <a:extLst>
            <a:ext uri="{FF2B5EF4-FFF2-40B4-BE49-F238E27FC236}">
              <a16:creationId xmlns:a16="http://schemas.microsoft.com/office/drawing/2014/main" id="{5F08E1EB-8684-4AC3-A3BB-CD49F8E80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813</xdr:colOff>
      <xdr:row>262</xdr:row>
      <xdr:rowOff>521</xdr:rowOff>
    </xdr:from>
    <xdr:to>
      <xdr:col>12</xdr:col>
      <xdr:colOff>800963</xdr:colOff>
      <xdr:row>287</xdr:row>
      <xdr:rowOff>142596</xdr:rowOff>
    </xdr:to>
    <xdr:graphicFrame macro="">
      <xdr:nvGraphicFramePr>
        <xdr:cNvPr id="9" name="Chart 4">
          <a:extLst>
            <a:ext uri="{FF2B5EF4-FFF2-40B4-BE49-F238E27FC236}">
              <a16:creationId xmlns:a16="http://schemas.microsoft.com/office/drawing/2014/main" id="{9D546350-6DD6-4232-9DBD-990992DE17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0</xdr:col>
      <xdr:colOff>168276</xdr:colOff>
      <xdr:row>0</xdr:row>
      <xdr:rowOff>381001</xdr:rowOff>
    </xdr:from>
    <xdr:ext cx="1496906" cy="762000"/>
    <xdr:pic>
      <xdr:nvPicPr>
        <xdr:cNvPr id="14" name="Picture 13">
          <a:extLst>
            <a:ext uri="{FF2B5EF4-FFF2-40B4-BE49-F238E27FC236}">
              <a16:creationId xmlns:a16="http://schemas.microsoft.com/office/drawing/2014/main" id="{A84CD062-62AE-4914-A036-445EEE1D95AD}"/>
            </a:ext>
          </a:extLst>
        </xdr:cNvPr>
        <xdr:cNvPicPr>
          <a:picLocks noChangeAspect="1"/>
        </xdr:cNvPicPr>
      </xdr:nvPicPr>
      <xdr:blipFill>
        <a:blip xmlns:r="http://schemas.openxmlformats.org/officeDocument/2006/relationships" r:embed="rId8"/>
        <a:stretch>
          <a:fillRect/>
        </a:stretch>
      </xdr:blipFill>
      <xdr:spPr>
        <a:xfrm>
          <a:off x="168276" y="381001"/>
          <a:ext cx="1496906" cy="7620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38099</xdr:colOff>
      <xdr:row>14</xdr:row>
      <xdr:rowOff>95250</xdr:rowOff>
    </xdr:from>
    <xdr:to>
      <xdr:col>9</xdr:col>
      <xdr:colOff>294626</xdr:colOff>
      <xdr:row>22</xdr:row>
      <xdr:rowOff>120650</xdr:rowOff>
    </xdr:to>
    <xdr:pic>
      <xdr:nvPicPr>
        <xdr:cNvPr id="5" name="Picture 4">
          <a:extLst>
            <a:ext uri="{FF2B5EF4-FFF2-40B4-BE49-F238E27FC236}">
              <a16:creationId xmlns:a16="http://schemas.microsoft.com/office/drawing/2014/main" id="{8A3B3295-74E6-4138-8B75-2AEA274B8F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9" y="1752600"/>
          <a:ext cx="5139677" cy="147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25400</xdr:colOff>
      <xdr:row>27</xdr:row>
      <xdr:rowOff>82549</xdr:rowOff>
    </xdr:from>
    <xdr:to>
      <xdr:col>9</xdr:col>
      <xdr:colOff>267834</xdr:colOff>
      <xdr:row>32</xdr:row>
      <xdr:rowOff>136524</xdr:rowOff>
    </xdr:to>
    <xdr:pic>
      <xdr:nvPicPr>
        <xdr:cNvPr id="6" name="Picture 5">
          <a:extLst>
            <a:ext uri="{FF2B5EF4-FFF2-40B4-BE49-F238E27FC236}">
              <a16:creationId xmlns:a16="http://schemas.microsoft.com/office/drawing/2014/main" id="{88981A17-7EFC-409E-9B15-EBCA005D3F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800" y="4146549"/>
          <a:ext cx="5116059" cy="955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35</xdr:row>
      <xdr:rowOff>120649</xdr:rowOff>
    </xdr:from>
    <xdr:to>
      <xdr:col>9</xdr:col>
      <xdr:colOff>209550</xdr:colOff>
      <xdr:row>43</xdr:row>
      <xdr:rowOff>136070</xdr:rowOff>
    </xdr:to>
    <xdr:pic>
      <xdr:nvPicPr>
        <xdr:cNvPr id="7" name="Picture 6">
          <a:extLst>
            <a:ext uri="{FF2B5EF4-FFF2-40B4-BE49-F238E27FC236}">
              <a16:creationId xmlns:a16="http://schemas.microsoft.com/office/drawing/2014/main" id="{AC96B7E0-9523-4E2D-8217-18469CD80A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5657849"/>
          <a:ext cx="5067300" cy="1460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133349</xdr:colOff>
      <xdr:row>4</xdr:row>
      <xdr:rowOff>95250</xdr:rowOff>
    </xdr:from>
    <xdr:to>
      <xdr:col>9</xdr:col>
      <xdr:colOff>313251</xdr:colOff>
      <xdr:row>10</xdr:row>
      <xdr:rowOff>38100</xdr:rowOff>
    </xdr:to>
    <xdr:pic>
      <xdr:nvPicPr>
        <xdr:cNvPr id="8" name="Picture 7">
          <a:extLst>
            <a:ext uri="{FF2B5EF4-FFF2-40B4-BE49-F238E27FC236}">
              <a16:creationId xmlns:a16="http://schemas.microsoft.com/office/drawing/2014/main" id="{A0E6434C-103C-4910-B333-FC8C02446E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3349" y="990600"/>
          <a:ext cx="5440877"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76200</xdr:colOff>
      <xdr:row>46</xdr:row>
      <xdr:rowOff>133350</xdr:rowOff>
    </xdr:from>
    <xdr:to>
      <xdr:col>9</xdr:col>
      <xdr:colOff>215900</xdr:colOff>
      <xdr:row>52</xdr:row>
      <xdr:rowOff>64646</xdr:rowOff>
    </xdr:to>
    <xdr:pic>
      <xdr:nvPicPr>
        <xdr:cNvPr id="3" name="Picture 2">
          <a:extLst>
            <a:ext uri="{FF2B5EF4-FFF2-40B4-BE49-F238E27FC236}">
              <a16:creationId xmlns:a16="http://schemas.microsoft.com/office/drawing/2014/main" id="{90EF4152-D530-41A9-AFC7-20AB163ED697}"/>
            </a:ext>
          </a:extLst>
        </xdr:cNvPr>
        <xdr:cNvPicPr>
          <a:picLocks noChangeAspect="1"/>
        </xdr:cNvPicPr>
      </xdr:nvPicPr>
      <xdr:blipFill>
        <a:blip xmlns:r="http://schemas.openxmlformats.org/officeDocument/2006/relationships" r:embed="rId5"/>
        <a:stretch>
          <a:fillRect/>
        </a:stretch>
      </xdr:blipFill>
      <xdr:spPr>
        <a:xfrm>
          <a:off x="76200" y="8667750"/>
          <a:ext cx="5400675" cy="102032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enquiries@rsh.gov.uk?subject=Trend%20Lookup%20tool%20meets%20no%20needs" TargetMode="External"/><Relationship Id="rId2" Type="http://schemas.openxmlformats.org/officeDocument/2006/relationships/hyperlink" Target="mailto:enquiries@rsh.gov.uk?subject=Trend%20Lookup%20tool%20meets%20some%20needs" TargetMode="External"/><Relationship Id="rId1" Type="http://schemas.openxmlformats.org/officeDocument/2006/relationships/hyperlink" Target="mailto:enquiries@rsh.gov.uk?subject=Trend%20Lookup%20tool%20meets%20my%20need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enquiries@rsh.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london.gov.uk/what-we-do/housing-and-land/homes-londoners-affordable-homes-programmes/homes-londoners-affordable-homes-programme-2016-2023"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enquiries@rsh.gov.uk"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47881-1859-4E51-9F4F-BE96120BC3B5}">
  <sheetPr codeName="Sheet8">
    <tabColor rgb="FF59468D"/>
    <pageSetUpPr fitToPage="1"/>
  </sheetPr>
  <dimension ref="A1:K53"/>
  <sheetViews>
    <sheetView tabSelected="1" zoomScaleNormal="100" workbookViewId="0">
      <selection activeCell="B11" sqref="B11:J18"/>
    </sheetView>
  </sheetViews>
  <sheetFormatPr defaultColWidth="9.1796875" defaultRowHeight="14.5" x14ac:dyDescent="0.35"/>
  <cols>
    <col min="1" max="1" width="3.1796875" style="169" customWidth="1"/>
    <col min="2" max="3" width="9.1796875" style="169"/>
    <col min="4" max="4" width="4.54296875" style="169" customWidth="1"/>
    <col min="5" max="5" width="94.54296875" style="169" customWidth="1"/>
    <col min="6" max="16384" width="9.1796875" style="169"/>
  </cols>
  <sheetData>
    <row r="1" spans="2:11" ht="18" customHeight="1" x14ac:dyDescent="0.35"/>
    <row r="2" spans="2:11" ht="18" customHeight="1" x14ac:dyDescent="0.35"/>
    <row r="3" spans="2:11" ht="18" customHeight="1" x14ac:dyDescent="0.35"/>
    <row r="4" spans="2:11" ht="18" customHeight="1" x14ac:dyDescent="0.35"/>
    <row r="5" spans="2:11" ht="37" x14ac:dyDescent="0.7">
      <c r="F5" s="170" t="s">
        <v>710</v>
      </c>
      <c r="G5" s="171"/>
      <c r="H5" s="172" t="s">
        <v>711</v>
      </c>
      <c r="I5" s="173"/>
      <c r="J5" s="174" t="s">
        <v>712</v>
      </c>
      <c r="K5" s="175"/>
    </row>
    <row r="6" spans="2:11" x14ac:dyDescent="0.35">
      <c r="F6" s="176" t="s">
        <v>713</v>
      </c>
      <c r="G6" s="176"/>
      <c r="H6" s="177" t="s">
        <v>714</v>
      </c>
      <c r="I6" s="178"/>
      <c r="J6" s="179" t="s">
        <v>715</v>
      </c>
      <c r="K6" s="180"/>
    </row>
    <row r="9" spans="2:11" ht="35" x14ac:dyDescent="0.7">
      <c r="B9" s="181" t="s">
        <v>803</v>
      </c>
    </row>
    <row r="11" spans="2:11" x14ac:dyDescent="0.35">
      <c r="B11" s="402" t="s">
        <v>810</v>
      </c>
      <c r="C11" s="403"/>
      <c r="D11" s="403"/>
      <c r="E11" s="403"/>
      <c r="F11" s="403"/>
      <c r="G11" s="403"/>
      <c r="H11" s="403"/>
      <c r="I11" s="403"/>
      <c r="J11" s="403"/>
    </row>
    <row r="12" spans="2:11" x14ac:dyDescent="0.35">
      <c r="B12" s="403"/>
      <c r="C12" s="403"/>
      <c r="D12" s="403"/>
      <c r="E12" s="403"/>
      <c r="F12" s="403"/>
      <c r="G12" s="403"/>
      <c r="H12" s="403"/>
      <c r="I12" s="403"/>
      <c r="J12" s="403"/>
    </row>
    <row r="13" spans="2:11" x14ac:dyDescent="0.35">
      <c r="B13" s="403"/>
      <c r="C13" s="403"/>
      <c r="D13" s="403"/>
      <c r="E13" s="403"/>
      <c r="F13" s="403"/>
      <c r="G13" s="403"/>
      <c r="H13" s="403"/>
      <c r="I13" s="403"/>
      <c r="J13" s="403"/>
    </row>
    <row r="14" spans="2:11" ht="14.5" customHeight="1" x14ac:dyDescent="0.35">
      <c r="B14" s="403"/>
      <c r="C14" s="403"/>
      <c r="D14" s="403"/>
      <c r="E14" s="403"/>
      <c r="F14" s="403"/>
      <c r="G14" s="403"/>
      <c r="H14" s="403"/>
      <c r="I14" s="403"/>
      <c r="J14" s="403"/>
    </row>
    <row r="15" spans="2:11" x14ac:dyDescent="0.35">
      <c r="B15" s="403"/>
      <c r="C15" s="403"/>
      <c r="D15" s="403"/>
      <c r="E15" s="403"/>
      <c r="F15" s="403"/>
      <c r="G15" s="403"/>
      <c r="H15" s="403"/>
      <c r="I15" s="403"/>
      <c r="J15" s="403"/>
    </row>
    <row r="16" spans="2:11" x14ac:dyDescent="0.35">
      <c r="B16" s="403"/>
      <c r="C16" s="403"/>
      <c r="D16" s="403"/>
      <c r="E16" s="403"/>
      <c r="F16" s="403"/>
      <c r="G16" s="403"/>
      <c r="H16" s="403"/>
      <c r="I16" s="403"/>
      <c r="J16" s="403"/>
    </row>
    <row r="17" spans="1:10" x14ac:dyDescent="0.35">
      <c r="B17" s="403"/>
      <c r="C17" s="403"/>
      <c r="D17" s="403"/>
      <c r="E17" s="403"/>
      <c r="F17" s="403"/>
      <c r="G17" s="403"/>
      <c r="H17" s="403"/>
      <c r="I17" s="403"/>
      <c r="J17" s="403"/>
    </row>
    <row r="18" spans="1:10" ht="48" customHeight="1" x14ac:dyDescent="0.35">
      <c r="B18" s="403"/>
      <c r="C18" s="403"/>
      <c r="D18" s="403"/>
      <c r="E18" s="403"/>
      <c r="F18" s="403"/>
      <c r="G18" s="403"/>
      <c r="H18" s="403"/>
      <c r="I18" s="403"/>
      <c r="J18" s="403"/>
    </row>
    <row r="19" spans="1:10" ht="34" customHeight="1" x14ac:dyDescent="0.5">
      <c r="B19" s="404" t="s">
        <v>716</v>
      </c>
      <c r="C19" s="404"/>
      <c r="D19" s="404"/>
      <c r="E19" s="404"/>
      <c r="F19" s="404"/>
      <c r="G19" s="404"/>
      <c r="H19" s="404"/>
      <c r="I19" s="404"/>
      <c r="J19" s="404"/>
    </row>
    <row r="20" spans="1:10" ht="14.5" customHeight="1" x14ac:dyDescent="0.35">
      <c r="B20" s="182"/>
      <c r="C20" s="182"/>
      <c r="D20" s="182"/>
      <c r="E20" s="182"/>
    </row>
    <row r="21" spans="1:10" ht="14.5" customHeight="1" x14ac:dyDescent="0.35">
      <c r="B21" s="183" t="s">
        <v>717</v>
      </c>
      <c r="C21" s="184"/>
      <c r="D21" s="184"/>
      <c r="E21" s="184" t="s">
        <v>718</v>
      </c>
    </row>
    <row r="22" spans="1:10" ht="14.5" customHeight="1" x14ac:dyDescent="0.35">
      <c r="B22" s="185"/>
      <c r="C22" s="185"/>
      <c r="D22" s="185"/>
      <c r="E22" s="185"/>
      <c r="F22" s="185"/>
    </row>
    <row r="23" spans="1:10" ht="15.5" x14ac:dyDescent="0.35">
      <c r="A23" s="185"/>
      <c r="B23" s="321" t="s">
        <v>719</v>
      </c>
      <c r="C23" s="185"/>
      <c r="D23" s="185"/>
      <c r="E23" s="185"/>
      <c r="F23" s="185"/>
    </row>
    <row r="24" spans="1:10" ht="15.5" x14ac:dyDescent="0.35">
      <c r="A24" s="185"/>
      <c r="B24" s="185"/>
      <c r="C24" s="185"/>
      <c r="D24" s="185"/>
      <c r="E24" s="185"/>
      <c r="F24" s="185"/>
    </row>
    <row r="25" spans="1:10" ht="15.5" x14ac:dyDescent="0.35">
      <c r="A25" s="185"/>
      <c r="B25" s="405" t="s">
        <v>808</v>
      </c>
      <c r="C25" s="405"/>
      <c r="D25" s="405"/>
      <c r="E25" s="405"/>
      <c r="F25" s="185"/>
    </row>
    <row r="26" spans="1:10" ht="15.5" x14ac:dyDescent="0.35">
      <c r="A26" s="185"/>
      <c r="B26" s="185"/>
      <c r="C26" s="185"/>
      <c r="D26" s="185"/>
      <c r="E26" s="185"/>
      <c r="F26" s="185"/>
    </row>
    <row r="27" spans="1:10" ht="15.5" x14ac:dyDescent="0.35">
      <c r="A27" s="185"/>
      <c r="B27" s="186">
        <v>1</v>
      </c>
      <c r="C27" s="185"/>
      <c r="D27" s="185"/>
      <c r="E27" s="321" t="s">
        <v>720</v>
      </c>
      <c r="F27" s="185"/>
    </row>
    <row r="28" spans="1:10" ht="15.5" x14ac:dyDescent="0.35">
      <c r="A28" s="185"/>
      <c r="B28" s="186"/>
      <c r="C28" s="185"/>
      <c r="D28" s="185"/>
      <c r="E28" s="185"/>
      <c r="F28" s="185"/>
    </row>
    <row r="29" spans="1:10" ht="15.5" x14ac:dyDescent="0.35">
      <c r="A29" s="185"/>
      <c r="B29" s="186">
        <v>2</v>
      </c>
      <c r="C29" s="185"/>
      <c r="D29" s="185"/>
      <c r="E29" s="321" t="s">
        <v>721</v>
      </c>
      <c r="F29" s="185"/>
    </row>
    <row r="30" spans="1:10" ht="15.5" x14ac:dyDescent="0.35">
      <c r="A30" s="185"/>
      <c r="B30" s="186"/>
      <c r="C30" s="185"/>
      <c r="D30" s="185"/>
      <c r="E30" s="185"/>
      <c r="F30" s="185"/>
    </row>
    <row r="31" spans="1:10" ht="15.5" x14ac:dyDescent="0.35">
      <c r="A31" s="185"/>
      <c r="B31" s="186">
        <v>3</v>
      </c>
      <c r="C31" s="185"/>
      <c r="D31" s="185"/>
      <c r="E31" s="321" t="s">
        <v>722</v>
      </c>
      <c r="F31" s="185"/>
    </row>
    <row r="32" spans="1:10" ht="15.5" x14ac:dyDescent="0.35">
      <c r="A32" s="185"/>
      <c r="B32" s="186"/>
      <c r="C32" s="185"/>
      <c r="D32" s="185"/>
      <c r="E32" s="185"/>
      <c r="F32" s="185"/>
    </row>
    <row r="33" spans="1:6" ht="15.5" x14ac:dyDescent="0.35">
      <c r="A33" s="185"/>
      <c r="B33" s="186">
        <v>4</v>
      </c>
      <c r="C33" s="185"/>
      <c r="D33" s="185"/>
      <c r="E33" s="321" t="s">
        <v>786</v>
      </c>
      <c r="F33" s="185"/>
    </row>
    <row r="34" spans="1:6" ht="15.5" x14ac:dyDescent="0.35">
      <c r="A34" s="185"/>
      <c r="B34" s="186"/>
      <c r="C34" s="185"/>
      <c r="D34" s="185"/>
      <c r="E34" s="185"/>
      <c r="F34" s="185"/>
    </row>
    <row r="35" spans="1:6" ht="15.5" x14ac:dyDescent="0.35">
      <c r="A35" s="185"/>
      <c r="B35" s="186">
        <v>5</v>
      </c>
      <c r="C35" s="185"/>
      <c r="D35" s="185"/>
      <c r="E35" s="321" t="s">
        <v>723</v>
      </c>
      <c r="F35" s="185"/>
    </row>
    <row r="36" spans="1:6" ht="15.5" x14ac:dyDescent="0.35">
      <c r="A36" s="185"/>
      <c r="B36" s="186"/>
      <c r="C36" s="185"/>
      <c r="D36" s="185"/>
      <c r="E36" s="185"/>
      <c r="F36" s="185"/>
    </row>
    <row r="37" spans="1:6" ht="15.5" x14ac:dyDescent="0.35">
      <c r="A37" s="185"/>
      <c r="B37" s="186">
        <v>6</v>
      </c>
      <c r="C37" s="185"/>
      <c r="D37" s="185"/>
      <c r="E37" s="321" t="s">
        <v>724</v>
      </c>
      <c r="F37" s="185"/>
    </row>
    <row r="38" spans="1:6" ht="15.5" x14ac:dyDescent="0.35">
      <c r="A38" s="185"/>
      <c r="B38" s="186"/>
      <c r="C38" s="185"/>
      <c r="D38" s="185"/>
      <c r="E38" s="185"/>
      <c r="F38" s="185"/>
    </row>
    <row r="39" spans="1:6" ht="15.5" x14ac:dyDescent="0.35">
      <c r="A39" s="185"/>
      <c r="B39" s="186">
        <v>7</v>
      </c>
      <c r="C39" s="185"/>
      <c r="D39" s="185"/>
      <c r="E39" s="321" t="s">
        <v>25</v>
      </c>
      <c r="F39" s="185"/>
    </row>
    <row r="40" spans="1:6" ht="15.5" x14ac:dyDescent="0.35">
      <c r="A40" s="185"/>
      <c r="B40" s="185"/>
      <c r="C40" s="185"/>
      <c r="D40" s="185"/>
      <c r="E40" s="185"/>
      <c r="F40" s="185"/>
    </row>
    <row r="41" spans="1:6" ht="15.5" x14ac:dyDescent="0.35">
      <c r="A41" s="185"/>
      <c r="B41" s="186">
        <v>8</v>
      </c>
      <c r="C41" s="185"/>
      <c r="D41" s="185"/>
      <c r="E41" s="321" t="s">
        <v>725</v>
      </c>
      <c r="F41" s="185"/>
    </row>
    <row r="42" spans="1:6" ht="15.5" x14ac:dyDescent="0.35">
      <c r="A42" s="185"/>
      <c r="B42" s="185"/>
      <c r="C42" s="185"/>
      <c r="D42" s="185"/>
      <c r="E42" s="185"/>
    </row>
    <row r="43" spans="1:6" ht="15.5" x14ac:dyDescent="0.35">
      <c r="A43" s="185"/>
      <c r="B43" s="405" t="s">
        <v>789</v>
      </c>
      <c r="C43" s="405"/>
      <c r="D43" s="405"/>
      <c r="E43" s="405"/>
    </row>
    <row r="46" spans="1:6" ht="15.5" x14ac:dyDescent="0.35">
      <c r="B46" s="185" t="s">
        <v>726</v>
      </c>
      <c r="C46" s="185" t="s">
        <v>809</v>
      </c>
      <c r="D46" s="185"/>
      <c r="E46" s="185"/>
    </row>
    <row r="47" spans="1:6" ht="15.5" x14ac:dyDescent="0.35">
      <c r="B47" s="185"/>
      <c r="C47" s="185"/>
      <c r="D47" s="185"/>
      <c r="E47" s="185"/>
    </row>
    <row r="48" spans="1:6" ht="15.5" x14ac:dyDescent="0.35">
      <c r="B48" s="185" t="s">
        <v>727</v>
      </c>
      <c r="C48" s="185"/>
      <c r="D48" s="185"/>
      <c r="E48" s="185"/>
    </row>
    <row r="49" spans="2:3" ht="15.5" x14ac:dyDescent="0.35">
      <c r="B49" s="185" t="s">
        <v>728</v>
      </c>
    </row>
    <row r="50" spans="2:3" ht="15.5" x14ac:dyDescent="0.35">
      <c r="B50" s="185" t="s">
        <v>729</v>
      </c>
      <c r="C50" s="187" t="s">
        <v>730</v>
      </c>
    </row>
    <row r="51" spans="2:3" ht="15.5" x14ac:dyDescent="0.35">
      <c r="B51" s="185"/>
    </row>
    <row r="52" spans="2:3" ht="15.5" x14ac:dyDescent="0.35">
      <c r="B52" s="185" t="s">
        <v>822</v>
      </c>
    </row>
    <row r="53" spans="2:3" ht="15.5" x14ac:dyDescent="0.35">
      <c r="B53" s="185" t="s">
        <v>823</v>
      </c>
    </row>
  </sheetData>
  <sheetProtection algorithmName="SHA-512" hashValue="dSrDSQl5j583nRNriObZmy/ViHt442fIuE6948how9DPQzIEV9xVzSYYFYVes9MhNwJOO2OqA6ZTxkGH5r8RpA==" saltValue="TC4FKFLBJKj0SVuMe4el8A==" spinCount="100000" sheet="1" objects="1" scenarios="1"/>
  <mergeCells count="4">
    <mergeCell ref="B11:J18"/>
    <mergeCell ref="B19:J19"/>
    <mergeCell ref="B25:E25"/>
    <mergeCell ref="B43:E43"/>
  </mergeCells>
  <hyperlinks>
    <hyperlink ref="F5" r:id="rId1" xr:uid="{E4BEE952-8675-495D-B9F8-ACA1592E0B27}"/>
    <hyperlink ref="H5" r:id="rId2" xr:uid="{F38A183F-86CD-4582-9392-49CFD52A665F}"/>
    <hyperlink ref="J5" r:id="rId3" xr:uid="{923A5989-FCE2-4EE1-9DC7-DE7A24E8BADE}"/>
    <hyperlink ref="C50" r:id="rId4" xr:uid="{25F36A23-EC27-48A5-9B9E-7ECFF316BBF1}"/>
    <hyperlink ref="E29" location="'PRP LA trend tool 2015-23'!A64" display="Decent Homes Standard" xr:uid="{CFF328E5-F13C-469B-993D-E955CE81587A}"/>
    <hyperlink ref="E31" location="'PRP LA trend tool 2015-23'!A91" display="General needs - average weekly rent and units" xr:uid="{607B8A6F-A7DE-417B-B3F6-66A9AF32821A}"/>
    <hyperlink ref="E33" location="'PRP LA trend tool 2015-23'!A145" display="Supported housing/housing for older people - average weekly rent and units" xr:uid="{E1C744FE-AED7-41AE-B7D7-329B33669E84}"/>
    <hyperlink ref="E35" location="'PRP LA trend tool 2015-23'!A200" display="Affordable Rent general needs - average weekly rent and units" xr:uid="{6029CFC1-A5A5-444F-A020-F991343D882A}"/>
    <hyperlink ref="E37" location="'PRP LA trend tool 2015-23'!A244" display="Affordable Rent supported housing  - average weekly rent and units" xr:uid="{B8D72D21-2943-4CCE-8475-C155B459ECEA}"/>
    <hyperlink ref="E39" location="'PRP LA trend tool 2015-23'!A288" display="Sales by PRPs by type - Large PRPs only" xr:uid="{9423CC47-F450-4896-BA6A-0EF91EAD5004}"/>
    <hyperlink ref="E41" location="'PRP LA trend tool 2015-23'!A337" display="Total vacant general needs self-contained" xr:uid="{7DB661C2-CFD2-43A1-9DB9-1CE526CB99E8}"/>
    <hyperlink ref="B43:E43" location="'How to use the search function'!A1" display="How to use the seach function" xr:uid="{0E78CC2A-AD7C-4262-AB68-DF4EA7B96F39}"/>
    <hyperlink ref="B23" location="Glossary!B8" display="Glossary" xr:uid="{6187D464-87E0-438D-B953-83804DB71FFA}"/>
    <hyperlink ref="E27" location="'PRP LA trend tool 2015-23'!A11" display="Total social units by provision type" xr:uid="{70275A9A-09E7-4676-B875-04805734C1ED}"/>
    <hyperlink ref="B25:E25" location="'PRP LA trend tool 2015-23'!A1" display="PRP LA trend tool 2015-23" xr:uid="{D65A6CF5-0A63-442D-9E87-5AD1A9CAEC76}"/>
  </hyperlinks>
  <pageMargins left="0.70866141732283472" right="0.70866141732283472" top="0.74803149606299213" bottom="0.74803149606299213" header="0.31496062992125984" footer="0.31496062992125984"/>
  <pageSetup paperSize="9" scale="53" orientation="landscape" r:id="rId5"/>
  <headerFooter>
    <oddFooter>&amp;C&amp;1#&amp;"Calibri"&amp;12&amp;K0078D7OFFICIAL</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D4908-8506-4D8D-BDFD-B666593A5824}">
  <sheetPr codeName="Sheet5">
    <tabColor rgb="FFFFFF00"/>
  </sheetPr>
  <dimension ref="A1:AG322"/>
  <sheetViews>
    <sheetView topLeftCell="A190" zoomScale="80" zoomScaleNormal="80" workbookViewId="0">
      <selection sqref="A1:XFD1048576"/>
    </sheetView>
  </sheetViews>
  <sheetFormatPr defaultColWidth="9.1796875" defaultRowHeight="12.5" x14ac:dyDescent="0.25"/>
  <cols>
    <col min="1" max="8" width="9.1796875" style="145"/>
    <col min="9" max="10" width="10.453125" style="145" customWidth="1"/>
    <col min="11" max="11" width="10.453125" style="145" bestFit="1" customWidth="1"/>
    <col min="12" max="16384" width="9.1796875" style="145"/>
  </cols>
  <sheetData>
    <row r="1" spans="1:33" s="144" customFormat="1" ht="13" x14ac:dyDescent="0.3">
      <c r="A1" s="134"/>
      <c r="B1" s="134"/>
      <c r="C1" s="135" t="s">
        <v>38</v>
      </c>
      <c r="D1" s="135" t="s">
        <v>38</v>
      </c>
      <c r="E1" s="135" t="s">
        <v>38</v>
      </c>
      <c r="F1" s="135" t="s">
        <v>38</v>
      </c>
      <c r="G1" s="135" t="s">
        <v>38</v>
      </c>
      <c r="H1" s="135" t="s">
        <v>38</v>
      </c>
      <c r="I1" s="136" t="s">
        <v>39</v>
      </c>
      <c r="J1" s="136" t="s">
        <v>39</v>
      </c>
      <c r="K1" s="137" t="s">
        <v>40</v>
      </c>
      <c r="L1" s="137" t="s">
        <v>40</v>
      </c>
      <c r="M1" s="137" t="s">
        <v>40</v>
      </c>
      <c r="N1" s="138" t="s">
        <v>40</v>
      </c>
      <c r="O1" s="137" t="s">
        <v>40</v>
      </c>
      <c r="P1" s="139" t="s">
        <v>41</v>
      </c>
      <c r="Q1" s="139" t="s">
        <v>41</v>
      </c>
      <c r="R1" s="139" t="s">
        <v>41</v>
      </c>
      <c r="S1" s="139" t="s">
        <v>41</v>
      </c>
      <c r="T1" s="139" t="s">
        <v>41</v>
      </c>
      <c r="U1" s="140" t="s">
        <v>42</v>
      </c>
      <c r="V1" s="140" t="s">
        <v>42</v>
      </c>
      <c r="W1" s="141" t="s">
        <v>43</v>
      </c>
      <c r="X1" s="141" t="s">
        <v>43</v>
      </c>
      <c r="Y1" s="142" t="s">
        <v>44</v>
      </c>
      <c r="Z1" s="142" t="s">
        <v>44</v>
      </c>
      <c r="AA1" s="142" t="s">
        <v>44</v>
      </c>
      <c r="AB1" s="142" t="s">
        <v>44</v>
      </c>
      <c r="AC1" s="142" t="s">
        <v>44</v>
      </c>
      <c r="AD1" s="143" t="s">
        <v>45</v>
      </c>
      <c r="AE1" s="143" t="s">
        <v>45</v>
      </c>
      <c r="AF1" s="143" t="s">
        <v>45</v>
      </c>
      <c r="AG1" s="143" t="s">
        <v>45</v>
      </c>
    </row>
    <row r="2" spans="1:33" x14ac:dyDescent="0.25">
      <c r="B2" s="146">
        <v>1</v>
      </c>
      <c r="C2" s="146">
        <v>2</v>
      </c>
      <c r="D2" s="146">
        <v>3</v>
      </c>
      <c r="E2" s="146">
        <v>4</v>
      </c>
      <c r="F2" s="146">
        <v>5</v>
      </c>
      <c r="G2" s="146">
        <v>6</v>
      </c>
      <c r="H2" s="146">
        <v>7</v>
      </c>
      <c r="I2" s="146">
        <v>8</v>
      </c>
      <c r="J2" s="146">
        <v>9</v>
      </c>
      <c r="K2" s="146">
        <v>10</v>
      </c>
      <c r="L2" s="146">
        <v>11</v>
      </c>
      <c r="M2" s="146">
        <v>12</v>
      </c>
      <c r="N2" s="146">
        <v>13</v>
      </c>
      <c r="O2" s="146">
        <v>14</v>
      </c>
      <c r="P2" s="146">
        <v>15</v>
      </c>
      <c r="Q2" s="146">
        <v>16</v>
      </c>
      <c r="R2" s="146">
        <v>17</v>
      </c>
      <c r="S2" s="146">
        <v>18</v>
      </c>
      <c r="T2" s="146">
        <v>19</v>
      </c>
      <c r="U2" s="146">
        <v>20</v>
      </c>
      <c r="V2" s="146">
        <v>21</v>
      </c>
      <c r="W2" s="146">
        <v>22</v>
      </c>
      <c r="X2" s="146">
        <v>23</v>
      </c>
      <c r="Y2" s="146">
        <v>24</v>
      </c>
      <c r="Z2" s="146">
        <v>25</v>
      </c>
      <c r="AA2" s="146">
        <v>26</v>
      </c>
      <c r="AB2" s="146">
        <v>27</v>
      </c>
      <c r="AC2" s="146">
        <v>28</v>
      </c>
      <c r="AD2" s="146">
        <v>29</v>
      </c>
      <c r="AE2" s="146">
        <v>30</v>
      </c>
      <c r="AF2" s="146">
        <v>31</v>
      </c>
      <c r="AG2" s="146">
        <v>32</v>
      </c>
    </row>
    <row r="3" spans="1:33" ht="87.5" x14ac:dyDescent="0.25">
      <c r="A3" s="145" t="s">
        <v>46</v>
      </c>
      <c r="B3" s="145" t="s">
        <v>47</v>
      </c>
      <c r="C3" s="147" t="s">
        <v>48</v>
      </c>
      <c r="D3" s="147" t="s">
        <v>49</v>
      </c>
      <c r="E3" s="147" t="s">
        <v>50</v>
      </c>
      <c r="F3" s="147" t="s">
        <v>51</v>
      </c>
      <c r="G3" s="147" t="s">
        <v>52</v>
      </c>
      <c r="H3" s="147" t="s">
        <v>53</v>
      </c>
      <c r="I3" s="148" t="s">
        <v>54</v>
      </c>
      <c r="J3" s="148" t="s">
        <v>55</v>
      </c>
      <c r="K3" s="149" t="s">
        <v>56</v>
      </c>
      <c r="L3" s="149" t="s">
        <v>57</v>
      </c>
      <c r="M3" s="149" t="s">
        <v>58</v>
      </c>
      <c r="N3" s="150" t="s">
        <v>59</v>
      </c>
      <c r="O3" s="149" t="s">
        <v>60</v>
      </c>
      <c r="P3" s="151" t="s">
        <v>61</v>
      </c>
      <c r="Q3" s="151" t="s">
        <v>62</v>
      </c>
      <c r="R3" s="151" t="s">
        <v>58</v>
      </c>
      <c r="S3" s="151" t="s">
        <v>63</v>
      </c>
      <c r="T3" s="151" t="s">
        <v>64</v>
      </c>
      <c r="U3" s="152" t="s">
        <v>65</v>
      </c>
      <c r="V3" s="152" t="s">
        <v>66</v>
      </c>
      <c r="W3" s="153" t="s">
        <v>67</v>
      </c>
      <c r="X3" s="153" t="s">
        <v>68</v>
      </c>
      <c r="Y3" s="154" t="s">
        <v>69</v>
      </c>
      <c r="Z3" s="154" t="s">
        <v>70</v>
      </c>
      <c r="AA3" s="154" t="s">
        <v>71</v>
      </c>
      <c r="AB3" s="154" t="s">
        <v>72</v>
      </c>
      <c r="AC3" s="154" t="s">
        <v>73</v>
      </c>
      <c r="AD3" s="155" t="s">
        <v>74</v>
      </c>
      <c r="AE3" s="155" t="s">
        <v>75</v>
      </c>
      <c r="AF3" s="155" t="s">
        <v>76</v>
      </c>
      <c r="AG3" s="155" t="s">
        <v>77</v>
      </c>
    </row>
    <row r="4" spans="1:33" x14ac:dyDescent="0.25">
      <c r="A4" s="329" t="s">
        <v>13</v>
      </c>
      <c r="B4" s="329" t="s">
        <v>13</v>
      </c>
      <c r="C4" s="330">
        <v>2130525</v>
      </c>
      <c r="D4" s="330">
        <v>11961</v>
      </c>
      <c r="E4" s="330">
        <v>133418</v>
      </c>
      <c r="F4" s="330">
        <v>263208</v>
      </c>
      <c r="G4" s="330">
        <v>169243</v>
      </c>
      <c r="H4" s="331">
        <v>2708355</v>
      </c>
      <c r="I4" s="330">
        <v>2539112</v>
      </c>
      <c r="J4" s="330">
        <v>9610</v>
      </c>
      <c r="K4" s="332">
        <v>96.33</v>
      </c>
      <c r="L4" s="332">
        <v>95.09</v>
      </c>
      <c r="M4" s="332">
        <v>6.71</v>
      </c>
      <c r="N4" s="332">
        <v>100.16</v>
      </c>
      <c r="O4" s="333">
        <v>1846604</v>
      </c>
      <c r="P4" s="330">
        <v>93.08</v>
      </c>
      <c r="Q4" s="330">
        <v>87.59</v>
      </c>
      <c r="R4" s="330">
        <v>39.71</v>
      </c>
      <c r="S4" s="330">
        <v>129.31</v>
      </c>
      <c r="T4" s="330">
        <v>339386</v>
      </c>
      <c r="U4" s="330">
        <v>127.8</v>
      </c>
      <c r="V4" s="330">
        <v>208889</v>
      </c>
      <c r="W4" s="330">
        <v>166.43</v>
      </c>
      <c r="X4" s="330">
        <v>12354</v>
      </c>
      <c r="Y4" s="330">
        <v>4046</v>
      </c>
      <c r="Z4" s="330">
        <v>5512</v>
      </c>
      <c r="AA4" s="330">
        <v>3318</v>
      </c>
      <c r="AB4" s="330">
        <v>9799</v>
      </c>
      <c r="AC4" s="330">
        <v>4137</v>
      </c>
      <c r="AD4" s="334">
        <v>2073839</v>
      </c>
      <c r="AE4" s="330">
        <v>11579</v>
      </c>
      <c r="AF4" s="330">
        <v>10889</v>
      </c>
      <c r="AG4" s="330">
        <v>22468</v>
      </c>
    </row>
    <row r="5" spans="1:33" x14ac:dyDescent="0.25">
      <c r="A5" s="335" t="s">
        <v>78</v>
      </c>
      <c r="B5" s="335" t="s">
        <v>78</v>
      </c>
      <c r="C5" s="331">
        <v>110967</v>
      </c>
      <c r="D5" s="331">
        <v>314</v>
      </c>
      <c r="E5" s="331">
        <v>7962</v>
      </c>
      <c r="F5" s="331">
        <v>23001</v>
      </c>
      <c r="G5" s="331">
        <v>11938</v>
      </c>
      <c r="H5" s="331">
        <v>154182</v>
      </c>
      <c r="I5" s="330">
        <v>142244</v>
      </c>
      <c r="J5" s="330">
        <v>174</v>
      </c>
      <c r="K5" s="332">
        <v>88.17</v>
      </c>
      <c r="L5" s="332">
        <v>87.14</v>
      </c>
      <c r="M5" s="332">
        <v>4.7699999999999996</v>
      </c>
      <c r="N5" s="332">
        <v>91.2</v>
      </c>
      <c r="O5" s="333">
        <v>94960</v>
      </c>
      <c r="P5" s="330">
        <v>87.5</v>
      </c>
      <c r="Q5" s="330">
        <v>81.58</v>
      </c>
      <c r="R5" s="330">
        <v>33.54</v>
      </c>
      <c r="S5" s="330">
        <v>118.32</v>
      </c>
      <c r="T5" s="330">
        <v>28049</v>
      </c>
      <c r="U5" s="330">
        <v>103.55</v>
      </c>
      <c r="V5" s="330">
        <v>11205</v>
      </c>
      <c r="W5" s="330">
        <v>162.13</v>
      </c>
      <c r="X5" s="330">
        <v>652</v>
      </c>
      <c r="Y5" s="330">
        <v>154</v>
      </c>
      <c r="Z5" s="330">
        <v>266</v>
      </c>
      <c r="AA5" s="330">
        <v>282</v>
      </c>
      <c r="AB5" s="330">
        <v>932</v>
      </c>
      <c r="AC5" s="330">
        <v>320</v>
      </c>
      <c r="AD5" s="334">
        <v>108186</v>
      </c>
      <c r="AE5" s="330">
        <v>636</v>
      </c>
      <c r="AF5" s="330">
        <v>387</v>
      </c>
      <c r="AG5" s="330">
        <v>1023</v>
      </c>
    </row>
    <row r="6" spans="1:33" x14ac:dyDescent="0.25">
      <c r="A6" s="335" t="s">
        <v>79</v>
      </c>
      <c r="B6" s="335" t="s">
        <v>79</v>
      </c>
      <c r="C6" s="331">
        <v>213783</v>
      </c>
      <c r="D6" s="331">
        <v>1707</v>
      </c>
      <c r="E6" s="331">
        <v>12184</v>
      </c>
      <c r="F6" s="331">
        <v>28297</v>
      </c>
      <c r="G6" s="331">
        <v>17503</v>
      </c>
      <c r="H6" s="331">
        <v>273474</v>
      </c>
      <c r="I6" s="330">
        <v>255971</v>
      </c>
      <c r="J6" s="330">
        <v>939</v>
      </c>
      <c r="K6" s="332">
        <v>100.24</v>
      </c>
      <c r="L6" s="332">
        <v>100.25</v>
      </c>
      <c r="M6" s="332">
        <v>5.89</v>
      </c>
      <c r="N6" s="332">
        <v>102.94</v>
      </c>
      <c r="O6" s="333">
        <v>184647</v>
      </c>
      <c r="P6" s="330">
        <v>94.48</v>
      </c>
      <c r="Q6" s="330">
        <v>90.02</v>
      </c>
      <c r="R6" s="330">
        <v>38.42</v>
      </c>
      <c r="S6" s="330">
        <v>127.84</v>
      </c>
      <c r="T6" s="330">
        <v>34666</v>
      </c>
      <c r="U6" s="330">
        <v>132.03</v>
      </c>
      <c r="V6" s="330">
        <v>23897</v>
      </c>
      <c r="W6" s="330">
        <v>179.79</v>
      </c>
      <c r="X6" s="330">
        <v>599</v>
      </c>
      <c r="Y6" s="330">
        <v>377</v>
      </c>
      <c r="Z6" s="330">
        <v>309</v>
      </c>
      <c r="AA6" s="330">
        <v>212</v>
      </c>
      <c r="AB6" s="330">
        <v>1084</v>
      </c>
      <c r="AC6" s="330">
        <v>389</v>
      </c>
      <c r="AD6" s="334">
        <v>211686</v>
      </c>
      <c r="AE6" s="330">
        <v>1025</v>
      </c>
      <c r="AF6" s="330">
        <v>882</v>
      </c>
      <c r="AG6" s="330">
        <v>1907</v>
      </c>
    </row>
    <row r="7" spans="1:33" x14ac:dyDescent="0.25">
      <c r="A7" s="335" t="s">
        <v>80</v>
      </c>
      <c r="B7" s="335" t="s">
        <v>80</v>
      </c>
      <c r="C7" s="331">
        <v>349166</v>
      </c>
      <c r="D7" s="331">
        <v>6138</v>
      </c>
      <c r="E7" s="331">
        <v>27361</v>
      </c>
      <c r="F7" s="331">
        <v>27804</v>
      </c>
      <c r="G7" s="331">
        <v>45934</v>
      </c>
      <c r="H7" s="331">
        <v>456403</v>
      </c>
      <c r="I7" s="330">
        <v>410469</v>
      </c>
      <c r="J7" s="330">
        <v>3480</v>
      </c>
      <c r="K7" s="332">
        <v>125.19</v>
      </c>
      <c r="L7" s="332">
        <v>124.89</v>
      </c>
      <c r="M7" s="332">
        <v>11.76</v>
      </c>
      <c r="N7" s="332">
        <v>133.16999999999999</v>
      </c>
      <c r="O7" s="333">
        <v>295154</v>
      </c>
      <c r="P7" s="330">
        <v>113.61</v>
      </c>
      <c r="Q7" s="330">
        <v>108.85</v>
      </c>
      <c r="R7" s="330">
        <v>55.26</v>
      </c>
      <c r="S7" s="330">
        <v>159.66999999999999</v>
      </c>
      <c r="T7" s="330">
        <v>45082</v>
      </c>
      <c r="U7" s="330">
        <v>186.57</v>
      </c>
      <c r="V7" s="330">
        <v>29368</v>
      </c>
      <c r="W7" s="330">
        <v>207.81</v>
      </c>
      <c r="X7" s="330">
        <v>1164</v>
      </c>
      <c r="Y7" s="330">
        <v>256</v>
      </c>
      <c r="Z7" s="330">
        <v>302</v>
      </c>
      <c r="AA7" s="330">
        <v>400</v>
      </c>
      <c r="AB7" s="330">
        <v>2156</v>
      </c>
      <c r="AC7" s="330">
        <v>1112</v>
      </c>
      <c r="AD7" s="334">
        <v>328468</v>
      </c>
      <c r="AE7" s="330">
        <v>973</v>
      </c>
      <c r="AF7" s="330">
        <v>1739</v>
      </c>
      <c r="AG7" s="330">
        <v>2712</v>
      </c>
    </row>
    <row r="8" spans="1:33" x14ac:dyDescent="0.25">
      <c r="A8" s="335" t="s">
        <v>81</v>
      </c>
      <c r="B8" s="335" t="s">
        <v>81</v>
      </c>
      <c r="C8" s="331">
        <v>157777</v>
      </c>
      <c r="D8" s="331">
        <v>593</v>
      </c>
      <c r="E8" s="331">
        <v>5508</v>
      </c>
      <c r="F8" s="331">
        <v>16071</v>
      </c>
      <c r="G8" s="331">
        <v>2870</v>
      </c>
      <c r="H8" s="331">
        <v>182819</v>
      </c>
      <c r="I8" s="330">
        <v>179949</v>
      </c>
      <c r="J8" s="330">
        <v>952</v>
      </c>
      <c r="K8" s="332">
        <v>78.63</v>
      </c>
      <c r="L8" s="332">
        <v>78.09</v>
      </c>
      <c r="M8" s="332">
        <v>6.8</v>
      </c>
      <c r="N8" s="332">
        <v>80.84</v>
      </c>
      <c r="O8" s="333">
        <v>142139</v>
      </c>
      <c r="P8" s="330">
        <v>84.64</v>
      </c>
      <c r="Q8" s="330">
        <v>76.55</v>
      </c>
      <c r="R8" s="330">
        <v>44.36</v>
      </c>
      <c r="S8" s="330">
        <v>124.07</v>
      </c>
      <c r="T8" s="330">
        <v>18523</v>
      </c>
      <c r="U8" s="330">
        <v>94.97</v>
      </c>
      <c r="V8" s="330">
        <v>13142</v>
      </c>
      <c r="W8" s="330">
        <v>155.34</v>
      </c>
      <c r="X8" s="330">
        <v>1879</v>
      </c>
      <c r="Y8" s="330">
        <v>0</v>
      </c>
      <c r="Z8" s="330">
        <v>576</v>
      </c>
      <c r="AA8" s="330">
        <v>208</v>
      </c>
      <c r="AB8" s="330">
        <v>177</v>
      </c>
      <c r="AC8" s="330">
        <v>47</v>
      </c>
      <c r="AD8" s="334">
        <v>154969</v>
      </c>
      <c r="AE8" s="330">
        <v>1722</v>
      </c>
      <c r="AF8" s="330">
        <v>836</v>
      </c>
      <c r="AG8" s="330">
        <v>2558</v>
      </c>
    </row>
    <row r="9" spans="1:33" x14ac:dyDescent="0.25">
      <c r="A9" s="335" t="s">
        <v>82</v>
      </c>
      <c r="B9" s="335" t="s">
        <v>82</v>
      </c>
      <c r="C9" s="331">
        <v>427546</v>
      </c>
      <c r="D9" s="331">
        <v>399</v>
      </c>
      <c r="E9" s="331">
        <v>21354</v>
      </c>
      <c r="F9" s="331">
        <v>53919</v>
      </c>
      <c r="G9" s="331">
        <v>13252</v>
      </c>
      <c r="H9" s="331">
        <v>516470</v>
      </c>
      <c r="I9" s="330">
        <v>503218</v>
      </c>
      <c r="J9" s="330">
        <v>1486</v>
      </c>
      <c r="K9" s="332">
        <v>83.03</v>
      </c>
      <c r="L9" s="332">
        <v>82.38</v>
      </c>
      <c r="M9" s="332">
        <v>4.75</v>
      </c>
      <c r="N9" s="332">
        <v>85.5</v>
      </c>
      <c r="O9" s="333">
        <v>374559</v>
      </c>
      <c r="P9" s="330">
        <v>83.93</v>
      </c>
      <c r="Q9" s="330">
        <v>77.98</v>
      </c>
      <c r="R9" s="330">
        <v>32.200000000000003</v>
      </c>
      <c r="S9" s="330">
        <v>114.04</v>
      </c>
      <c r="T9" s="330">
        <v>67208</v>
      </c>
      <c r="U9" s="330">
        <v>104.03</v>
      </c>
      <c r="V9" s="330">
        <v>42743</v>
      </c>
      <c r="W9" s="330">
        <v>142.83000000000001</v>
      </c>
      <c r="X9" s="330">
        <v>1738</v>
      </c>
      <c r="Y9" s="330">
        <v>1538</v>
      </c>
      <c r="Z9" s="330">
        <v>2202</v>
      </c>
      <c r="AA9" s="330">
        <v>645</v>
      </c>
      <c r="AB9" s="330">
        <v>664</v>
      </c>
      <c r="AC9" s="330">
        <v>281</v>
      </c>
      <c r="AD9" s="334">
        <v>417817</v>
      </c>
      <c r="AE9" s="330">
        <v>2871</v>
      </c>
      <c r="AF9" s="330">
        <v>2382</v>
      </c>
      <c r="AG9" s="330">
        <v>5253</v>
      </c>
    </row>
    <row r="10" spans="1:33" x14ac:dyDescent="0.25">
      <c r="A10" s="335" t="s">
        <v>83</v>
      </c>
      <c r="B10" s="335" t="s">
        <v>83</v>
      </c>
      <c r="C10" s="331">
        <v>291856</v>
      </c>
      <c r="D10" s="331">
        <v>1301</v>
      </c>
      <c r="E10" s="331">
        <v>15425</v>
      </c>
      <c r="F10" s="331">
        <v>37542</v>
      </c>
      <c r="G10" s="331">
        <v>39022</v>
      </c>
      <c r="H10" s="331">
        <v>385146</v>
      </c>
      <c r="I10" s="330">
        <v>346124</v>
      </c>
      <c r="J10" s="330">
        <v>1101</v>
      </c>
      <c r="K10" s="332">
        <v>108.77</v>
      </c>
      <c r="L10" s="332">
        <v>107.74</v>
      </c>
      <c r="M10" s="332">
        <v>6.3</v>
      </c>
      <c r="N10" s="332">
        <v>112.64</v>
      </c>
      <c r="O10" s="333">
        <v>247087</v>
      </c>
      <c r="P10" s="330">
        <v>99.33</v>
      </c>
      <c r="Q10" s="330">
        <v>93.61</v>
      </c>
      <c r="R10" s="330">
        <v>34.68</v>
      </c>
      <c r="S10" s="330">
        <v>131.79</v>
      </c>
      <c r="T10" s="330">
        <v>42902</v>
      </c>
      <c r="U10" s="330">
        <v>150.38999999999999</v>
      </c>
      <c r="V10" s="330">
        <v>34460</v>
      </c>
      <c r="W10" s="330">
        <v>167.59</v>
      </c>
      <c r="X10" s="330">
        <v>1762</v>
      </c>
      <c r="Y10" s="330">
        <v>1002</v>
      </c>
      <c r="Z10" s="330">
        <v>331</v>
      </c>
      <c r="AA10" s="330">
        <v>377</v>
      </c>
      <c r="AB10" s="330">
        <v>2588</v>
      </c>
      <c r="AC10" s="330">
        <v>956</v>
      </c>
      <c r="AD10" s="334">
        <v>285007</v>
      </c>
      <c r="AE10" s="330">
        <v>1146</v>
      </c>
      <c r="AF10" s="330">
        <v>957</v>
      </c>
      <c r="AG10" s="330">
        <v>2103</v>
      </c>
    </row>
    <row r="11" spans="1:33" x14ac:dyDescent="0.25">
      <c r="A11" s="335" t="s">
        <v>84</v>
      </c>
      <c r="B11" s="335" t="s">
        <v>84</v>
      </c>
      <c r="C11" s="331">
        <v>194320</v>
      </c>
      <c r="D11" s="331">
        <v>287</v>
      </c>
      <c r="E11" s="331">
        <v>13371</v>
      </c>
      <c r="F11" s="331">
        <v>30250</v>
      </c>
      <c r="G11" s="331">
        <v>17790</v>
      </c>
      <c r="H11" s="331">
        <v>256018</v>
      </c>
      <c r="I11" s="330">
        <v>238228</v>
      </c>
      <c r="J11" s="330">
        <v>406</v>
      </c>
      <c r="K11" s="332">
        <v>93.01</v>
      </c>
      <c r="L11" s="332">
        <v>89.95</v>
      </c>
      <c r="M11" s="332">
        <v>4.95</v>
      </c>
      <c r="N11" s="332">
        <v>96.25</v>
      </c>
      <c r="O11" s="333">
        <v>166010</v>
      </c>
      <c r="P11" s="330">
        <v>88.83</v>
      </c>
      <c r="Q11" s="330">
        <v>81.489999999999995</v>
      </c>
      <c r="R11" s="330">
        <v>31.84</v>
      </c>
      <c r="S11" s="330">
        <v>119.59</v>
      </c>
      <c r="T11" s="330">
        <v>37612</v>
      </c>
      <c r="U11" s="330">
        <v>123.4</v>
      </c>
      <c r="V11" s="330">
        <v>20775</v>
      </c>
      <c r="W11" s="330">
        <v>159.59</v>
      </c>
      <c r="X11" s="330">
        <v>1313</v>
      </c>
      <c r="Y11" s="330">
        <v>467</v>
      </c>
      <c r="Z11" s="330">
        <v>421</v>
      </c>
      <c r="AA11" s="330">
        <v>465</v>
      </c>
      <c r="AB11" s="330">
        <v>1166</v>
      </c>
      <c r="AC11" s="330">
        <v>416</v>
      </c>
      <c r="AD11" s="334">
        <v>188340</v>
      </c>
      <c r="AE11" s="330">
        <v>687</v>
      </c>
      <c r="AF11" s="330">
        <v>1065</v>
      </c>
      <c r="AG11" s="330">
        <v>1752</v>
      </c>
    </row>
    <row r="12" spans="1:33" x14ac:dyDescent="0.25">
      <c r="A12" s="335" t="s">
        <v>85</v>
      </c>
      <c r="B12" s="335" t="s">
        <v>85</v>
      </c>
      <c r="C12" s="331">
        <v>217981</v>
      </c>
      <c r="D12" s="331">
        <v>833</v>
      </c>
      <c r="E12" s="331">
        <v>19255</v>
      </c>
      <c r="F12" s="331">
        <v>28614</v>
      </c>
      <c r="G12" s="331">
        <v>14691</v>
      </c>
      <c r="H12" s="331">
        <v>281374</v>
      </c>
      <c r="I12" s="330">
        <v>266683</v>
      </c>
      <c r="J12" s="330">
        <v>572</v>
      </c>
      <c r="K12" s="332">
        <v>89.14</v>
      </c>
      <c r="L12" s="332">
        <v>86.17</v>
      </c>
      <c r="M12" s="332">
        <v>5.85</v>
      </c>
      <c r="N12" s="332">
        <v>92.78</v>
      </c>
      <c r="O12" s="333">
        <v>193604</v>
      </c>
      <c r="P12" s="330">
        <v>93.49</v>
      </c>
      <c r="Q12" s="330">
        <v>91.6</v>
      </c>
      <c r="R12" s="330">
        <v>52.23</v>
      </c>
      <c r="S12" s="330">
        <v>141.18</v>
      </c>
      <c r="T12" s="330">
        <v>40765</v>
      </c>
      <c r="U12" s="330">
        <v>108.16</v>
      </c>
      <c r="V12" s="330">
        <v>18168</v>
      </c>
      <c r="W12" s="330">
        <v>176.03</v>
      </c>
      <c r="X12" s="330">
        <v>2627</v>
      </c>
      <c r="Y12" s="330">
        <v>119</v>
      </c>
      <c r="Z12" s="330">
        <v>568</v>
      </c>
      <c r="AA12" s="330">
        <v>566</v>
      </c>
      <c r="AB12" s="330">
        <v>745</v>
      </c>
      <c r="AC12" s="330">
        <v>451</v>
      </c>
      <c r="AD12" s="334">
        <v>213918</v>
      </c>
      <c r="AE12" s="330">
        <v>1157</v>
      </c>
      <c r="AF12" s="330">
        <v>907</v>
      </c>
      <c r="AG12" s="330">
        <v>2064</v>
      </c>
    </row>
    <row r="13" spans="1:33" x14ac:dyDescent="0.25">
      <c r="A13" s="335" t="s">
        <v>788</v>
      </c>
      <c r="B13" s="335" t="s">
        <v>788</v>
      </c>
      <c r="C13" s="331">
        <v>167129</v>
      </c>
      <c r="D13" s="331">
        <v>389</v>
      </c>
      <c r="E13" s="331">
        <v>10998</v>
      </c>
      <c r="F13" s="331">
        <v>17710</v>
      </c>
      <c r="G13" s="331">
        <v>6243</v>
      </c>
      <c r="H13" s="331">
        <v>202469</v>
      </c>
      <c r="I13" s="330">
        <v>196226</v>
      </c>
      <c r="J13" s="330">
        <v>500</v>
      </c>
      <c r="K13" s="332">
        <v>82.22</v>
      </c>
      <c r="L13" s="332">
        <v>81.37</v>
      </c>
      <c r="M13" s="332">
        <v>5.65</v>
      </c>
      <c r="N13" s="332">
        <v>85.5</v>
      </c>
      <c r="O13" s="333">
        <v>148444</v>
      </c>
      <c r="P13" s="330">
        <v>86.06</v>
      </c>
      <c r="Q13" s="330">
        <v>78.02</v>
      </c>
      <c r="R13" s="330">
        <v>41.06</v>
      </c>
      <c r="S13" s="330">
        <v>124.85</v>
      </c>
      <c r="T13" s="330">
        <v>24579</v>
      </c>
      <c r="U13" s="330">
        <v>98.8</v>
      </c>
      <c r="V13" s="330">
        <v>15131</v>
      </c>
      <c r="W13" s="330">
        <v>150.63999999999999</v>
      </c>
      <c r="X13" s="330">
        <v>620</v>
      </c>
      <c r="Y13" s="330">
        <v>133</v>
      </c>
      <c r="Z13" s="330">
        <v>537</v>
      </c>
      <c r="AA13" s="330">
        <v>163</v>
      </c>
      <c r="AB13" s="330">
        <v>287</v>
      </c>
      <c r="AC13" s="330">
        <v>165</v>
      </c>
      <c r="AD13" s="334">
        <v>165448</v>
      </c>
      <c r="AE13" s="330">
        <v>1362</v>
      </c>
      <c r="AF13" s="330">
        <v>1734</v>
      </c>
      <c r="AG13" s="330">
        <v>3096</v>
      </c>
    </row>
    <row r="14" spans="1:33" x14ac:dyDescent="0.25">
      <c r="A14" s="329" t="s">
        <v>86</v>
      </c>
      <c r="B14" s="335" t="s">
        <v>87</v>
      </c>
      <c r="C14" s="331">
        <v>930</v>
      </c>
      <c r="D14" s="331">
        <v>0</v>
      </c>
      <c r="E14" s="331">
        <v>63</v>
      </c>
      <c r="F14" s="331">
        <v>51</v>
      </c>
      <c r="G14" s="331">
        <v>130</v>
      </c>
      <c r="H14" s="331">
        <v>1174</v>
      </c>
      <c r="I14" s="330">
        <v>1044</v>
      </c>
      <c r="J14" s="330">
        <v>0</v>
      </c>
      <c r="K14" s="332">
        <v>109.04</v>
      </c>
      <c r="L14" s="332">
        <v>106.94</v>
      </c>
      <c r="M14" s="332">
        <v>6.45</v>
      </c>
      <c r="N14" s="332">
        <v>114.23</v>
      </c>
      <c r="O14" s="333">
        <v>795</v>
      </c>
      <c r="P14" s="330">
        <v>99.98</v>
      </c>
      <c r="Q14" s="330">
        <v>96.13</v>
      </c>
      <c r="R14" s="330">
        <v>47.04</v>
      </c>
      <c r="S14" s="330">
        <v>146.51</v>
      </c>
      <c r="T14" s="330">
        <v>92</v>
      </c>
      <c r="U14" s="330">
        <v>156.36000000000001</v>
      </c>
      <c r="V14" s="330">
        <v>106</v>
      </c>
      <c r="W14" s="330">
        <v>146.16</v>
      </c>
      <c r="X14" s="330">
        <v>14</v>
      </c>
      <c r="Y14" s="330">
        <v>0</v>
      </c>
      <c r="Z14" s="330">
        <v>2</v>
      </c>
      <c r="AA14" s="330">
        <v>0</v>
      </c>
      <c r="AB14" s="330">
        <v>10</v>
      </c>
      <c r="AC14" s="330">
        <v>4</v>
      </c>
      <c r="AD14" s="334">
        <v>909</v>
      </c>
      <c r="AE14" s="334">
        <v>0</v>
      </c>
      <c r="AF14" s="334">
        <v>3</v>
      </c>
      <c r="AG14" s="334">
        <v>3</v>
      </c>
    </row>
    <row r="15" spans="1:33" x14ac:dyDescent="0.25">
      <c r="A15" s="329" t="s">
        <v>88</v>
      </c>
      <c r="B15" s="335" t="s">
        <v>89</v>
      </c>
      <c r="C15" s="331">
        <v>8234</v>
      </c>
      <c r="D15" s="331">
        <v>48</v>
      </c>
      <c r="E15" s="331">
        <v>125</v>
      </c>
      <c r="F15" s="331">
        <v>409</v>
      </c>
      <c r="G15" s="331">
        <v>113</v>
      </c>
      <c r="H15" s="331">
        <v>8929</v>
      </c>
      <c r="I15" s="330">
        <v>8816</v>
      </c>
      <c r="J15" s="330">
        <v>30</v>
      </c>
      <c r="K15" s="332">
        <v>85.61</v>
      </c>
      <c r="L15" s="332">
        <v>82.87</v>
      </c>
      <c r="M15" s="332">
        <v>2.31</v>
      </c>
      <c r="N15" s="332">
        <v>87.5</v>
      </c>
      <c r="O15" s="333">
        <v>7281</v>
      </c>
      <c r="P15" s="330">
        <v>80.86</v>
      </c>
      <c r="Q15" s="330">
        <v>74.599999999999994</v>
      </c>
      <c r="R15" s="330">
        <v>34.82</v>
      </c>
      <c r="S15" s="330">
        <v>115.61</v>
      </c>
      <c r="T15" s="330">
        <v>485</v>
      </c>
      <c r="U15" s="330">
        <v>106.29</v>
      </c>
      <c r="V15" s="330">
        <v>452</v>
      </c>
      <c r="W15" s="330">
        <v>147.11000000000001</v>
      </c>
      <c r="X15" s="330">
        <v>34</v>
      </c>
      <c r="Y15" s="330">
        <v>0</v>
      </c>
      <c r="Z15" s="330">
        <v>16</v>
      </c>
      <c r="AA15" s="330">
        <v>1</v>
      </c>
      <c r="AB15" s="330">
        <v>3</v>
      </c>
      <c r="AC15" s="330">
        <v>1</v>
      </c>
      <c r="AD15" s="334">
        <v>7552</v>
      </c>
      <c r="AE15" s="334">
        <v>99</v>
      </c>
      <c r="AF15" s="334">
        <v>8</v>
      </c>
      <c r="AG15" s="334">
        <v>107</v>
      </c>
    </row>
    <row r="16" spans="1:33" x14ac:dyDescent="0.25">
      <c r="A16" s="329" t="s">
        <v>90</v>
      </c>
      <c r="B16" s="335" t="s">
        <v>91</v>
      </c>
      <c r="C16" s="331">
        <v>4587</v>
      </c>
      <c r="D16" s="331">
        <v>0</v>
      </c>
      <c r="E16" s="331">
        <v>156</v>
      </c>
      <c r="F16" s="331">
        <v>2430</v>
      </c>
      <c r="G16" s="331">
        <v>137</v>
      </c>
      <c r="H16" s="331">
        <v>7310</v>
      </c>
      <c r="I16" s="330">
        <v>7173</v>
      </c>
      <c r="J16" s="330">
        <v>0</v>
      </c>
      <c r="K16" s="332">
        <v>89.57</v>
      </c>
      <c r="L16" s="332">
        <v>89.23</v>
      </c>
      <c r="M16" s="332">
        <v>2.2999999999999998</v>
      </c>
      <c r="N16" s="332">
        <v>91.68</v>
      </c>
      <c r="O16" s="333">
        <v>4346</v>
      </c>
      <c r="P16" s="330">
        <v>83.3</v>
      </c>
      <c r="Q16" s="330">
        <v>86.47</v>
      </c>
      <c r="R16" s="330">
        <v>8.08</v>
      </c>
      <c r="S16" s="330">
        <v>91.29</v>
      </c>
      <c r="T16" s="330">
        <v>2542</v>
      </c>
      <c r="U16" s="330">
        <v>99.67</v>
      </c>
      <c r="V16" s="330">
        <v>237</v>
      </c>
      <c r="W16" s="330">
        <v>0</v>
      </c>
      <c r="X16" s="330">
        <v>0</v>
      </c>
      <c r="Y16" s="330">
        <v>0</v>
      </c>
      <c r="Z16" s="330">
        <v>27</v>
      </c>
      <c r="AA16" s="330">
        <v>8</v>
      </c>
      <c r="AB16" s="330">
        <v>10</v>
      </c>
      <c r="AC16" s="330">
        <v>5</v>
      </c>
      <c r="AD16" s="334">
        <v>4579</v>
      </c>
      <c r="AE16" s="334">
        <v>30</v>
      </c>
      <c r="AF16" s="334">
        <v>16</v>
      </c>
      <c r="AG16" s="334">
        <v>46</v>
      </c>
    </row>
    <row r="17" spans="1:33" x14ac:dyDescent="0.25">
      <c r="A17" s="329" t="s">
        <v>92</v>
      </c>
      <c r="B17" s="335" t="s">
        <v>93</v>
      </c>
      <c r="C17" s="331">
        <v>2937</v>
      </c>
      <c r="D17" s="331">
        <v>19</v>
      </c>
      <c r="E17" s="331">
        <v>224</v>
      </c>
      <c r="F17" s="331">
        <v>286</v>
      </c>
      <c r="G17" s="331">
        <v>544</v>
      </c>
      <c r="H17" s="331">
        <v>4010</v>
      </c>
      <c r="I17" s="330">
        <v>3466</v>
      </c>
      <c r="J17" s="330">
        <v>0</v>
      </c>
      <c r="K17" s="332">
        <v>108.96</v>
      </c>
      <c r="L17" s="332">
        <v>107.2</v>
      </c>
      <c r="M17" s="332">
        <v>6.69</v>
      </c>
      <c r="N17" s="332">
        <v>114.54</v>
      </c>
      <c r="O17" s="333">
        <v>2260</v>
      </c>
      <c r="P17" s="330">
        <v>97.09</v>
      </c>
      <c r="Q17" s="330">
        <v>90.06</v>
      </c>
      <c r="R17" s="330">
        <v>33.92</v>
      </c>
      <c r="S17" s="330">
        <v>129.16</v>
      </c>
      <c r="T17" s="330">
        <v>331</v>
      </c>
      <c r="U17" s="330">
        <v>153.9</v>
      </c>
      <c r="V17" s="330">
        <v>628</v>
      </c>
      <c r="W17" s="330">
        <v>0</v>
      </c>
      <c r="X17" s="330">
        <v>0</v>
      </c>
      <c r="Y17" s="330">
        <v>0</v>
      </c>
      <c r="Z17" s="330">
        <v>7</v>
      </c>
      <c r="AA17" s="330">
        <v>5</v>
      </c>
      <c r="AB17" s="330">
        <v>63</v>
      </c>
      <c r="AC17" s="330">
        <v>16</v>
      </c>
      <c r="AD17" s="334">
        <v>2935</v>
      </c>
      <c r="AE17" s="334">
        <v>9</v>
      </c>
      <c r="AF17" s="334">
        <v>2</v>
      </c>
      <c r="AG17" s="334">
        <v>11</v>
      </c>
    </row>
    <row r="18" spans="1:33" x14ac:dyDescent="0.25">
      <c r="A18" s="329" t="s">
        <v>94</v>
      </c>
      <c r="B18" s="335" t="s">
        <v>95</v>
      </c>
      <c r="C18" s="331">
        <v>1621</v>
      </c>
      <c r="D18" s="331">
        <v>0</v>
      </c>
      <c r="E18" s="331">
        <v>172</v>
      </c>
      <c r="F18" s="331">
        <v>291</v>
      </c>
      <c r="G18" s="331">
        <v>160</v>
      </c>
      <c r="H18" s="331">
        <v>2244</v>
      </c>
      <c r="I18" s="330">
        <v>2084</v>
      </c>
      <c r="J18" s="330">
        <v>0</v>
      </c>
      <c r="K18" s="332">
        <v>86.75</v>
      </c>
      <c r="L18" s="332">
        <v>84.89</v>
      </c>
      <c r="M18" s="332">
        <v>5.14</v>
      </c>
      <c r="N18" s="332">
        <v>89.26</v>
      </c>
      <c r="O18" s="333">
        <v>1366</v>
      </c>
      <c r="P18" s="330">
        <v>95</v>
      </c>
      <c r="Q18" s="330">
        <v>88.92</v>
      </c>
      <c r="R18" s="330">
        <v>47.7</v>
      </c>
      <c r="S18" s="330">
        <v>138.33000000000001</v>
      </c>
      <c r="T18" s="330">
        <v>459</v>
      </c>
      <c r="U18" s="330">
        <v>98.54</v>
      </c>
      <c r="V18" s="330">
        <v>183</v>
      </c>
      <c r="W18" s="330">
        <v>0</v>
      </c>
      <c r="X18" s="330">
        <v>0</v>
      </c>
      <c r="Y18" s="330">
        <v>0</v>
      </c>
      <c r="Z18" s="330">
        <v>1</v>
      </c>
      <c r="AA18" s="330">
        <v>3</v>
      </c>
      <c r="AB18" s="330">
        <v>6</v>
      </c>
      <c r="AC18" s="330">
        <v>2</v>
      </c>
      <c r="AD18" s="334">
        <v>1621</v>
      </c>
      <c r="AE18" s="334">
        <v>5</v>
      </c>
      <c r="AF18" s="334">
        <v>3</v>
      </c>
      <c r="AG18" s="334">
        <v>8</v>
      </c>
    </row>
    <row r="19" spans="1:33" x14ac:dyDescent="0.25">
      <c r="A19" s="329" t="s">
        <v>96</v>
      </c>
      <c r="B19" s="335" t="s">
        <v>97</v>
      </c>
      <c r="C19" s="331">
        <v>2239</v>
      </c>
      <c r="D19" s="331">
        <v>0</v>
      </c>
      <c r="E19" s="331">
        <v>144</v>
      </c>
      <c r="F19" s="331">
        <v>151</v>
      </c>
      <c r="G19" s="331">
        <v>673</v>
      </c>
      <c r="H19" s="331">
        <v>3207</v>
      </c>
      <c r="I19" s="330">
        <v>2534</v>
      </c>
      <c r="J19" s="330">
        <v>4</v>
      </c>
      <c r="K19" s="332">
        <v>100.73</v>
      </c>
      <c r="L19" s="332">
        <v>98.69</v>
      </c>
      <c r="M19" s="332">
        <v>7.03</v>
      </c>
      <c r="N19" s="332">
        <v>106.4</v>
      </c>
      <c r="O19" s="333">
        <v>1793</v>
      </c>
      <c r="P19" s="330">
        <v>109.65</v>
      </c>
      <c r="Q19" s="330">
        <v>82.79</v>
      </c>
      <c r="R19" s="330">
        <v>54.59</v>
      </c>
      <c r="S19" s="330">
        <v>163.78</v>
      </c>
      <c r="T19" s="330">
        <v>236</v>
      </c>
      <c r="U19" s="330">
        <v>134.47</v>
      </c>
      <c r="V19" s="330">
        <v>377</v>
      </c>
      <c r="W19" s="330">
        <v>189.73</v>
      </c>
      <c r="X19" s="330">
        <v>59</v>
      </c>
      <c r="Y19" s="330">
        <v>0</v>
      </c>
      <c r="Z19" s="330">
        <v>2</v>
      </c>
      <c r="AA19" s="330">
        <v>2</v>
      </c>
      <c r="AB19" s="330">
        <v>46</v>
      </c>
      <c r="AC19" s="330">
        <v>19</v>
      </c>
      <c r="AD19" s="334">
        <v>2199</v>
      </c>
      <c r="AE19" s="334">
        <v>5</v>
      </c>
      <c r="AF19" s="334">
        <v>2</v>
      </c>
      <c r="AG19" s="334">
        <v>7</v>
      </c>
    </row>
    <row r="20" spans="1:33" x14ac:dyDescent="0.25">
      <c r="A20" s="329" t="s">
        <v>98</v>
      </c>
      <c r="B20" s="335" t="s">
        <v>99</v>
      </c>
      <c r="C20" s="331">
        <v>1706</v>
      </c>
      <c r="D20" s="331">
        <v>0</v>
      </c>
      <c r="E20" s="331">
        <v>122</v>
      </c>
      <c r="F20" s="331">
        <v>123</v>
      </c>
      <c r="G20" s="331">
        <v>174</v>
      </c>
      <c r="H20" s="331">
        <v>2125</v>
      </c>
      <c r="I20" s="330">
        <v>1951</v>
      </c>
      <c r="J20" s="330">
        <v>1</v>
      </c>
      <c r="K20" s="332">
        <v>93.76</v>
      </c>
      <c r="L20" s="332">
        <v>93.36</v>
      </c>
      <c r="M20" s="332">
        <v>4.25</v>
      </c>
      <c r="N20" s="332">
        <v>96.07</v>
      </c>
      <c r="O20" s="333">
        <v>1263</v>
      </c>
      <c r="P20" s="330">
        <v>109.55</v>
      </c>
      <c r="Q20" s="330">
        <v>97.81</v>
      </c>
      <c r="R20" s="330">
        <v>46.99</v>
      </c>
      <c r="S20" s="330">
        <v>154.83000000000001</v>
      </c>
      <c r="T20" s="330">
        <v>192</v>
      </c>
      <c r="U20" s="330">
        <v>114.78</v>
      </c>
      <c r="V20" s="330">
        <v>402</v>
      </c>
      <c r="W20" s="330">
        <v>108.81</v>
      </c>
      <c r="X20" s="330">
        <v>2</v>
      </c>
      <c r="Y20" s="330">
        <v>0</v>
      </c>
      <c r="Z20" s="330">
        <v>0</v>
      </c>
      <c r="AA20" s="330">
        <v>0</v>
      </c>
      <c r="AB20" s="330">
        <v>4</v>
      </c>
      <c r="AC20" s="330">
        <v>3</v>
      </c>
      <c r="AD20" s="334">
        <v>1699</v>
      </c>
      <c r="AE20" s="334">
        <v>5</v>
      </c>
      <c r="AF20" s="334">
        <v>4</v>
      </c>
      <c r="AG20" s="334">
        <v>9</v>
      </c>
    </row>
    <row r="21" spans="1:33" x14ac:dyDescent="0.25">
      <c r="A21" s="329" t="s">
        <v>100</v>
      </c>
      <c r="B21" s="335" t="s">
        <v>101</v>
      </c>
      <c r="C21" s="331">
        <v>4238</v>
      </c>
      <c r="D21" s="331">
        <v>61</v>
      </c>
      <c r="E21" s="331">
        <v>374</v>
      </c>
      <c r="F21" s="331">
        <v>466</v>
      </c>
      <c r="G21" s="331">
        <v>728</v>
      </c>
      <c r="H21" s="331">
        <v>5867</v>
      </c>
      <c r="I21" s="330">
        <v>5139</v>
      </c>
      <c r="J21" s="330">
        <v>0</v>
      </c>
      <c r="K21" s="332">
        <v>128.69999999999999</v>
      </c>
      <c r="L21" s="332">
        <v>115.73</v>
      </c>
      <c r="M21" s="332">
        <v>8.4</v>
      </c>
      <c r="N21" s="332">
        <v>132.88</v>
      </c>
      <c r="O21" s="333">
        <v>2979</v>
      </c>
      <c r="P21" s="330">
        <v>103.89</v>
      </c>
      <c r="Q21" s="330">
        <v>100.87</v>
      </c>
      <c r="R21" s="330">
        <v>58.05</v>
      </c>
      <c r="S21" s="330">
        <v>152.88</v>
      </c>
      <c r="T21" s="330">
        <v>692</v>
      </c>
      <c r="U21" s="330">
        <v>167.94</v>
      </c>
      <c r="V21" s="330">
        <v>751</v>
      </c>
      <c r="W21" s="330">
        <v>0</v>
      </c>
      <c r="X21" s="330">
        <v>0</v>
      </c>
      <c r="Y21" s="330">
        <v>0</v>
      </c>
      <c r="Z21" s="330">
        <v>11</v>
      </c>
      <c r="AA21" s="330">
        <v>5</v>
      </c>
      <c r="AB21" s="330">
        <v>14</v>
      </c>
      <c r="AC21" s="330">
        <v>29</v>
      </c>
      <c r="AD21" s="334">
        <v>4238</v>
      </c>
      <c r="AE21" s="334">
        <v>5</v>
      </c>
      <c r="AF21" s="334">
        <v>5</v>
      </c>
      <c r="AG21" s="334">
        <v>10</v>
      </c>
    </row>
    <row r="22" spans="1:33" x14ac:dyDescent="0.25">
      <c r="A22" s="329" t="s">
        <v>102</v>
      </c>
      <c r="B22" s="335" t="s">
        <v>103</v>
      </c>
      <c r="C22" s="331">
        <v>6933</v>
      </c>
      <c r="D22" s="331">
        <v>28</v>
      </c>
      <c r="E22" s="331">
        <v>620</v>
      </c>
      <c r="F22" s="331">
        <v>1124</v>
      </c>
      <c r="G22" s="331">
        <v>1386</v>
      </c>
      <c r="H22" s="331">
        <v>10091</v>
      </c>
      <c r="I22" s="330">
        <v>8705</v>
      </c>
      <c r="J22" s="330">
        <v>5</v>
      </c>
      <c r="K22" s="332">
        <v>129.75</v>
      </c>
      <c r="L22" s="332">
        <v>128.28</v>
      </c>
      <c r="M22" s="332">
        <v>12.21</v>
      </c>
      <c r="N22" s="332">
        <v>139.71</v>
      </c>
      <c r="O22" s="333">
        <v>5697</v>
      </c>
      <c r="P22" s="330">
        <v>130.80000000000001</v>
      </c>
      <c r="Q22" s="330">
        <v>112.6</v>
      </c>
      <c r="R22" s="330">
        <v>54.55</v>
      </c>
      <c r="S22" s="330">
        <v>178.32</v>
      </c>
      <c r="T22" s="330">
        <v>970</v>
      </c>
      <c r="U22" s="330">
        <v>207.61</v>
      </c>
      <c r="V22" s="330">
        <v>976</v>
      </c>
      <c r="W22" s="330">
        <v>245.66</v>
      </c>
      <c r="X22" s="330">
        <v>20</v>
      </c>
      <c r="Y22" s="330">
        <v>0</v>
      </c>
      <c r="Z22" s="330">
        <v>2</v>
      </c>
      <c r="AA22" s="330">
        <v>4</v>
      </c>
      <c r="AB22" s="330">
        <v>94</v>
      </c>
      <c r="AC22" s="330">
        <v>20</v>
      </c>
      <c r="AD22" s="334">
        <v>6678</v>
      </c>
      <c r="AE22" s="334">
        <v>11</v>
      </c>
      <c r="AF22" s="334">
        <v>10</v>
      </c>
      <c r="AG22" s="334">
        <v>21</v>
      </c>
    </row>
    <row r="23" spans="1:33" x14ac:dyDescent="0.25">
      <c r="A23" s="329" t="s">
        <v>104</v>
      </c>
      <c r="B23" s="335" t="s">
        <v>105</v>
      </c>
      <c r="C23" s="331">
        <v>2850</v>
      </c>
      <c r="D23" s="331">
        <v>0</v>
      </c>
      <c r="E23" s="331">
        <v>305</v>
      </c>
      <c r="F23" s="331">
        <v>672</v>
      </c>
      <c r="G23" s="331">
        <v>253</v>
      </c>
      <c r="H23" s="331">
        <v>4080</v>
      </c>
      <c r="I23" s="330">
        <v>3827</v>
      </c>
      <c r="J23" s="330">
        <v>2</v>
      </c>
      <c r="K23" s="332">
        <v>86.16</v>
      </c>
      <c r="L23" s="332">
        <v>83.12</v>
      </c>
      <c r="M23" s="332">
        <v>5.88</v>
      </c>
      <c r="N23" s="332">
        <v>88.76</v>
      </c>
      <c r="O23" s="333">
        <v>1926</v>
      </c>
      <c r="P23" s="330">
        <v>86.33</v>
      </c>
      <c r="Q23" s="330">
        <v>82.33</v>
      </c>
      <c r="R23" s="330">
        <v>34.1</v>
      </c>
      <c r="S23" s="330">
        <v>115.83</v>
      </c>
      <c r="T23" s="330">
        <v>963</v>
      </c>
      <c r="U23" s="330">
        <v>94.05</v>
      </c>
      <c r="V23" s="330">
        <v>821</v>
      </c>
      <c r="W23" s="330">
        <v>0</v>
      </c>
      <c r="X23" s="330">
        <v>0</v>
      </c>
      <c r="Y23" s="330">
        <v>24</v>
      </c>
      <c r="Z23" s="330">
        <v>1</v>
      </c>
      <c r="AA23" s="330">
        <v>10</v>
      </c>
      <c r="AB23" s="330">
        <v>8</v>
      </c>
      <c r="AC23" s="330">
        <v>2</v>
      </c>
      <c r="AD23" s="334">
        <v>2848</v>
      </c>
      <c r="AE23" s="334">
        <v>18</v>
      </c>
      <c r="AF23" s="334">
        <v>9</v>
      </c>
      <c r="AG23" s="334">
        <v>27</v>
      </c>
    </row>
    <row r="24" spans="1:33" x14ac:dyDescent="0.25">
      <c r="A24" s="329" t="s">
        <v>106</v>
      </c>
      <c r="B24" s="335" t="s">
        <v>107</v>
      </c>
      <c r="C24" s="331">
        <v>502</v>
      </c>
      <c r="D24" s="331">
        <v>0</v>
      </c>
      <c r="E24" s="331">
        <v>113</v>
      </c>
      <c r="F24" s="331">
        <v>224</v>
      </c>
      <c r="G24" s="331">
        <v>12</v>
      </c>
      <c r="H24" s="331">
        <v>851</v>
      </c>
      <c r="I24" s="330">
        <v>839</v>
      </c>
      <c r="J24" s="330">
        <v>5</v>
      </c>
      <c r="K24" s="332">
        <v>80.400000000000006</v>
      </c>
      <c r="L24" s="332">
        <v>77.34</v>
      </c>
      <c r="M24" s="332">
        <v>5.69</v>
      </c>
      <c r="N24" s="332">
        <v>83.73</v>
      </c>
      <c r="O24" s="333">
        <v>449</v>
      </c>
      <c r="P24" s="330">
        <v>82.13</v>
      </c>
      <c r="Q24" s="330">
        <v>81.540000000000006</v>
      </c>
      <c r="R24" s="330">
        <v>41.65</v>
      </c>
      <c r="S24" s="330">
        <v>123.78</v>
      </c>
      <c r="T24" s="330">
        <v>301</v>
      </c>
      <c r="U24" s="330">
        <v>108.65</v>
      </c>
      <c r="V24" s="330">
        <v>27</v>
      </c>
      <c r="W24" s="330">
        <v>0</v>
      </c>
      <c r="X24" s="330">
        <v>0</v>
      </c>
      <c r="Y24" s="330">
        <v>0</v>
      </c>
      <c r="Z24" s="330">
        <v>0</v>
      </c>
      <c r="AA24" s="330">
        <v>0</v>
      </c>
      <c r="AB24" s="330">
        <v>0</v>
      </c>
      <c r="AC24" s="330">
        <v>0</v>
      </c>
      <c r="AD24" s="334">
        <v>491</v>
      </c>
      <c r="AE24" s="334">
        <v>0</v>
      </c>
      <c r="AF24" s="334">
        <v>0</v>
      </c>
      <c r="AG24" s="334">
        <v>0</v>
      </c>
    </row>
    <row r="25" spans="1:33" x14ac:dyDescent="0.25">
      <c r="A25" s="329" t="s">
        <v>108</v>
      </c>
      <c r="B25" s="335" t="s">
        <v>109</v>
      </c>
      <c r="C25" s="331">
        <v>5293</v>
      </c>
      <c r="D25" s="331">
        <v>0</v>
      </c>
      <c r="E25" s="331">
        <v>221</v>
      </c>
      <c r="F25" s="331">
        <v>351</v>
      </c>
      <c r="G25" s="331">
        <v>644</v>
      </c>
      <c r="H25" s="331">
        <v>6509</v>
      </c>
      <c r="I25" s="330">
        <v>5865</v>
      </c>
      <c r="J25" s="330">
        <v>0</v>
      </c>
      <c r="K25" s="332">
        <v>111.78</v>
      </c>
      <c r="L25" s="332">
        <v>112.24</v>
      </c>
      <c r="M25" s="332">
        <v>7.03</v>
      </c>
      <c r="N25" s="332">
        <v>114.8</v>
      </c>
      <c r="O25" s="333">
        <v>5069</v>
      </c>
      <c r="P25" s="330">
        <v>93.07</v>
      </c>
      <c r="Q25" s="330">
        <v>93.05</v>
      </c>
      <c r="R25" s="330">
        <v>41.53</v>
      </c>
      <c r="S25" s="330">
        <v>133.69</v>
      </c>
      <c r="T25" s="330">
        <v>501</v>
      </c>
      <c r="U25" s="330">
        <v>129.11000000000001</v>
      </c>
      <c r="V25" s="330">
        <v>171</v>
      </c>
      <c r="W25" s="330">
        <v>0</v>
      </c>
      <c r="X25" s="330">
        <v>0</v>
      </c>
      <c r="Y25" s="330">
        <v>0</v>
      </c>
      <c r="Z25" s="330">
        <v>0</v>
      </c>
      <c r="AA25" s="330">
        <v>0</v>
      </c>
      <c r="AB25" s="330">
        <v>7</v>
      </c>
      <c r="AC25" s="330">
        <v>1</v>
      </c>
      <c r="AD25" s="334">
        <v>5293</v>
      </c>
      <c r="AE25" s="334">
        <v>22</v>
      </c>
      <c r="AF25" s="334">
        <v>34</v>
      </c>
      <c r="AG25" s="334">
        <v>56</v>
      </c>
    </row>
    <row r="26" spans="1:33" x14ac:dyDescent="0.25">
      <c r="A26" s="329" t="s">
        <v>110</v>
      </c>
      <c r="B26" s="335" t="s">
        <v>111</v>
      </c>
      <c r="C26" s="331">
        <v>12201</v>
      </c>
      <c r="D26" s="331">
        <v>312</v>
      </c>
      <c r="E26" s="331">
        <v>386</v>
      </c>
      <c r="F26" s="331">
        <v>909</v>
      </c>
      <c r="G26" s="331">
        <v>959</v>
      </c>
      <c r="H26" s="331">
        <v>14767</v>
      </c>
      <c r="I26" s="330">
        <v>13808</v>
      </c>
      <c r="J26" s="330">
        <v>0</v>
      </c>
      <c r="K26" s="332">
        <v>113.97</v>
      </c>
      <c r="L26" s="332">
        <v>112.55</v>
      </c>
      <c r="M26" s="332">
        <v>4.8099999999999996</v>
      </c>
      <c r="N26" s="332">
        <v>115.87</v>
      </c>
      <c r="O26" s="333">
        <v>11172</v>
      </c>
      <c r="P26" s="330">
        <v>98.21</v>
      </c>
      <c r="Q26" s="330">
        <v>94.17</v>
      </c>
      <c r="R26" s="330">
        <v>30.42</v>
      </c>
      <c r="S26" s="330">
        <v>127.05</v>
      </c>
      <c r="T26" s="330">
        <v>1132</v>
      </c>
      <c r="U26" s="330">
        <v>146.1</v>
      </c>
      <c r="V26" s="330">
        <v>750</v>
      </c>
      <c r="W26" s="330">
        <v>150.16999999999999</v>
      </c>
      <c r="X26" s="330">
        <v>2</v>
      </c>
      <c r="Y26" s="330">
        <v>0</v>
      </c>
      <c r="Z26" s="330">
        <v>8</v>
      </c>
      <c r="AA26" s="330">
        <v>0</v>
      </c>
      <c r="AB26" s="330">
        <v>68</v>
      </c>
      <c r="AC26" s="330">
        <v>28</v>
      </c>
      <c r="AD26" s="334">
        <v>12189</v>
      </c>
      <c r="AE26" s="334">
        <v>72</v>
      </c>
      <c r="AF26" s="334">
        <v>11</v>
      </c>
      <c r="AG26" s="334">
        <v>83</v>
      </c>
    </row>
    <row r="27" spans="1:33" x14ac:dyDescent="0.25">
      <c r="A27" s="329" t="s">
        <v>112</v>
      </c>
      <c r="B27" s="335" t="s">
        <v>113</v>
      </c>
      <c r="C27" s="331">
        <v>943</v>
      </c>
      <c r="D27" s="331">
        <v>0</v>
      </c>
      <c r="E27" s="331">
        <v>260</v>
      </c>
      <c r="F27" s="331">
        <v>154</v>
      </c>
      <c r="G27" s="331">
        <v>78</v>
      </c>
      <c r="H27" s="331">
        <v>1435</v>
      </c>
      <c r="I27" s="330">
        <v>1357</v>
      </c>
      <c r="J27" s="330">
        <v>4</v>
      </c>
      <c r="K27" s="332">
        <v>87.61</v>
      </c>
      <c r="L27" s="332">
        <v>85.19</v>
      </c>
      <c r="M27" s="332">
        <v>3.13</v>
      </c>
      <c r="N27" s="332">
        <v>89.5</v>
      </c>
      <c r="O27" s="333">
        <v>839</v>
      </c>
      <c r="P27" s="330">
        <v>122.73</v>
      </c>
      <c r="Q27" s="330">
        <v>74.28</v>
      </c>
      <c r="R27" s="330">
        <v>55.14</v>
      </c>
      <c r="S27" s="330">
        <v>176.05</v>
      </c>
      <c r="T27" s="330">
        <v>363</v>
      </c>
      <c r="U27" s="330">
        <v>92.93</v>
      </c>
      <c r="V27" s="330">
        <v>81</v>
      </c>
      <c r="W27" s="330">
        <v>147.16</v>
      </c>
      <c r="X27" s="330">
        <v>4</v>
      </c>
      <c r="Y27" s="330">
        <v>0</v>
      </c>
      <c r="Z27" s="330">
        <v>0</v>
      </c>
      <c r="AA27" s="330">
        <v>5</v>
      </c>
      <c r="AB27" s="330">
        <v>9</v>
      </c>
      <c r="AC27" s="330">
        <v>7</v>
      </c>
      <c r="AD27" s="334">
        <v>940</v>
      </c>
      <c r="AE27" s="334">
        <v>29</v>
      </c>
      <c r="AF27" s="334">
        <v>5</v>
      </c>
      <c r="AG27" s="334">
        <v>34</v>
      </c>
    </row>
    <row r="28" spans="1:33" x14ac:dyDescent="0.25">
      <c r="A28" s="329" t="s">
        <v>114</v>
      </c>
      <c r="B28" s="335" t="s">
        <v>115</v>
      </c>
      <c r="C28" s="331">
        <v>8969</v>
      </c>
      <c r="D28" s="331">
        <v>0</v>
      </c>
      <c r="E28" s="331">
        <v>359</v>
      </c>
      <c r="F28" s="331">
        <v>2125</v>
      </c>
      <c r="G28" s="331">
        <v>497</v>
      </c>
      <c r="H28" s="331">
        <v>11950</v>
      </c>
      <c r="I28" s="330">
        <v>11453</v>
      </c>
      <c r="J28" s="330">
        <v>6</v>
      </c>
      <c r="K28" s="332">
        <v>100.27</v>
      </c>
      <c r="L28" s="332">
        <v>100.54</v>
      </c>
      <c r="M28" s="332">
        <v>4.1399999999999997</v>
      </c>
      <c r="N28" s="332">
        <v>103.86</v>
      </c>
      <c r="O28" s="333">
        <v>8195</v>
      </c>
      <c r="P28" s="330">
        <v>93.43</v>
      </c>
      <c r="Q28" s="330">
        <v>94.27</v>
      </c>
      <c r="R28" s="330">
        <v>15.27</v>
      </c>
      <c r="S28" s="330">
        <v>108.57</v>
      </c>
      <c r="T28" s="330">
        <v>2229</v>
      </c>
      <c r="U28" s="330">
        <v>132.83000000000001</v>
      </c>
      <c r="V28" s="330">
        <v>657</v>
      </c>
      <c r="W28" s="330">
        <v>119.51</v>
      </c>
      <c r="X28" s="330">
        <v>77</v>
      </c>
      <c r="Y28" s="330">
        <v>0</v>
      </c>
      <c r="Z28" s="330">
        <v>24</v>
      </c>
      <c r="AA28" s="330">
        <v>15</v>
      </c>
      <c r="AB28" s="330">
        <v>59</v>
      </c>
      <c r="AC28" s="330">
        <v>12</v>
      </c>
      <c r="AD28" s="334">
        <v>8883</v>
      </c>
      <c r="AE28" s="334">
        <v>6</v>
      </c>
      <c r="AF28" s="334">
        <v>77</v>
      </c>
      <c r="AG28" s="334">
        <v>83</v>
      </c>
    </row>
    <row r="29" spans="1:33" x14ac:dyDescent="0.25">
      <c r="A29" s="329" t="s">
        <v>116</v>
      </c>
      <c r="B29" s="335" t="s">
        <v>117</v>
      </c>
      <c r="C29" s="331">
        <v>10587</v>
      </c>
      <c r="D29" s="331">
        <v>0</v>
      </c>
      <c r="E29" s="331">
        <v>401</v>
      </c>
      <c r="F29" s="331">
        <v>1097</v>
      </c>
      <c r="G29" s="331">
        <v>1051</v>
      </c>
      <c r="H29" s="331">
        <v>13136</v>
      </c>
      <c r="I29" s="330">
        <v>12085</v>
      </c>
      <c r="J29" s="330">
        <v>2</v>
      </c>
      <c r="K29" s="332">
        <v>98.79</v>
      </c>
      <c r="L29" s="332">
        <v>98.17</v>
      </c>
      <c r="M29" s="332">
        <v>8.42</v>
      </c>
      <c r="N29" s="332">
        <v>104.83</v>
      </c>
      <c r="O29" s="333">
        <v>9243</v>
      </c>
      <c r="P29" s="330">
        <v>98.09</v>
      </c>
      <c r="Q29" s="330">
        <v>92.11</v>
      </c>
      <c r="R29" s="330">
        <v>43.86</v>
      </c>
      <c r="S29" s="330">
        <v>140.6</v>
      </c>
      <c r="T29" s="330">
        <v>1297</v>
      </c>
      <c r="U29" s="330">
        <v>127.69</v>
      </c>
      <c r="V29" s="330">
        <v>1007</v>
      </c>
      <c r="W29" s="330">
        <v>102.74</v>
      </c>
      <c r="X29" s="330">
        <v>5</v>
      </c>
      <c r="Y29" s="330">
        <v>0</v>
      </c>
      <c r="Z29" s="330">
        <v>4</v>
      </c>
      <c r="AA29" s="330">
        <v>4</v>
      </c>
      <c r="AB29" s="330">
        <v>91</v>
      </c>
      <c r="AC29" s="330">
        <v>14</v>
      </c>
      <c r="AD29" s="334">
        <v>10504</v>
      </c>
      <c r="AE29" s="334">
        <v>60</v>
      </c>
      <c r="AF29" s="334">
        <v>18</v>
      </c>
      <c r="AG29" s="334">
        <v>78</v>
      </c>
    </row>
    <row r="30" spans="1:33" x14ac:dyDescent="0.25">
      <c r="A30" s="329" t="s">
        <v>118</v>
      </c>
      <c r="B30" s="335" t="s">
        <v>119</v>
      </c>
      <c r="C30" s="331">
        <v>12304</v>
      </c>
      <c r="D30" s="331">
        <v>47</v>
      </c>
      <c r="E30" s="331">
        <v>120</v>
      </c>
      <c r="F30" s="331">
        <v>1300</v>
      </c>
      <c r="G30" s="331">
        <v>1147</v>
      </c>
      <c r="H30" s="331">
        <v>14918</v>
      </c>
      <c r="I30" s="330">
        <v>13771</v>
      </c>
      <c r="J30" s="330">
        <v>50</v>
      </c>
      <c r="K30" s="332">
        <v>110.94</v>
      </c>
      <c r="L30" s="332">
        <v>108.44</v>
      </c>
      <c r="M30" s="332">
        <v>10.37</v>
      </c>
      <c r="N30" s="332">
        <v>120.57</v>
      </c>
      <c r="O30" s="333">
        <v>10025</v>
      </c>
      <c r="P30" s="330">
        <v>98.09</v>
      </c>
      <c r="Q30" s="330">
        <v>96.37</v>
      </c>
      <c r="R30" s="330">
        <v>28.44</v>
      </c>
      <c r="S30" s="330">
        <v>125.86</v>
      </c>
      <c r="T30" s="330">
        <v>1294</v>
      </c>
      <c r="U30" s="330">
        <v>158.01</v>
      </c>
      <c r="V30" s="330">
        <v>1329</v>
      </c>
      <c r="W30" s="330">
        <v>0</v>
      </c>
      <c r="X30" s="330">
        <v>0</v>
      </c>
      <c r="Y30" s="330">
        <v>0</v>
      </c>
      <c r="Z30" s="330">
        <v>8</v>
      </c>
      <c r="AA30" s="330">
        <v>11</v>
      </c>
      <c r="AB30" s="330">
        <v>154</v>
      </c>
      <c r="AC30" s="330">
        <v>22</v>
      </c>
      <c r="AD30" s="334">
        <v>11412</v>
      </c>
      <c r="AE30" s="334">
        <v>96</v>
      </c>
      <c r="AF30" s="334">
        <v>232</v>
      </c>
      <c r="AG30" s="334">
        <v>328</v>
      </c>
    </row>
    <row r="31" spans="1:33" x14ac:dyDescent="0.25">
      <c r="A31" s="329" t="s">
        <v>120</v>
      </c>
      <c r="B31" s="335" t="s">
        <v>121</v>
      </c>
      <c r="C31" s="331">
        <v>34143</v>
      </c>
      <c r="D31" s="331">
        <v>624</v>
      </c>
      <c r="E31" s="331">
        <v>9642</v>
      </c>
      <c r="F31" s="331">
        <v>4380</v>
      </c>
      <c r="G31" s="331">
        <v>3117</v>
      </c>
      <c r="H31" s="331">
        <v>51906</v>
      </c>
      <c r="I31" s="330">
        <v>48789</v>
      </c>
      <c r="J31" s="330">
        <v>431</v>
      </c>
      <c r="K31" s="332">
        <v>92.78</v>
      </c>
      <c r="L31" s="332">
        <v>91.78</v>
      </c>
      <c r="M31" s="332">
        <v>7.34</v>
      </c>
      <c r="N31" s="332">
        <v>98.28</v>
      </c>
      <c r="O31" s="333">
        <v>30611</v>
      </c>
      <c r="P31" s="330">
        <v>104.98</v>
      </c>
      <c r="Q31" s="330">
        <v>113.95</v>
      </c>
      <c r="R31" s="330">
        <v>94.03</v>
      </c>
      <c r="S31" s="330">
        <v>185.08</v>
      </c>
      <c r="T31" s="330">
        <v>11774</v>
      </c>
      <c r="U31" s="330">
        <v>115.1</v>
      </c>
      <c r="V31" s="330">
        <v>1479</v>
      </c>
      <c r="W31" s="330">
        <v>190.5</v>
      </c>
      <c r="X31" s="330">
        <v>120</v>
      </c>
      <c r="Y31" s="330">
        <v>30</v>
      </c>
      <c r="Z31" s="330">
        <v>21</v>
      </c>
      <c r="AA31" s="330">
        <v>48</v>
      </c>
      <c r="AB31" s="330">
        <v>33</v>
      </c>
      <c r="AC31" s="330">
        <v>140</v>
      </c>
      <c r="AD31" s="334">
        <v>32500</v>
      </c>
      <c r="AE31" s="334">
        <v>162</v>
      </c>
      <c r="AF31" s="334">
        <v>100</v>
      </c>
      <c r="AG31" s="334">
        <v>262</v>
      </c>
    </row>
    <row r="32" spans="1:33" x14ac:dyDescent="0.25">
      <c r="A32" s="329" t="s">
        <v>122</v>
      </c>
      <c r="B32" s="335" t="s">
        <v>123</v>
      </c>
      <c r="C32" s="331">
        <v>2046</v>
      </c>
      <c r="D32" s="331">
        <v>0</v>
      </c>
      <c r="E32" s="331">
        <v>109</v>
      </c>
      <c r="F32" s="331">
        <v>1377</v>
      </c>
      <c r="G32" s="331">
        <v>350</v>
      </c>
      <c r="H32" s="331">
        <v>3882</v>
      </c>
      <c r="I32" s="330">
        <v>3532</v>
      </c>
      <c r="J32" s="330">
        <v>0</v>
      </c>
      <c r="K32" s="332">
        <v>87.66</v>
      </c>
      <c r="L32" s="332">
        <v>86.95</v>
      </c>
      <c r="M32" s="332">
        <v>4.16</v>
      </c>
      <c r="N32" s="332">
        <v>89.91</v>
      </c>
      <c r="O32" s="333">
        <v>1617</v>
      </c>
      <c r="P32" s="330">
        <v>77.48</v>
      </c>
      <c r="Q32" s="330">
        <v>76.81</v>
      </c>
      <c r="R32" s="330">
        <v>19.670000000000002</v>
      </c>
      <c r="S32" s="330">
        <v>96.6</v>
      </c>
      <c r="T32" s="330">
        <v>1481</v>
      </c>
      <c r="U32" s="330">
        <v>108.59</v>
      </c>
      <c r="V32" s="330">
        <v>336</v>
      </c>
      <c r="W32" s="330">
        <v>0</v>
      </c>
      <c r="X32" s="330">
        <v>0</v>
      </c>
      <c r="Y32" s="330">
        <v>0</v>
      </c>
      <c r="Z32" s="330">
        <v>8</v>
      </c>
      <c r="AA32" s="330">
        <v>3</v>
      </c>
      <c r="AB32" s="330">
        <v>30</v>
      </c>
      <c r="AC32" s="330">
        <v>4</v>
      </c>
      <c r="AD32" s="334">
        <v>2046</v>
      </c>
      <c r="AE32" s="334">
        <v>7</v>
      </c>
      <c r="AF32" s="334">
        <v>8</v>
      </c>
      <c r="AG32" s="334">
        <v>15</v>
      </c>
    </row>
    <row r="33" spans="1:33" x14ac:dyDescent="0.25">
      <c r="A33" s="329" t="s">
        <v>124</v>
      </c>
      <c r="B33" s="335" t="s">
        <v>125</v>
      </c>
      <c r="C33" s="331">
        <v>10206</v>
      </c>
      <c r="D33" s="331">
        <v>0</v>
      </c>
      <c r="E33" s="331">
        <v>493</v>
      </c>
      <c r="F33" s="331">
        <v>793</v>
      </c>
      <c r="G33" s="331">
        <v>211</v>
      </c>
      <c r="H33" s="331">
        <v>11703</v>
      </c>
      <c r="I33" s="330">
        <v>11492</v>
      </c>
      <c r="J33" s="330">
        <v>0</v>
      </c>
      <c r="K33" s="332">
        <v>78.81</v>
      </c>
      <c r="L33" s="332">
        <v>75.27</v>
      </c>
      <c r="M33" s="332">
        <v>2.2400000000000002</v>
      </c>
      <c r="N33" s="332">
        <v>80.8</v>
      </c>
      <c r="O33" s="333">
        <v>9012</v>
      </c>
      <c r="P33" s="330">
        <v>88.38</v>
      </c>
      <c r="Q33" s="330">
        <v>72.47</v>
      </c>
      <c r="R33" s="330">
        <v>58.03</v>
      </c>
      <c r="S33" s="330">
        <v>144.96</v>
      </c>
      <c r="T33" s="330">
        <v>1078</v>
      </c>
      <c r="U33" s="330">
        <v>95.36</v>
      </c>
      <c r="V33" s="330">
        <v>1102</v>
      </c>
      <c r="W33" s="330">
        <v>132.6</v>
      </c>
      <c r="X33" s="330">
        <v>120</v>
      </c>
      <c r="Y33" s="330">
        <v>0</v>
      </c>
      <c r="Z33" s="330">
        <v>63</v>
      </c>
      <c r="AA33" s="330">
        <v>17</v>
      </c>
      <c r="AB33" s="330">
        <v>4</v>
      </c>
      <c r="AC33" s="330">
        <v>7</v>
      </c>
      <c r="AD33" s="334">
        <v>10198</v>
      </c>
      <c r="AE33" s="334">
        <v>74</v>
      </c>
      <c r="AF33" s="334">
        <v>18</v>
      </c>
      <c r="AG33" s="334">
        <v>92</v>
      </c>
    </row>
    <row r="34" spans="1:33" x14ac:dyDescent="0.25">
      <c r="A34" s="329" t="s">
        <v>126</v>
      </c>
      <c r="B34" s="335" t="s">
        <v>127</v>
      </c>
      <c r="C34" s="331">
        <v>1677</v>
      </c>
      <c r="D34" s="331">
        <v>0</v>
      </c>
      <c r="E34" s="331">
        <v>385</v>
      </c>
      <c r="F34" s="331">
        <v>199</v>
      </c>
      <c r="G34" s="331">
        <v>130</v>
      </c>
      <c r="H34" s="331">
        <v>2391</v>
      </c>
      <c r="I34" s="330">
        <v>2261</v>
      </c>
      <c r="J34" s="330">
        <v>0</v>
      </c>
      <c r="K34" s="332">
        <v>86.46</v>
      </c>
      <c r="L34" s="332">
        <v>83.82</v>
      </c>
      <c r="M34" s="332">
        <v>4.4400000000000004</v>
      </c>
      <c r="N34" s="332">
        <v>89.83</v>
      </c>
      <c r="O34" s="333">
        <v>1217</v>
      </c>
      <c r="P34" s="330">
        <v>102.97</v>
      </c>
      <c r="Q34" s="330">
        <v>83.39</v>
      </c>
      <c r="R34" s="330">
        <v>58.3</v>
      </c>
      <c r="S34" s="330">
        <v>158.51</v>
      </c>
      <c r="T34" s="330">
        <v>527</v>
      </c>
      <c r="U34" s="330">
        <v>104.57</v>
      </c>
      <c r="V34" s="330">
        <v>331</v>
      </c>
      <c r="W34" s="330">
        <v>0</v>
      </c>
      <c r="X34" s="330">
        <v>0</v>
      </c>
      <c r="Y34" s="330">
        <v>1</v>
      </c>
      <c r="Z34" s="330">
        <v>0</v>
      </c>
      <c r="AA34" s="330">
        <v>7</v>
      </c>
      <c r="AB34" s="330">
        <v>8</v>
      </c>
      <c r="AC34" s="330">
        <v>8</v>
      </c>
      <c r="AD34" s="334">
        <v>1619</v>
      </c>
      <c r="AE34" s="334">
        <v>6</v>
      </c>
      <c r="AF34" s="334">
        <v>12</v>
      </c>
      <c r="AG34" s="334">
        <v>18</v>
      </c>
    </row>
    <row r="35" spans="1:33" x14ac:dyDescent="0.25">
      <c r="A35" s="329" t="s">
        <v>128</v>
      </c>
      <c r="B35" s="335" t="s">
        <v>129</v>
      </c>
      <c r="C35" s="331">
        <v>752</v>
      </c>
      <c r="D35" s="331">
        <v>0</v>
      </c>
      <c r="E35" s="331">
        <v>56</v>
      </c>
      <c r="F35" s="331">
        <v>261</v>
      </c>
      <c r="G35" s="331">
        <v>21</v>
      </c>
      <c r="H35" s="331">
        <v>1090</v>
      </c>
      <c r="I35" s="330">
        <v>1069</v>
      </c>
      <c r="J35" s="330">
        <v>0</v>
      </c>
      <c r="K35" s="332">
        <v>89.86</v>
      </c>
      <c r="L35" s="332">
        <v>87.49</v>
      </c>
      <c r="M35" s="332">
        <v>3.46</v>
      </c>
      <c r="N35" s="332">
        <v>91.89</v>
      </c>
      <c r="O35" s="333">
        <v>654</v>
      </c>
      <c r="P35" s="330">
        <v>91.56</v>
      </c>
      <c r="Q35" s="330">
        <v>86.38</v>
      </c>
      <c r="R35" s="330">
        <v>14.75</v>
      </c>
      <c r="S35" s="330">
        <v>105.67</v>
      </c>
      <c r="T35" s="330">
        <v>300</v>
      </c>
      <c r="U35" s="330">
        <v>89.56</v>
      </c>
      <c r="V35" s="330">
        <v>63</v>
      </c>
      <c r="W35" s="330">
        <v>0</v>
      </c>
      <c r="X35" s="330">
        <v>0</v>
      </c>
      <c r="Y35" s="330">
        <v>0</v>
      </c>
      <c r="Z35" s="330">
        <v>1</v>
      </c>
      <c r="AA35" s="330">
        <v>5</v>
      </c>
      <c r="AB35" s="330">
        <v>0</v>
      </c>
      <c r="AC35" s="330">
        <v>1</v>
      </c>
      <c r="AD35" s="334">
        <v>743</v>
      </c>
      <c r="AE35" s="334">
        <v>17</v>
      </c>
      <c r="AF35" s="334">
        <v>3</v>
      </c>
      <c r="AG35" s="334">
        <v>20</v>
      </c>
    </row>
    <row r="36" spans="1:33" x14ac:dyDescent="0.25">
      <c r="A36" s="329" t="s">
        <v>130</v>
      </c>
      <c r="B36" s="335" t="s">
        <v>131</v>
      </c>
      <c r="C36" s="331">
        <v>20880</v>
      </c>
      <c r="D36" s="331">
        <v>0</v>
      </c>
      <c r="E36" s="331">
        <v>789</v>
      </c>
      <c r="F36" s="331">
        <v>3832</v>
      </c>
      <c r="G36" s="331">
        <v>405</v>
      </c>
      <c r="H36" s="331">
        <v>25906</v>
      </c>
      <c r="I36" s="330">
        <v>25501</v>
      </c>
      <c r="J36" s="330">
        <v>31</v>
      </c>
      <c r="K36" s="332">
        <v>78.02</v>
      </c>
      <c r="L36" s="332">
        <v>79.75</v>
      </c>
      <c r="M36" s="332">
        <v>8.25</v>
      </c>
      <c r="N36" s="332">
        <v>80.45</v>
      </c>
      <c r="O36" s="333">
        <v>17590</v>
      </c>
      <c r="P36" s="330">
        <v>75.31</v>
      </c>
      <c r="Q36" s="330">
        <v>71.8</v>
      </c>
      <c r="R36" s="330">
        <v>31.5</v>
      </c>
      <c r="S36" s="330">
        <v>105.96</v>
      </c>
      <c r="T36" s="330">
        <v>4524</v>
      </c>
      <c r="U36" s="330">
        <v>95.89</v>
      </c>
      <c r="V36" s="330">
        <v>3176</v>
      </c>
      <c r="W36" s="330">
        <v>183.48</v>
      </c>
      <c r="X36" s="330">
        <v>5</v>
      </c>
      <c r="Y36" s="330">
        <v>0</v>
      </c>
      <c r="Z36" s="330">
        <v>176</v>
      </c>
      <c r="AA36" s="330">
        <v>3</v>
      </c>
      <c r="AB36" s="330">
        <v>9</v>
      </c>
      <c r="AC36" s="330">
        <v>14</v>
      </c>
      <c r="AD36" s="334">
        <v>20845</v>
      </c>
      <c r="AE36" s="334">
        <v>75</v>
      </c>
      <c r="AF36" s="334">
        <v>165</v>
      </c>
      <c r="AG36" s="334">
        <v>240</v>
      </c>
    </row>
    <row r="37" spans="1:33" x14ac:dyDescent="0.25">
      <c r="A37" s="329" t="s">
        <v>132</v>
      </c>
      <c r="B37" s="335" t="s">
        <v>133</v>
      </c>
      <c r="C37" s="331">
        <v>4446</v>
      </c>
      <c r="D37" s="331">
        <v>3</v>
      </c>
      <c r="E37" s="331">
        <v>137</v>
      </c>
      <c r="F37" s="331">
        <v>930</v>
      </c>
      <c r="G37" s="331">
        <v>244</v>
      </c>
      <c r="H37" s="331">
        <v>5760</v>
      </c>
      <c r="I37" s="330">
        <v>5516</v>
      </c>
      <c r="J37" s="330">
        <v>0</v>
      </c>
      <c r="K37" s="332">
        <v>80.400000000000006</v>
      </c>
      <c r="L37" s="332">
        <v>77.650000000000006</v>
      </c>
      <c r="M37" s="332">
        <v>1.8</v>
      </c>
      <c r="N37" s="332">
        <v>82.16</v>
      </c>
      <c r="O37" s="333">
        <v>4025</v>
      </c>
      <c r="P37" s="330">
        <v>75.97</v>
      </c>
      <c r="Q37" s="330">
        <v>72.62</v>
      </c>
      <c r="R37" s="330">
        <v>19.25</v>
      </c>
      <c r="S37" s="330">
        <v>95.11</v>
      </c>
      <c r="T37" s="330">
        <v>1033</v>
      </c>
      <c r="U37" s="330">
        <v>103.22</v>
      </c>
      <c r="V37" s="330">
        <v>319</v>
      </c>
      <c r="W37" s="330">
        <v>268.58999999999997</v>
      </c>
      <c r="X37" s="330">
        <v>6</v>
      </c>
      <c r="Y37" s="330">
        <v>0</v>
      </c>
      <c r="Z37" s="330">
        <v>10</v>
      </c>
      <c r="AA37" s="330">
        <v>1</v>
      </c>
      <c r="AB37" s="330">
        <v>21</v>
      </c>
      <c r="AC37" s="330">
        <v>4</v>
      </c>
      <c r="AD37" s="334">
        <v>4410</v>
      </c>
      <c r="AE37" s="334">
        <v>4</v>
      </c>
      <c r="AF37" s="334">
        <v>13</v>
      </c>
      <c r="AG37" s="334">
        <v>17</v>
      </c>
    </row>
    <row r="38" spans="1:33" x14ac:dyDescent="0.25">
      <c r="A38" s="329" t="s">
        <v>134</v>
      </c>
      <c r="B38" s="335" t="s">
        <v>135</v>
      </c>
      <c r="C38" s="330">
        <v>6482</v>
      </c>
      <c r="D38" s="330">
        <v>19</v>
      </c>
      <c r="E38" s="330">
        <v>1241</v>
      </c>
      <c r="F38" s="330">
        <v>1268</v>
      </c>
      <c r="G38" s="330">
        <v>865</v>
      </c>
      <c r="H38" s="330">
        <v>9875</v>
      </c>
      <c r="I38" s="330">
        <v>9010</v>
      </c>
      <c r="J38" s="330">
        <v>1</v>
      </c>
      <c r="K38" s="330">
        <v>104.78</v>
      </c>
      <c r="L38" s="330">
        <v>103.33</v>
      </c>
      <c r="M38" s="330">
        <v>5.42</v>
      </c>
      <c r="N38" s="330">
        <v>108.57</v>
      </c>
      <c r="O38" s="333">
        <v>5543</v>
      </c>
      <c r="P38" s="330">
        <v>96.06</v>
      </c>
      <c r="Q38" s="330">
        <v>88.38</v>
      </c>
      <c r="R38" s="330">
        <v>38.78</v>
      </c>
      <c r="S38" s="330">
        <v>133.05000000000001</v>
      </c>
      <c r="T38" s="330">
        <v>1909</v>
      </c>
      <c r="U38" s="330">
        <v>141.81</v>
      </c>
      <c r="V38" s="330">
        <v>457</v>
      </c>
      <c r="W38" s="330">
        <v>415.58</v>
      </c>
      <c r="X38" s="330">
        <v>52</v>
      </c>
      <c r="Y38" s="330">
        <v>66</v>
      </c>
      <c r="Z38" s="330">
        <v>2</v>
      </c>
      <c r="AA38" s="330">
        <v>19</v>
      </c>
      <c r="AB38" s="330">
        <v>10</v>
      </c>
      <c r="AC38" s="330">
        <v>23</v>
      </c>
      <c r="AD38" s="330">
        <v>6020</v>
      </c>
      <c r="AE38" s="330">
        <v>16</v>
      </c>
      <c r="AF38" s="330">
        <v>13</v>
      </c>
      <c r="AG38" s="330">
        <v>29</v>
      </c>
    </row>
    <row r="39" spans="1:33" x14ac:dyDescent="0.25">
      <c r="A39" s="329" t="s">
        <v>136</v>
      </c>
      <c r="B39" s="335" t="s">
        <v>137</v>
      </c>
      <c r="C39" s="331">
        <v>7251</v>
      </c>
      <c r="D39" s="331">
        <v>4</v>
      </c>
      <c r="E39" s="331">
        <v>245</v>
      </c>
      <c r="F39" s="331">
        <v>536</v>
      </c>
      <c r="G39" s="331">
        <v>588</v>
      </c>
      <c r="H39" s="331">
        <v>8624</v>
      </c>
      <c r="I39" s="330">
        <v>8036</v>
      </c>
      <c r="J39" s="330">
        <v>5</v>
      </c>
      <c r="K39" s="332">
        <v>109.86</v>
      </c>
      <c r="L39" s="332">
        <v>109.84</v>
      </c>
      <c r="M39" s="332">
        <v>7.9</v>
      </c>
      <c r="N39" s="332">
        <v>112.36</v>
      </c>
      <c r="O39" s="333">
        <v>6739</v>
      </c>
      <c r="P39" s="330">
        <v>100.52</v>
      </c>
      <c r="Q39" s="330">
        <v>98.38</v>
      </c>
      <c r="R39" s="330">
        <v>36.42</v>
      </c>
      <c r="S39" s="330">
        <v>135.02000000000001</v>
      </c>
      <c r="T39" s="330">
        <v>776</v>
      </c>
      <c r="U39" s="330">
        <v>154.88</v>
      </c>
      <c r="V39" s="330">
        <v>435</v>
      </c>
      <c r="W39" s="330">
        <v>0</v>
      </c>
      <c r="X39" s="330">
        <v>0</v>
      </c>
      <c r="Y39" s="330">
        <v>0</v>
      </c>
      <c r="Z39" s="330">
        <v>22</v>
      </c>
      <c r="AA39" s="330">
        <v>3</v>
      </c>
      <c r="AB39" s="330">
        <v>48</v>
      </c>
      <c r="AC39" s="330">
        <v>13</v>
      </c>
      <c r="AD39" s="334">
        <v>7223</v>
      </c>
      <c r="AE39" s="334">
        <v>16</v>
      </c>
      <c r="AF39" s="334">
        <v>66</v>
      </c>
      <c r="AG39" s="334">
        <v>82</v>
      </c>
    </row>
    <row r="40" spans="1:33" x14ac:dyDescent="0.25">
      <c r="A40" s="329" t="s">
        <v>138</v>
      </c>
      <c r="B40" s="335" t="s">
        <v>139</v>
      </c>
      <c r="C40" s="331">
        <v>27542</v>
      </c>
      <c r="D40" s="331">
        <v>149</v>
      </c>
      <c r="E40" s="331">
        <v>1272</v>
      </c>
      <c r="F40" s="331">
        <v>2907</v>
      </c>
      <c r="G40" s="331">
        <v>589</v>
      </c>
      <c r="H40" s="331">
        <v>32459</v>
      </c>
      <c r="I40" s="330">
        <v>31870</v>
      </c>
      <c r="J40" s="330">
        <v>156</v>
      </c>
      <c r="K40" s="332">
        <v>79.14</v>
      </c>
      <c r="L40" s="332">
        <v>78.680000000000007</v>
      </c>
      <c r="M40" s="332">
        <v>5.76</v>
      </c>
      <c r="N40" s="332">
        <v>84.63</v>
      </c>
      <c r="O40" s="333">
        <v>25044</v>
      </c>
      <c r="P40" s="330">
        <v>81.31</v>
      </c>
      <c r="Q40" s="330">
        <v>77.099999999999994</v>
      </c>
      <c r="R40" s="330">
        <v>35.950000000000003</v>
      </c>
      <c r="S40" s="330">
        <v>116.91</v>
      </c>
      <c r="T40" s="330">
        <v>3476</v>
      </c>
      <c r="U40" s="330">
        <v>98.97</v>
      </c>
      <c r="V40" s="330">
        <v>2563</v>
      </c>
      <c r="W40" s="330">
        <v>154.30000000000001</v>
      </c>
      <c r="X40" s="330">
        <v>83</v>
      </c>
      <c r="Y40" s="330">
        <v>0</v>
      </c>
      <c r="Z40" s="330">
        <v>124</v>
      </c>
      <c r="AA40" s="330">
        <v>25</v>
      </c>
      <c r="AB40" s="330">
        <v>0</v>
      </c>
      <c r="AC40" s="330">
        <v>12</v>
      </c>
      <c r="AD40" s="334">
        <v>27526</v>
      </c>
      <c r="AE40" s="334">
        <v>241</v>
      </c>
      <c r="AF40" s="334">
        <v>414</v>
      </c>
      <c r="AG40" s="334">
        <v>655</v>
      </c>
    </row>
    <row r="41" spans="1:33" x14ac:dyDescent="0.25">
      <c r="A41" s="329" t="s">
        <v>140</v>
      </c>
      <c r="B41" s="335" t="s">
        <v>141</v>
      </c>
      <c r="C41" s="331">
        <v>9499</v>
      </c>
      <c r="D41" s="331">
        <v>33</v>
      </c>
      <c r="E41" s="331">
        <v>299</v>
      </c>
      <c r="F41" s="331">
        <v>713</v>
      </c>
      <c r="G41" s="331">
        <v>263</v>
      </c>
      <c r="H41" s="331">
        <v>10807</v>
      </c>
      <c r="I41" s="330">
        <v>10544</v>
      </c>
      <c r="J41" s="330">
        <v>0</v>
      </c>
      <c r="K41" s="332">
        <v>96.87</v>
      </c>
      <c r="L41" s="332">
        <v>97.18</v>
      </c>
      <c r="M41" s="332">
        <v>4.3</v>
      </c>
      <c r="N41" s="332">
        <v>97.96</v>
      </c>
      <c r="O41" s="333">
        <v>8823</v>
      </c>
      <c r="P41" s="330">
        <v>89.14</v>
      </c>
      <c r="Q41" s="330">
        <v>82.96</v>
      </c>
      <c r="R41" s="330">
        <v>39.5</v>
      </c>
      <c r="S41" s="330">
        <v>127.33</v>
      </c>
      <c r="T41" s="330">
        <v>847</v>
      </c>
      <c r="U41" s="330">
        <v>131.78</v>
      </c>
      <c r="V41" s="330">
        <v>623</v>
      </c>
      <c r="W41" s="330">
        <v>137.38999999999999</v>
      </c>
      <c r="X41" s="330">
        <v>25</v>
      </c>
      <c r="Y41" s="330">
        <v>0</v>
      </c>
      <c r="Z41" s="330">
        <v>24</v>
      </c>
      <c r="AA41" s="330">
        <v>5</v>
      </c>
      <c r="AB41" s="330">
        <v>12</v>
      </c>
      <c r="AC41" s="330">
        <v>6</v>
      </c>
      <c r="AD41" s="334">
        <v>9487</v>
      </c>
      <c r="AE41" s="334">
        <v>6</v>
      </c>
      <c r="AF41" s="334">
        <v>45</v>
      </c>
      <c r="AG41" s="334">
        <v>51</v>
      </c>
    </row>
    <row r="42" spans="1:33" x14ac:dyDescent="0.25">
      <c r="A42" s="329" t="s">
        <v>142</v>
      </c>
      <c r="B42" s="335" t="s">
        <v>143</v>
      </c>
      <c r="C42" s="331">
        <v>7203</v>
      </c>
      <c r="D42" s="331">
        <v>0</v>
      </c>
      <c r="E42" s="331">
        <v>211</v>
      </c>
      <c r="F42" s="331">
        <v>1020</v>
      </c>
      <c r="G42" s="331">
        <v>208</v>
      </c>
      <c r="H42" s="331">
        <v>8642</v>
      </c>
      <c r="I42" s="330">
        <v>8434</v>
      </c>
      <c r="J42" s="330">
        <v>1</v>
      </c>
      <c r="K42" s="332">
        <v>89.41</v>
      </c>
      <c r="L42" s="332">
        <v>89.42</v>
      </c>
      <c r="M42" s="332">
        <v>2.97</v>
      </c>
      <c r="N42" s="332">
        <v>90.1</v>
      </c>
      <c r="O42" s="333">
        <v>6736</v>
      </c>
      <c r="P42" s="330">
        <v>80.959999999999994</v>
      </c>
      <c r="Q42" s="330">
        <v>78.94</v>
      </c>
      <c r="R42" s="330">
        <v>24.53</v>
      </c>
      <c r="S42" s="330">
        <v>104.52</v>
      </c>
      <c r="T42" s="330">
        <v>1193</v>
      </c>
      <c r="U42" s="330">
        <v>112.4</v>
      </c>
      <c r="V42" s="330">
        <v>434</v>
      </c>
      <c r="W42" s="330">
        <v>0</v>
      </c>
      <c r="X42" s="330">
        <v>0</v>
      </c>
      <c r="Y42" s="330">
        <v>0</v>
      </c>
      <c r="Z42" s="330">
        <v>4</v>
      </c>
      <c r="AA42" s="330">
        <v>2</v>
      </c>
      <c r="AB42" s="330">
        <v>9</v>
      </c>
      <c r="AC42" s="330">
        <v>6</v>
      </c>
      <c r="AD42" s="334">
        <v>7199</v>
      </c>
      <c r="AE42" s="334">
        <v>27</v>
      </c>
      <c r="AF42" s="334">
        <v>15</v>
      </c>
      <c r="AG42" s="334">
        <v>42</v>
      </c>
    </row>
    <row r="43" spans="1:33" x14ac:dyDescent="0.25">
      <c r="A43" s="329" t="s">
        <v>144</v>
      </c>
      <c r="B43" s="335" t="s">
        <v>145</v>
      </c>
      <c r="C43" s="331">
        <v>15238</v>
      </c>
      <c r="D43" s="331">
        <v>668</v>
      </c>
      <c r="E43" s="331">
        <v>1059</v>
      </c>
      <c r="F43" s="331">
        <v>970</v>
      </c>
      <c r="G43" s="331">
        <v>2286</v>
      </c>
      <c r="H43" s="331">
        <v>20221</v>
      </c>
      <c r="I43" s="330">
        <v>17935</v>
      </c>
      <c r="J43" s="330">
        <v>138</v>
      </c>
      <c r="K43" s="332">
        <v>137.03</v>
      </c>
      <c r="L43" s="332">
        <v>129.26</v>
      </c>
      <c r="M43" s="332">
        <v>9.4</v>
      </c>
      <c r="N43" s="332">
        <v>143.37</v>
      </c>
      <c r="O43" s="333">
        <v>12264</v>
      </c>
      <c r="P43" s="330">
        <v>114.34</v>
      </c>
      <c r="Q43" s="330">
        <v>99.56</v>
      </c>
      <c r="R43" s="330">
        <v>57.24</v>
      </c>
      <c r="S43" s="330">
        <v>156.76</v>
      </c>
      <c r="T43" s="330">
        <v>1803</v>
      </c>
      <c r="U43" s="330">
        <v>203.81</v>
      </c>
      <c r="V43" s="330">
        <v>1344</v>
      </c>
      <c r="W43" s="330">
        <v>194.31</v>
      </c>
      <c r="X43" s="330">
        <v>40</v>
      </c>
      <c r="Y43" s="330">
        <v>0</v>
      </c>
      <c r="Z43" s="330">
        <v>7</v>
      </c>
      <c r="AA43" s="330">
        <v>15</v>
      </c>
      <c r="AB43" s="330">
        <v>57</v>
      </c>
      <c r="AC43" s="330">
        <v>79</v>
      </c>
      <c r="AD43" s="334">
        <v>13797</v>
      </c>
      <c r="AE43" s="334">
        <v>50</v>
      </c>
      <c r="AF43" s="334">
        <v>30</v>
      </c>
      <c r="AG43" s="334">
        <v>80</v>
      </c>
    </row>
    <row r="44" spans="1:33" x14ac:dyDescent="0.25">
      <c r="A44" s="329" t="s">
        <v>146</v>
      </c>
      <c r="B44" s="335" t="s">
        <v>147</v>
      </c>
      <c r="C44" s="331">
        <v>759</v>
      </c>
      <c r="D44" s="331">
        <v>7</v>
      </c>
      <c r="E44" s="331">
        <v>114</v>
      </c>
      <c r="F44" s="331">
        <v>169</v>
      </c>
      <c r="G44" s="331">
        <v>175</v>
      </c>
      <c r="H44" s="331">
        <v>1224</v>
      </c>
      <c r="I44" s="330">
        <v>1049</v>
      </c>
      <c r="J44" s="330">
        <v>1</v>
      </c>
      <c r="K44" s="332">
        <v>118.3</v>
      </c>
      <c r="L44" s="332">
        <v>117.34</v>
      </c>
      <c r="M44" s="332">
        <v>7.91</v>
      </c>
      <c r="N44" s="332">
        <v>124.28</v>
      </c>
      <c r="O44" s="333">
        <v>513</v>
      </c>
      <c r="P44" s="330">
        <v>94.9</v>
      </c>
      <c r="Q44" s="330">
        <v>93.22</v>
      </c>
      <c r="R44" s="330">
        <v>49.47</v>
      </c>
      <c r="S44" s="330">
        <v>137.04</v>
      </c>
      <c r="T44" s="330">
        <v>277</v>
      </c>
      <c r="U44" s="330">
        <v>143.12</v>
      </c>
      <c r="V44" s="330">
        <v>98</v>
      </c>
      <c r="W44" s="330">
        <v>0</v>
      </c>
      <c r="X44" s="330">
        <v>0</v>
      </c>
      <c r="Y44" s="330">
        <v>0</v>
      </c>
      <c r="Z44" s="330">
        <v>0</v>
      </c>
      <c r="AA44" s="330">
        <v>0</v>
      </c>
      <c r="AB44" s="330">
        <v>11</v>
      </c>
      <c r="AC44" s="330">
        <v>4</v>
      </c>
      <c r="AD44" s="334">
        <v>614</v>
      </c>
      <c r="AE44" s="334">
        <v>3</v>
      </c>
      <c r="AF44" s="334">
        <v>0</v>
      </c>
      <c r="AG44" s="334">
        <v>3</v>
      </c>
    </row>
    <row r="45" spans="1:33" x14ac:dyDescent="0.25">
      <c r="A45" s="329" t="s">
        <v>148</v>
      </c>
      <c r="B45" s="335" t="s">
        <v>149</v>
      </c>
      <c r="C45" s="331">
        <v>5040</v>
      </c>
      <c r="D45" s="331">
        <v>68</v>
      </c>
      <c r="E45" s="331">
        <v>1071</v>
      </c>
      <c r="F45" s="331">
        <v>818</v>
      </c>
      <c r="G45" s="331">
        <v>813</v>
      </c>
      <c r="H45" s="331">
        <v>7810</v>
      </c>
      <c r="I45" s="330">
        <v>6997</v>
      </c>
      <c r="J45" s="330">
        <v>11</v>
      </c>
      <c r="K45" s="332">
        <v>100.11</v>
      </c>
      <c r="L45" s="332">
        <v>94.18</v>
      </c>
      <c r="M45" s="332">
        <v>10.5</v>
      </c>
      <c r="N45" s="332">
        <v>108.3</v>
      </c>
      <c r="O45" s="333">
        <v>4310</v>
      </c>
      <c r="P45" s="330">
        <v>95.06</v>
      </c>
      <c r="Q45" s="330">
        <v>85.4</v>
      </c>
      <c r="R45" s="330">
        <v>57.21</v>
      </c>
      <c r="S45" s="330">
        <v>151.11000000000001</v>
      </c>
      <c r="T45" s="330">
        <v>1087</v>
      </c>
      <c r="U45" s="330">
        <v>160.26</v>
      </c>
      <c r="V45" s="330">
        <v>429</v>
      </c>
      <c r="W45" s="330">
        <v>0</v>
      </c>
      <c r="X45" s="330">
        <v>0</v>
      </c>
      <c r="Y45" s="330">
        <v>0</v>
      </c>
      <c r="Z45" s="330">
        <v>18</v>
      </c>
      <c r="AA45" s="330">
        <v>1</v>
      </c>
      <c r="AB45" s="330">
        <v>3</v>
      </c>
      <c r="AC45" s="330">
        <v>30</v>
      </c>
      <c r="AD45" s="334">
        <v>4781</v>
      </c>
      <c r="AE45" s="334">
        <v>17</v>
      </c>
      <c r="AF45" s="334">
        <v>12</v>
      </c>
      <c r="AG45" s="334">
        <v>29</v>
      </c>
    </row>
    <row r="46" spans="1:33" x14ac:dyDescent="0.25">
      <c r="A46" s="329" t="s">
        <v>150</v>
      </c>
      <c r="B46" s="335" t="s">
        <v>151</v>
      </c>
      <c r="C46" s="331">
        <v>8516</v>
      </c>
      <c r="D46" s="331">
        <v>24</v>
      </c>
      <c r="E46" s="331">
        <v>1569</v>
      </c>
      <c r="F46" s="331">
        <v>2028</v>
      </c>
      <c r="G46" s="331">
        <v>1050</v>
      </c>
      <c r="H46" s="331">
        <v>13187</v>
      </c>
      <c r="I46" s="330">
        <v>12137</v>
      </c>
      <c r="J46" s="330">
        <v>94</v>
      </c>
      <c r="K46" s="332">
        <v>97.96</v>
      </c>
      <c r="L46" s="332">
        <v>96.32</v>
      </c>
      <c r="M46" s="332">
        <v>8.66</v>
      </c>
      <c r="N46" s="332">
        <v>104.15</v>
      </c>
      <c r="O46" s="333">
        <v>6958</v>
      </c>
      <c r="P46" s="330">
        <v>89.88</v>
      </c>
      <c r="Q46" s="330">
        <v>87.73</v>
      </c>
      <c r="R46" s="330">
        <v>38.130000000000003</v>
      </c>
      <c r="S46" s="330">
        <v>127.47</v>
      </c>
      <c r="T46" s="330">
        <v>2986</v>
      </c>
      <c r="U46" s="330">
        <v>129.32</v>
      </c>
      <c r="V46" s="330">
        <v>952</v>
      </c>
      <c r="W46" s="330">
        <v>121.08</v>
      </c>
      <c r="X46" s="330">
        <v>11</v>
      </c>
      <c r="Y46" s="330">
        <v>0</v>
      </c>
      <c r="Z46" s="330">
        <v>5</v>
      </c>
      <c r="AA46" s="330">
        <v>12</v>
      </c>
      <c r="AB46" s="330">
        <v>54</v>
      </c>
      <c r="AC46" s="330">
        <v>45</v>
      </c>
      <c r="AD46" s="334">
        <v>8177</v>
      </c>
      <c r="AE46" s="334">
        <v>17</v>
      </c>
      <c r="AF46" s="334">
        <v>24</v>
      </c>
      <c r="AG46" s="334">
        <v>41</v>
      </c>
    </row>
    <row r="47" spans="1:33" x14ac:dyDescent="0.25">
      <c r="A47" s="329" t="s">
        <v>152</v>
      </c>
      <c r="B47" s="335" t="s">
        <v>153</v>
      </c>
      <c r="C47" s="331">
        <v>4625</v>
      </c>
      <c r="D47" s="331">
        <v>2</v>
      </c>
      <c r="E47" s="331">
        <v>168</v>
      </c>
      <c r="F47" s="331">
        <v>554</v>
      </c>
      <c r="G47" s="331">
        <v>323</v>
      </c>
      <c r="H47" s="331">
        <v>5672</v>
      </c>
      <c r="I47" s="330">
        <v>5349</v>
      </c>
      <c r="J47" s="330">
        <v>1</v>
      </c>
      <c r="K47" s="332">
        <v>93.64</v>
      </c>
      <c r="L47" s="332">
        <v>92.01</v>
      </c>
      <c r="M47" s="332">
        <v>2.68</v>
      </c>
      <c r="N47" s="332">
        <v>93.99</v>
      </c>
      <c r="O47" s="333">
        <v>3696</v>
      </c>
      <c r="P47" s="330">
        <v>90.57</v>
      </c>
      <c r="Q47" s="330">
        <v>84.12</v>
      </c>
      <c r="R47" s="330">
        <v>65.22</v>
      </c>
      <c r="S47" s="330">
        <v>99.81</v>
      </c>
      <c r="T47" s="330">
        <v>720</v>
      </c>
      <c r="U47" s="330">
        <v>108.37</v>
      </c>
      <c r="V47" s="330">
        <v>883</v>
      </c>
      <c r="W47" s="330">
        <v>0</v>
      </c>
      <c r="X47" s="330">
        <v>0</v>
      </c>
      <c r="Y47" s="330">
        <v>0</v>
      </c>
      <c r="Z47" s="330">
        <v>2</v>
      </c>
      <c r="AA47" s="330">
        <v>9</v>
      </c>
      <c r="AB47" s="330">
        <v>19</v>
      </c>
      <c r="AC47" s="330">
        <v>7</v>
      </c>
      <c r="AD47" s="334">
        <v>4625</v>
      </c>
      <c r="AE47" s="334">
        <v>3</v>
      </c>
      <c r="AF47" s="334">
        <v>2</v>
      </c>
      <c r="AG47" s="334">
        <v>5</v>
      </c>
    </row>
    <row r="48" spans="1:33" x14ac:dyDescent="0.25">
      <c r="A48" s="329" t="s">
        <v>154</v>
      </c>
      <c r="B48" s="335" t="s">
        <v>155</v>
      </c>
      <c r="C48" s="331">
        <v>16139</v>
      </c>
      <c r="D48" s="331">
        <v>116</v>
      </c>
      <c r="E48" s="331">
        <v>622</v>
      </c>
      <c r="F48" s="331">
        <v>2082</v>
      </c>
      <c r="G48" s="331">
        <v>959</v>
      </c>
      <c r="H48" s="331">
        <v>19918</v>
      </c>
      <c r="I48" s="330">
        <v>18959</v>
      </c>
      <c r="J48" s="330">
        <v>38</v>
      </c>
      <c r="K48" s="332">
        <v>116.96</v>
      </c>
      <c r="L48" s="332">
        <v>115.17</v>
      </c>
      <c r="M48" s="332">
        <v>12.34</v>
      </c>
      <c r="N48" s="332">
        <v>123.96</v>
      </c>
      <c r="O48" s="333">
        <v>13586</v>
      </c>
      <c r="P48" s="330">
        <v>108.66</v>
      </c>
      <c r="Q48" s="330">
        <v>104.59</v>
      </c>
      <c r="R48" s="330">
        <v>42.31</v>
      </c>
      <c r="S48" s="330">
        <v>148.82</v>
      </c>
      <c r="T48" s="330">
        <v>2191</v>
      </c>
      <c r="U48" s="330">
        <v>170.25</v>
      </c>
      <c r="V48" s="330">
        <v>1714</v>
      </c>
      <c r="W48" s="330">
        <v>0</v>
      </c>
      <c r="X48" s="330">
        <v>0</v>
      </c>
      <c r="Y48" s="330">
        <v>0</v>
      </c>
      <c r="Z48" s="330">
        <v>2</v>
      </c>
      <c r="AA48" s="330">
        <v>29</v>
      </c>
      <c r="AB48" s="330">
        <v>12</v>
      </c>
      <c r="AC48" s="330">
        <v>11</v>
      </c>
      <c r="AD48" s="334">
        <v>15346</v>
      </c>
      <c r="AE48" s="334">
        <v>13</v>
      </c>
      <c r="AF48" s="334">
        <v>63</v>
      </c>
      <c r="AG48" s="334">
        <v>76</v>
      </c>
    </row>
    <row r="49" spans="1:33" x14ac:dyDescent="0.25">
      <c r="A49" s="329" t="s">
        <v>156</v>
      </c>
      <c r="B49" s="335" t="s">
        <v>157</v>
      </c>
      <c r="C49" s="331">
        <v>3324</v>
      </c>
      <c r="D49" s="331">
        <v>0</v>
      </c>
      <c r="E49" s="331">
        <v>71</v>
      </c>
      <c r="F49" s="331">
        <v>997</v>
      </c>
      <c r="G49" s="331">
        <v>376</v>
      </c>
      <c r="H49" s="331">
        <v>4768</v>
      </c>
      <c r="I49" s="330">
        <v>4392</v>
      </c>
      <c r="J49" s="330">
        <v>0</v>
      </c>
      <c r="K49" s="332">
        <v>91.75</v>
      </c>
      <c r="L49" s="332">
        <v>88.16</v>
      </c>
      <c r="M49" s="332">
        <v>4</v>
      </c>
      <c r="N49" s="332">
        <v>93.96</v>
      </c>
      <c r="O49" s="333">
        <v>2950</v>
      </c>
      <c r="P49" s="330">
        <v>83.98</v>
      </c>
      <c r="Q49" s="330">
        <v>85.31</v>
      </c>
      <c r="R49" s="330">
        <v>23.84</v>
      </c>
      <c r="S49" s="330">
        <v>107.57</v>
      </c>
      <c r="T49" s="330">
        <v>1026</v>
      </c>
      <c r="U49" s="330">
        <v>114.87</v>
      </c>
      <c r="V49" s="330">
        <v>326</v>
      </c>
      <c r="W49" s="330">
        <v>0</v>
      </c>
      <c r="X49" s="330">
        <v>0</v>
      </c>
      <c r="Y49" s="330">
        <v>0</v>
      </c>
      <c r="Z49" s="330">
        <v>12</v>
      </c>
      <c r="AA49" s="330">
        <v>3</v>
      </c>
      <c r="AB49" s="330">
        <v>25</v>
      </c>
      <c r="AC49" s="330">
        <v>11</v>
      </c>
      <c r="AD49" s="334">
        <v>3324</v>
      </c>
      <c r="AE49" s="334">
        <v>16</v>
      </c>
      <c r="AF49" s="334">
        <v>1</v>
      </c>
      <c r="AG49" s="334">
        <v>17</v>
      </c>
    </row>
    <row r="50" spans="1:33" x14ac:dyDescent="0.25">
      <c r="A50" s="329" t="s">
        <v>158</v>
      </c>
      <c r="B50" s="335" t="s">
        <v>159</v>
      </c>
      <c r="C50" s="331">
        <v>4756</v>
      </c>
      <c r="D50" s="331">
        <v>0</v>
      </c>
      <c r="E50" s="331">
        <v>125</v>
      </c>
      <c r="F50" s="331">
        <v>405</v>
      </c>
      <c r="G50" s="331">
        <v>374</v>
      </c>
      <c r="H50" s="331">
        <v>5660</v>
      </c>
      <c r="I50" s="330">
        <v>5286</v>
      </c>
      <c r="J50" s="330">
        <v>3</v>
      </c>
      <c r="K50" s="332">
        <v>114.14</v>
      </c>
      <c r="L50" s="332">
        <v>110.97</v>
      </c>
      <c r="M50" s="332">
        <v>6.26</v>
      </c>
      <c r="N50" s="332">
        <v>117.77</v>
      </c>
      <c r="O50" s="333">
        <v>4043</v>
      </c>
      <c r="P50" s="330">
        <v>100.46</v>
      </c>
      <c r="Q50" s="330">
        <v>93.7</v>
      </c>
      <c r="R50" s="330">
        <v>32.85</v>
      </c>
      <c r="S50" s="330">
        <v>133.31</v>
      </c>
      <c r="T50" s="330">
        <v>520</v>
      </c>
      <c r="U50" s="330">
        <v>163.01</v>
      </c>
      <c r="V50" s="330">
        <v>695</v>
      </c>
      <c r="W50" s="330">
        <v>0</v>
      </c>
      <c r="X50" s="330">
        <v>0</v>
      </c>
      <c r="Y50" s="330">
        <v>0</v>
      </c>
      <c r="Z50" s="330">
        <v>10</v>
      </c>
      <c r="AA50" s="330">
        <v>1</v>
      </c>
      <c r="AB50" s="330">
        <v>11</v>
      </c>
      <c r="AC50" s="330">
        <v>5</v>
      </c>
      <c r="AD50" s="334">
        <v>4756</v>
      </c>
      <c r="AE50" s="334">
        <v>9</v>
      </c>
      <c r="AF50" s="334">
        <v>31</v>
      </c>
      <c r="AG50" s="334">
        <v>40</v>
      </c>
    </row>
    <row r="51" spans="1:33" x14ac:dyDescent="0.25">
      <c r="A51" s="329" t="s">
        <v>160</v>
      </c>
      <c r="B51" s="335" t="s">
        <v>161</v>
      </c>
      <c r="C51" s="331">
        <v>1086</v>
      </c>
      <c r="D51" s="331">
        <v>0</v>
      </c>
      <c r="E51" s="331">
        <v>94</v>
      </c>
      <c r="F51" s="331">
        <v>108</v>
      </c>
      <c r="G51" s="331">
        <v>82</v>
      </c>
      <c r="H51" s="331">
        <v>1370</v>
      </c>
      <c r="I51" s="330">
        <v>1288</v>
      </c>
      <c r="J51" s="330">
        <v>1</v>
      </c>
      <c r="K51" s="332">
        <v>80.83</v>
      </c>
      <c r="L51" s="332">
        <v>78.569999999999993</v>
      </c>
      <c r="M51" s="332">
        <v>7.23</v>
      </c>
      <c r="N51" s="332">
        <v>86.74</v>
      </c>
      <c r="O51" s="333">
        <v>924</v>
      </c>
      <c r="P51" s="330">
        <v>88.53</v>
      </c>
      <c r="Q51" s="330">
        <v>72.33</v>
      </c>
      <c r="R51" s="330">
        <v>54.47</v>
      </c>
      <c r="S51" s="330">
        <v>139.88999999999999</v>
      </c>
      <c r="T51" s="330">
        <v>175</v>
      </c>
      <c r="U51" s="330">
        <v>95.31</v>
      </c>
      <c r="V51" s="330">
        <v>148</v>
      </c>
      <c r="W51" s="330">
        <v>172.13</v>
      </c>
      <c r="X51" s="330">
        <v>27</v>
      </c>
      <c r="Y51" s="330">
        <v>0</v>
      </c>
      <c r="Z51" s="330">
        <v>0</v>
      </c>
      <c r="AA51" s="330">
        <v>13</v>
      </c>
      <c r="AB51" s="330">
        <v>2</v>
      </c>
      <c r="AC51" s="330">
        <v>4</v>
      </c>
      <c r="AD51" s="334">
        <v>1086</v>
      </c>
      <c r="AE51" s="334">
        <v>10</v>
      </c>
      <c r="AF51" s="334">
        <v>4</v>
      </c>
      <c r="AG51" s="334">
        <v>14</v>
      </c>
    </row>
    <row r="52" spans="1:33" ht="14.5" x14ac:dyDescent="0.35">
      <c r="A52" s="336" t="s">
        <v>775</v>
      </c>
      <c r="B52" s="336" t="s">
        <v>770</v>
      </c>
      <c r="C52" s="330">
        <v>24514</v>
      </c>
      <c r="D52" s="330">
        <v>23</v>
      </c>
      <c r="E52" s="330">
        <v>917</v>
      </c>
      <c r="F52" s="330">
        <v>3294</v>
      </c>
      <c r="G52" s="330">
        <v>2194</v>
      </c>
      <c r="H52" s="330">
        <v>30942</v>
      </c>
      <c r="I52" s="330">
        <v>28748</v>
      </c>
      <c r="J52" s="330">
        <v>42</v>
      </c>
      <c r="K52" s="337">
        <v>110.84</v>
      </c>
      <c r="L52" s="337">
        <v>110.79</v>
      </c>
      <c r="M52" s="337">
        <v>4.84</v>
      </c>
      <c r="N52" s="337">
        <v>113.97</v>
      </c>
      <c r="O52" s="330">
        <v>21311</v>
      </c>
      <c r="P52" s="337">
        <v>102.33</v>
      </c>
      <c r="Q52" s="337">
        <v>99.06</v>
      </c>
      <c r="R52" s="337">
        <v>30.18</v>
      </c>
      <c r="S52" s="337">
        <v>129.82</v>
      </c>
      <c r="T52" s="330">
        <v>3918</v>
      </c>
      <c r="U52" s="337">
        <v>157.52000000000001</v>
      </c>
      <c r="V52" s="330">
        <v>2806</v>
      </c>
      <c r="W52" s="337">
        <v>154.83000000000001</v>
      </c>
      <c r="X52" s="330">
        <v>9</v>
      </c>
      <c r="Y52" s="330">
        <v>0</v>
      </c>
      <c r="Z52" s="330">
        <v>52</v>
      </c>
      <c r="AA52" s="330">
        <v>16</v>
      </c>
      <c r="AB52" s="330">
        <v>100</v>
      </c>
      <c r="AC52" s="330">
        <v>35</v>
      </c>
      <c r="AD52" s="330">
        <v>24172</v>
      </c>
      <c r="AE52" s="330">
        <v>91</v>
      </c>
      <c r="AF52" s="330">
        <v>154</v>
      </c>
      <c r="AG52" s="330">
        <v>245</v>
      </c>
    </row>
    <row r="53" spans="1:33" x14ac:dyDescent="0.25">
      <c r="A53" s="329" t="s">
        <v>162</v>
      </c>
      <c r="B53" s="335" t="s">
        <v>163</v>
      </c>
      <c r="C53" s="331">
        <v>4292</v>
      </c>
      <c r="D53" s="331">
        <v>0</v>
      </c>
      <c r="E53" s="331">
        <v>265</v>
      </c>
      <c r="F53" s="331">
        <v>1435</v>
      </c>
      <c r="G53" s="331">
        <v>12</v>
      </c>
      <c r="H53" s="331">
        <v>6004</v>
      </c>
      <c r="I53" s="330">
        <v>5992</v>
      </c>
      <c r="J53" s="330">
        <v>10</v>
      </c>
      <c r="K53" s="332">
        <v>80.849999999999994</v>
      </c>
      <c r="L53" s="332">
        <v>77.58</v>
      </c>
      <c r="M53" s="332">
        <v>2.4900000000000002</v>
      </c>
      <c r="N53" s="332">
        <v>83.12</v>
      </c>
      <c r="O53" s="333">
        <v>3917</v>
      </c>
      <c r="P53" s="330">
        <v>81.069999999999993</v>
      </c>
      <c r="Q53" s="330">
        <v>70.38</v>
      </c>
      <c r="R53" s="330">
        <v>19.36</v>
      </c>
      <c r="S53" s="330">
        <v>100.02</v>
      </c>
      <c r="T53" s="330">
        <v>1552</v>
      </c>
      <c r="U53" s="330">
        <v>96.77</v>
      </c>
      <c r="V53" s="330">
        <v>347</v>
      </c>
      <c r="W53" s="330">
        <v>244.69</v>
      </c>
      <c r="X53" s="330">
        <v>29</v>
      </c>
      <c r="Y53" s="330">
        <v>0</v>
      </c>
      <c r="Z53" s="330">
        <v>29</v>
      </c>
      <c r="AA53" s="330">
        <v>5</v>
      </c>
      <c r="AB53" s="330">
        <v>0</v>
      </c>
      <c r="AC53" s="330">
        <v>0</v>
      </c>
      <c r="AD53" s="334">
        <v>4270</v>
      </c>
      <c r="AE53" s="334">
        <v>68</v>
      </c>
      <c r="AF53" s="334">
        <v>23</v>
      </c>
      <c r="AG53" s="334">
        <v>91</v>
      </c>
    </row>
    <row r="54" spans="1:33" x14ac:dyDescent="0.25">
      <c r="A54" s="329" t="s">
        <v>164</v>
      </c>
      <c r="B54" s="335" t="s">
        <v>165</v>
      </c>
      <c r="C54" s="331">
        <v>3831</v>
      </c>
      <c r="D54" s="331">
        <v>0</v>
      </c>
      <c r="E54" s="331">
        <v>374</v>
      </c>
      <c r="F54" s="331">
        <v>568</v>
      </c>
      <c r="G54" s="331">
        <v>176</v>
      </c>
      <c r="H54" s="331">
        <v>4949</v>
      </c>
      <c r="I54" s="330">
        <v>4773</v>
      </c>
      <c r="J54" s="330">
        <v>12</v>
      </c>
      <c r="K54" s="332">
        <v>82.34</v>
      </c>
      <c r="L54" s="332">
        <v>81.83</v>
      </c>
      <c r="M54" s="332">
        <v>6.35</v>
      </c>
      <c r="N54" s="332">
        <v>86.11</v>
      </c>
      <c r="O54" s="333">
        <v>3135</v>
      </c>
      <c r="P54" s="330">
        <v>88.08</v>
      </c>
      <c r="Q54" s="330">
        <v>79.34</v>
      </c>
      <c r="R54" s="330">
        <v>32.71</v>
      </c>
      <c r="S54" s="330">
        <v>118.02</v>
      </c>
      <c r="T54" s="330">
        <v>730</v>
      </c>
      <c r="U54" s="330">
        <v>103.65</v>
      </c>
      <c r="V54" s="330">
        <v>409</v>
      </c>
      <c r="W54" s="330">
        <v>125.6</v>
      </c>
      <c r="X54" s="330">
        <v>17</v>
      </c>
      <c r="Y54" s="330">
        <v>0</v>
      </c>
      <c r="Z54" s="330">
        <v>6</v>
      </c>
      <c r="AA54" s="330">
        <v>7</v>
      </c>
      <c r="AB54" s="330">
        <v>20</v>
      </c>
      <c r="AC54" s="330">
        <v>1</v>
      </c>
      <c r="AD54" s="334">
        <v>3509</v>
      </c>
      <c r="AE54" s="334">
        <v>18</v>
      </c>
      <c r="AF54" s="334">
        <v>10</v>
      </c>
      <c r="AG54" s="334">
        <v>28</v>
      </c>
    </row>
    <row r="55" spans="1:33" x14ac:dyDescent="0.25">
      <c r="A55" s="329" t="s">
        <v>166</v>
      </c>
      <c r="B55" s="335" t="s">
        <v>167</v>
      </c>
      <c r="C55" s="331">
        <v>12916</v>
      </c>
      <c r="D55" s="331">
        <v>0</v>
      </c>
      <c r="E55" s="331">
        <v>230</v>
      </c>
      <c r="F55" s="331">
        <v>925</v>
      </c>
      <c r="G55" s="331">
        <v>238</v>
      </c>
      <c r="H55" s="331">
        <v>14309</v>
      </c>
      <c r="I55" s="330">
        <v>14071</v>
      </c>
      <c r="J55" s="330">
        <v>13</v>
      </c>
      <c r="K55" s="332">
        <v>77.92</v>
      </c>
      <c r="L55" s="332">
        <v>76.62</v>
      </c>
      <c r="M55" s="332">
        <v>7.46</v>
      </c>
      <c r="N55" s="332">
        <v>85.05</v>
      </c>
      <c r="O55" s="333">
        <v>12334</v>
      </c>
      <c r="P55" s="330">
        <v>82.59</v>
      </c>
      <c r="Q55" s="330">
        <v>76.790000000000006</v>
      </c>
      <c r="R55" s="330">
        <v>34.15</v>
      </c>
      <c r="S55" s="330">
        <v>115.98</v>
      </c>
      <c r="T55" s="330">
        <v>1067</v>
      </c>
      <c r="U55" s="330">
        <v>97.5</v>
      </c>
      <c r="V55" s="330">
        <v>492</v>
      </c>
      <c r="W55" s="330">
        <v>0</v>
      </c>
      <c r="X55" s="330">
        <v>0</v>
      </c>
      <c r="Y55" s="330">
        <v>0</v>
      </c>
      <c r="Z55" s="330">
        <v>41</v>
      </c>
      <c r="AA55" s="330">
        <v>5</v>
      </c>
      <c r="AB55" s="330">
        <v>3</v>
      </c>
      <c r="AC55" s="330">
        <v>14</v>
      </c>
      <c r="AD55" s="334">
        <v>12886</v>
      </c>
      <c r="AE55" s="334">
        <v>265</v>
      </c>
      <c r="AF55" s="334">
        <v>240</v>
      </c>
      <c r="AG55" s="334">
        <v>505</v>
      </c>
    </row>
    <row r="56" spans="1:33" x14ac:dyDescent="0.25">
      <c r="A56" s="329" t="s">
        <v>168</v>
      </c>
      <c r="B56" s="335" t="s">
        <v>169</v>
      </c>
      <c r="C56" s="331">
        <v>3650</v>
      </c>
      <c r="D56" s="331">
        <v>610</v>
      </c>
      <c r="E56" s="331">
        <v>482</v>
      </c>
      <c r="F56" s="331">
        <v>478</v>
      </c>
      <c r="G56" s="331">
        <v>554</v>
      </c>
      <c r="H56" s="331">
        <v>5774</v>
      </c>
      <c r="I56" s="330">
        <v>5220</v>
      </c>
      <c r="J56" s="330">
        <v>0</v>
      </c>
      <c r="K56" s="332">
        <v>109.08</v>
      </c>
      <c r="L56" s="332">
        <v>110.12</v>
      </c>
      <c r="M56" s="332">
        <v>7.43</v>
      </c>
      <c r="N56" s="332">
        <v>113.55</v>
      </c>
      <c r="O56" s="333">
        <v>2459</v>
      </c>
      <c r="P56" s="330">
        <v>95.72</v>
      </c>
      <c r="Q56" s="330">
        <v>95.17</v>
      </c>
      <c r="R56" s="330">
        <v>61.08</v>
      </c>
      <c r="S56" s="330">
        <v>155.66</v>
      </c>
      <c r="T56" s="330">
        <v>801</v>
      </c>
      <c r="U56" s="330">
        <v>148.13999999999999</v>
      </c>
      <c r="V56" s="330">
        <v>745</v>
      </c>
      <c r="W56" s="330">
        <v>146.88</v>
      </c>
      <c r="X56" s="330">
        <v>2</v>
      </c>
      <c r="Y56" s="330">
        <v>0</v>
      </c>
      <c r="Z56" s="330">
        <v>1</v>
      </c>
      <c r="AA56" s="330">
        <v>1</v>
      </c>
      <c r="AB56" s="330">
        <v>119</v>
      </c>
      <c r="AC56" s="330">
        <v>19</v>
      </c>
      <c r="AD56" s="334">
        <v>3374</v>
      </c>
      <c r="AE56" s="334">
        <v>59</v>
      </c>
      <c r="AF56" s="334">
        <v>23</v>
      </c>
      <c r="AG56" s="334">
        <v>82</v>
      </c>
    </row>
    <row r="57" spans="1:33" x14ac:dyDescent="0.25">
      <c r="A57" s="329" t="s">
        <v>170</v>
      </c>
      <c r="B57" s="335" t="s">
        <v>171</v>
      </c>
      <c r="C57" s="331">
        <v>7969</v>
      </c>
      <c r="D57" s="331">
        <v>1134</v>
      </c>
      <c r="E57" s="331">
        <v>1536</v>
      </c>
      <c r="F57" s="331">
        <v>965</v>
      </c>
      <c r="G57" s="331">
        <v>558</v>
      </c>
      <c r="H57" s="331">
        <v>12162</v>
      </c>
      <c r="I57" s="330">
        <v>11604</v>
      </c>
      <c r="J57" s="330">
        <v>87</v>
      </c>
      <c r="K57" s="332">
        <v>134.26</v>
      </c>
      <c r="L57" s="332">
        <v>135.57</v>
      </c>
      <c r="M57" s="332">
        <v>13.43</v>
      </c>
      <c r="N57" s="332">
        <v>145.04</v>
      </c>
      <c r="O57" s="333">
        <v>6169</v>
      </c>
      <c r="P57" s="330">
        <v>110.73</v>
      </c>
      <c r="Q57" s="330">
        <v>109.33</v>
      </c>
      <c r="R57" s="330">
        <v>68.28</v>
      </c>
      <c r="S57" s="330">
        <v>165.7</v>
      </c>
      <c r="T57" s="330">
        <v>2346</v>
      </c>
      <c r="U57" s="330">
        <v>215.32</v>
      </c>
      <c r="V57" s="330">
        <v>361</v>
      </c>
      <c r="W57" s="330">
        <v>0</v>
      </c>
      <c r="X57" s="330">
        <v>0</v>
      </c>
      <c r="Y57" s="330">
        <v>0</v>
      </c>
      <c r="Z57" s="330">
        <v>0</v>
      </c>
      <c r="AA57" s="330">
        <v>3</v>
      </c>
      <c r="AB57" s="330">
        <v>55</v>
      </c>
      <c r="AC57" s="330">
        <v>50</v>
      </c>
      <c r="AD57" s="334">
        <v>6591</v>
      </c>
      <c r="AE57" s="334">
        <v>40</v>
      </c>
      <c r="AF57" s="334">
        <v>57</v>
      </c>
      <c r="AG57" s="334">
        <v>97</v>
      </c>
    </row>
    <row r="58" spans="1:33" x14ac:dyDescent="0.25">
      <c r="A58" s="329" t="s">
        <v>172</v>
      </c>
      <c r="B58" s="335" t="s">
        <v>173</v>
      </c>
      <c r="C58" s="331">
        <v>1490</v>
      </c>
      <c r="D58" s="331">
        <v>3</v>
      </c>
      <c r="E58" s="331">
        <v>221</v>
      </c>
      <c r="F58" s="331">
        <v>270</v>
      </c>
      <c r="G58" s="331">
        <v>276</v>
      </c>
      <c r="H58" s="331">
        <v>2260</v>
      </c>
      <c r="I58" s="330">
        <v>1984</v>
      </c>
      <c r="J58" s="330">
        <v>0</v>
      </c>
      <c r="K58" s="332">
        <v>91.61</v>
      </c>
      <c r="L58" s="332">
        <v>82.99</v>
      </c>
      <c r="M58" s="332">
        <v>5.74</v>
      </c>
      <c r="N58" s="332">
        <v>95.19</v>
      </c>
      <c r="O58" s="333">
        <v>1255</v>
      </c>
      <c r="P58" s="330">
        <v>87.29</v>
      </c>
      <c r="Q58" s="330">
        <v>86.32</v>
      </c>
      <c r="R58" s="330">
        <v>54.02</v>
      </c>
      <c r="S58" s="330">
        <v>140.99</v>
      </c>
      <c r="T58" s="330">
        <v>343</v>
      </c>
      <c r="U58" s="330">
        <v>108.91</v>
      </c>
      <c r="V58" s="330">
        <v>191</v>
      </c>
      <c r="W58" s="330">
        <v>161.47999999999999</v>
      </c>
      <c r="X58" s="330">
        <v>63</v>
      </c>
      <c r="Y58" s="330">
        <v>0</v>
      </c>
      <c r="Z58" s="330">
        <v>2</v>
      </c>
      <c r="AA58" s="330">
        <v>2</v>
      </c>
      <c r="AB58" s="330">
        <v>17</v>
      </c>
      <c r="AC58" s="330">
        <v>6</v>
      </c>
      <c r="AD58" s="334">
        <v>1468</v>
      </c>
      <c r="AE58" s="334">
        <v>8</v>
      </c>
      <c r="AF58" s="334">
        <v>1</v>
      </c>
      <c r="AG58" s="334">
        <v>9</v>
      </c>
    </row>
    <row r="59" spans="1:33" x14ac:dyDescent="0.25">
      <c r="A59" s="329" t="s">
        <v>174</v>
      </c>
      <c r="B59" s="335" t="s">
        <v>175</v>
      </c>
      <c r="C59" s="331">
        <v>1958</v>
      </c>
      <c r="D59" s="331">
        <v>0</v>
      </c>
      <c r="E59" s="331">
        <v>175</v>
      </c>
      <c r="F59" s="331">
        <v>386</v>
      </c>
      <c r="G59" s="331">
        <v>477</v>
      </c>
      <c r="H59" s="331">
        <v>2996</v>
      </c>
      <c r="I59" s="330">
        <v>2519</v>
      </c>
      <c r="J59" s="330">
        <v>19</v>
      </c>
      <c r="K59" s="332">
        <v>103.62</v>
      </c>
      <c r="L59" s="332">
        <v>102.15</v>
      </c>
      <c r="M59" s="332">
        <v>7.54</v>
      </c>
      <c r="N59" s="332">
        <v>109.9</v>
      </c>
      <c r="O59" s="333">
        <v>1370</v>
      </c>
      <c r="P59" s="330">
        <v>87.83</v>
      </c>
      <c r="Q59" s="330">
        <v>83.28</v>
      </c>
      <c r="R59" s="330">
        <v>47.23</v>
      </c>
      <c r="S59" s="330">
        <v>134.63</v>
      </c>
      <c r="T59" s="330">
        <v>545</v>
      </c>
      <c r="U59" s="330">
        <v>146.36000000000001</v>
      </c>
      <c r="V59" s="330">
        <v>306</v>
      </c>
      <c r="W59" s="330">
        <v>119.45</v>
      </c>
      <c r="X59" s="330">
        <v>6</v>
      </c>
      <c r="Y59" s="330">
        <v>0</v>
      </c>
      <c r="Z59" s="330">
        <v>3</v>
      </c>
      <c r="AA59" s="330">
        <v>2</v>
      </c>
      <c r="AB59" s="330">
        <v>27</v>
      </c>
      <c r="AC59" s="330">
        <v>7</v>
      </c>
      <c r="AD59" s="334">
        <v>1773</v>
      </c>
      <c r="AE59" s="334">
        <v>2</v>
      </c>
      <c r="AF59" s="334">
        <v>1</v>
      </c>
      <c r="AG59" s="334">
        <v>3</v>
      </c>
    </row>
    <row r="60" spans="1:33" x14ac:dyDescent="0.25">
      <c r="A60" s="329" t="s">
        <v>176</v>
      </c>
      <c r="B60" s="335" t="s">
        <v>177</v>
      </c>
      <c r="C60" s="331">
        <v>7005</v>
      </c>
      <c r="D60" s="331">
        <v>11</v>
      </c>
      <c r="E60" s="331">
        <v>253</v>
      </c>
      <c r="F60" s="331">
        <v>375</v>
      </c>
      <c r="G60" s="331">
        <v>351</v>
      </c>
      <c r="H60" s="331">
        <v>7995</v>
      </c>
      <c r="I60" s="330">
        <v>7644</v>
      </c>
      <c r="J60" s="330">
        <v>48</v>
      </c>
      <c r="K60" s="332">
        <v>81.87</v>
      </c>
      <c r="L60" s="332">
        <v>78.44</v>
      </c>
      <c r="M60" s="332">
        <v>4.2</v>
      </c>
      <c r="N60" s="332">
        <v>84.93</v>
      </c>
      <c r="O60" s="333">
        <v>5680</v>
      </c>
      <c r="P60" s="330">
        <v>90.07</v>
      </c>
      <c r="Q60" s="330">
        <v>77.48</v>
      </c>
      <c r="R60" s="330">
        <v>33.71</v>
      </c>
      <c r="S60" s="330">
        <v>118.44</v>
      </c>
      <c r="T60" s="330">
        <v>568</v>
      </c>
      <c r="U60" s="330">
        <v>89.76</v>
      </c>
      <c r="V60" s="330">
        <v>1304</v>
      </c>
      <c r="W60" s="330">
        <v>0</v>
      </c>
      <c r="X60" s="330">
        <v>0</v>
      </c>
      <c r="Y60" s="330">
        <v>0</v>
      </c>
      <c r="Z60" s="330">
        <v>29</v>
      </c>
      <c r="AA60" s="330">
        <v>15</v>
      </c>
      <c r="AB60" s="330">
        <v>0</v>
      </c>
      <c r="AC60" s="330">
        <v>0</v>
      </c>
      <c r="AD60" s="334">
        <v>6989</v>
      </c>
      <c r="AE60" s="334">
        <v>97</v>
      </c>
      <c r="AF60" s="334">
        <v>19</v>
      </c>
      <c r="AG60" s="334">
        <v>116</v>
      </c>
    </row>
    <row r="61" spans="1:33" x14ac:dyDescent="0.25">
      <c r="A61" s="329" t="s">
        <v>178</v>
      </c>
      <c r="B61" s="335" t="s">
        <v>179</v>
      </c>
      <c r="C61" s="331">
        <v>460</v>
      </c>
      <c r="D61" s="331">
        <v>0</v>
      </c>
      <c r="E61" s="331">
        <v>64</v>
      </c>
      <c r="F61" s="331">
        <v>73</v>
      </c>
      <c r="G61" s="331">
        <v>97</v>
      </c>
      <c r="H61" s="331">
        <v>694</v>
      </c>
      <c r="I61" s="330">
        <v>597</v>
      </c>
      <c r="J61" s="330">
        <v>0</v>
      </c>
      <c r="K61" s="332">
        <v>108.9</v>
      </c>
      <c r="L61" s="332">
        <v>106.92</v>
      </c>
      <c r="M61" s="332">
        <v>6.4</v>
      </c>
      <c r="N61" s="332">
        <v>112.6</v>
      </c>
      <c r="O61" s="333">
        <v>375</v>
      </c>
      <c r="P61" s="330">
        <v>89.3</v>
      </c>
      <c r="Q61" s="330">
        <v>85.55</v>
      </c>
      <c r="R61" s="330">
        <v>60.14</v>
      </c>
      <c r="S61" s="330">
        <v>149.44</v>
      </c>
      <c r="T61" s="330">
        <v>116</v>
      </c>
      <c r="U61" s="330">
        <v>146.93</v>
      </c>
      <c r="V61" s="330">
        <v>73</v>
      </c>
      <c r="W61" s="330">
        <v>0</v>
      </c>
      <c r="X61" s="330">
        <v>0</v>
      </c>
      <c r="Y61" s="330">
        <v>0</v>
      </c>
      <c r="Z61" s="330">
        <v>0</v>
      </c>
      <c r="AA61" s="330">
        <v>1</v>
      </c>
      <c r="AB61" s="330">
        <v>16</v>
      </c>
      <c r="AC61" s="330">
        <v>2</v>
      </c>
      <c r="AD61" s="334">
        <v>460</v>
      </c>
      <c r="AE61" s="334">
        <v>3</v>
      </c>
      <c r="AF61" s="334">
        <v>1</v>
      </c>
      <c r="AG61" s="334">
        <v>4</v>
      </c>
    </row>
    <row r="62" spans="1:33" x14ac:dyDescent="0.25">
      <c r="A62" s="329" t="s">
        <v>180</v>
      </c>
      <c r="B62" s="335" t="s">
        <v>181</v>
      </c>
      <c r="C62" s="331">
        <v>8488</v>
      </c>
      <c r="D62" s="331">
        <v>0</v>
      </c>
      <c r="E62" s="331">
        <v>275</v>
      </c>
      <c r="F62" s="331">
        <v>1639</v>
      </c>
      <c r="G62" s="331">
        <v>1380</v>
      </c>
      <c r="H62" s="331">
        <v>11782</v>
      </c>
      <c r="I62" s="330">
        <v>10402</v>
      </c>
      <c r="J62" s="330">
        <v>13</v>
      </c>
      <c r="K62" s="332">
        <v>103.27</v>
      </c>
      <c r="L62" s="332">
        <v>104.16</v>
      </c>
      <c r="M62" s="332">
        <v>4.6100000000000003</v>
      </c>
      <c r="N62" s="332">
        <v>104.71</v>
      </c>
      <c r="O62" s="333">
        <v>7488</v>
      </c>
      <c r="P62" s="330">
        <v>105.36</v>
      </c>
      <c r="Q62" s="330">
        <v>103.84</v>
      </c>
      <c r="R62" s="330">
        <v>27.31</v>
      </c>
      <c r="S62" s="330">
        <v>119</v>
      </c>
      <c r="T62" s="330">
        <v>1822</v>
      </c>
      <c r="U62" s="330">
        <v>136.47999999999999</v>
      </c>
      <c r="V62" s="330">
        <v>842</v>
      </c>
      <c r="W62" s="330">
        <v>120.58</v>
      </c>
      <c r="X62" s="330">
        <v>50</v>
      </c>
      <c r="Y62" s="330">
        <v>0</v>
      </c>
      <c r="Z62" s="330">
        <v>9</v>
      </c>
      <c r="AA62" s="330">
        <v>4</v>
      </c>
      <c r="AB62" s="330">
        <v>59</v>
      </c>
      <c r="AC62" s="330">
        <v>34</v>
      </c>
      <c r="AD62" s="334">
        <v>8406</v>
      </c>
      <c r="AE62" s="334">
        <v>39</v>
      </c>
      <c r="AF62" s="334">
        <v>16</v>
      </c>
      <c r="AG62" s="334">
        <v>55</v>
      </c>
    </row>
    <row r="63" spans="1:33" x14ac:dyDescent="0.25">
      <c r="A63" s="329" t="s">
        <v>182</v>
      </c>
      <c r="B63" s="335" t="s">
        <v>183</v>
      </c>
      <c r="C63" s="331">
        <v>2848</v>
      </c>
      <c r="D63" s="331">
        <v>0</v>
      </c>
      <c r="E63" s="331">
        <v>324</v>
      </c>
      <c r="F63" s="331">
        <v>271</v>
      </c>
      <c r="G63" s="331">
        <v>585</v>
      </c>
      <c r="H63" s="331">
        <v>4028</v>
      </c>
      <c r="I63" s="330">
        <v>3443</v>
      </c>
      <c r="J63" s="330">
        <v>4</v>
      </c>
      <c r="K63" s="332">
        <v>92.09</v>
      </c>
      <c r="L63" s="332">
        <v>90.14</v>
      </c>
      <c r="M63" s="332">
        <v>6.54</v>
      </c>
      <c r="N63" s="332">
        <v>97.12</v>
      </c>
      <c r="O63" s="333">
        <v>2215</v>
      </c>
      <c r="P63" s="330">
        <v>96.25</v>
      </c>
      <c r="Q63" s="330">
        <v>82.27</v>
      </c>
      <c r="R63" s="330">
        <v>50.81</v>
      </c>
      <c r="S63" s="330">
        <v>140.82</v>
      </c>
      <c r="T63" s="330">
        <v>521</v>
      </c>
      <c r="U63" s="330">
        <v>105.64</v>
      </c>
      <c r="V63" s="330">
        <v>554</v>
      </c>
      <c r="W63" s="330">
        <v>0</v>
      </c>
      <c r="X63" s="330">
        <v>0</v>
      </c>
      <c r="Y63" s="330">
        <v>0</v>
      </c>
      <c r="Z63" s="330">
        <v>3</v>
      </c>
      <c r="AA63" s="330">
        <v>5</v>
      </c>
      <c r="AB63" s="330">
        <v>53</v>
      </c>
      <c r="AC63" s="330">
        <v>19</v>
      </c>
      <c r="AD63" s="334">
        <v>2840</v>
      </c>
      <c r="AE63" s="334">
        <v>26</v>
      </c>
      <c r="AF63" s="334">
        <v>4</v>
      </c>
      <c r="AG63" s="334">
        <v>30</v>
      </c>
    </row>
    <row r="64" spans="1:33" x14ac:dyDescent="0.25">
      <c r="A64" s="329" t="s">
        <v>184</v>
      </c>
      <c r="B64" s="335" t="s">
        <v>185</v>
      </c>
      <c r="C64" s="331">
        <v>9458</v>
      </c>
      <c r="D64" s="331">
        <v>285</v>
      </c>
      <c r="E64" s="331">
        <v>312</v>
      </c>
      <c r="F64" s="331">
        <v>286</v>
      </c>
      <c r="G64" s="331">
        <v>511</v>
      </c>
      <c r="H64" s="331">
        <v>10852</v>
      </c>
      <c r="I64" s="330">
        <v>10341</v>
      </c>
      <c r="J64" s="330">
        <v>2</v>
      </c>
      <c r="K64" s="332">
        <v>101.83</v>
      </c>
      <c r="L64" s="332">
        <v>101.54</v>
      </c>
      <c r="M64" s="332">
        <v>7.38</v>
      </c>
      <c r="N64" s="332">
        <v>105.44</v>
      </c>
      <c r="O64" s="333">
        <v>8635</v>
      </c>
      <c r="P64" s="330">
        <v>97.18</v>
      </c>
      <c r="Q64" s="330">
        <v>95.64</v>
      </c>
      <c r="R64" s="330">
        <v>73.06</v>
      </c>
      <c r="S64" s="330">
        <v>167.68</v>
      </c>
      <c r="T64" s="330">
        <v>485</v>
      </c>
      <c r="U64" s="330">
        <v>136.78</v>
      </c>
      <c r="V64" s="330">
        <v>663</v>
      </c>
      <c r="W64" s="330">
        <v>0</v>
      </c>
      <c r="X64" s="330">
        <v>0</v>
      </c>
      <c r="Y64" s="330">
        <v>0</v>
      </c>
      <c r="Z64" s="330">
        <v>13</v>
      </c>
      <c r="AA64" s="330">
        <v>2</v>
      </c>
      <c r="AB64" s="330">
        <v>45</v>
      </c>
      <c r="AC64" s="330">
        <v>5</v>
      </c>
      <c r="AD64" s="334">
        <v>9450</v>
      </c>
      <c r="AE64" s="334">
        <v>45</v>
      </c>
      <c r="AF64" s="334">
        <v>28</v>
      </c>
      <c r="AG64" s="334">
        <v>73</v>
      </c>
    </row>
    <row r="65" spans="1:33" x14ac:dyDescent="0.25">
      <c r="A65" s="329" t="s">
        <v>186</v>
      </c>
      <c r="B65" s="335" t="s">
        <v>187</v>
      </c>
      <c r="C65" s="331">
        <v>1827</v>
      </c>
      <c r="D65" s="331">
        <v>1</v>
      </c>
      <c r="E65" s="331">
        <v>409</v>
      </c>
      <c r="F65" s="331">
        <v>214</v>
      </c>
      <c r="G65" s="331">
        <v>272</v>
      </c>
      <c r="H65" s="331">
        <v>2723</v>
      </c>
      <c r="I65" s="330">
        <v>2451</v>
      </c>
      <c r="J65" s="330">
        <v>2</v>
      </c>
      <c r="K65" s="332">
        <v>95.73</v>
      </c>
      <c r="L65" s="332">
        <v>77.56</v>
      </c>
      <c r="M65" s="332">
        <v>5.46</v>
      </c>
      <c r="N65" s="332">
        <v>100.28</v>
      </c>
      <c r="O65" s="333">
        <v>1484</v>
      </c>
      <c r="P65" s="330">
        <v>91.96</v>
      </c>
      <c r="Q65" s="330">
        <v>76.069999999999993</v>
      </c>
      <c r="R65" s="330">
        <v>55.54</v>
      </c>
      <c r="S65" s="330">
        <v>142.24</v>
      </c>
      <c r="T65" s="330">
        <v>486</v>
      </c>
      <c r="U65" s="330">
        <v>129.61000000000001</v>
      </c>
      <c r="V65" s="330">
        <v>250</v>
      </c>
      <c r="W65" s="330">
        <v>193.58</v>
      </c>
      <c r="X65" s="330">
        <v>147</v>
      </c>
      <c r="Y65" s="330">
        <v>0</v>
      </c>
      <c r="Z65" s="330">
        <v>0</v>
      </c>
      <c r="AA65" s="330">
        <v>1</v>
      </c>
      <c r="AB65" s="330">
        <v>17</v>
      </c>
      <c r="AC65" s="330">
        <v>7</v>
      </c>
      <c r="AD65" s="334">
        <v>1673</v>
      </c>
      <c r="AE65" s="334">
        <v>11</v>
      </c>
      <c r="AF65" s="334">
        <v>32</v>
      </c>
      <c r="AG65" s="334">
        <v>43</v>
      </c>
    </row>
    <row r="66" spans="1:33" x14ac:dyDescent="0.25">
      <c r="A66" s="329" t="s">
        <v>188</v>
      </c>
      <c r="B66" s="335" t="s">
        <v>189</v>
      </c>
      <c r="C66" s="331">
        <v>6290</v>
      </c>
      <c r="D66" s="331">
        <v>10</v>
      </c>
      <c r="E66" s="331">
        <v>199</v>
      </c>
      <c r="F66" s="331">
        <v>1487</v>
      </c>
      <c r="G66" s="331">
        <v>632</v>
      </c>
      <c r="H66" s="331">
        <v>8618</v>
      </c>
      <c r="I66" s="330">
        <v>7986</v>
      </c>
      <c r="J66" s="330">
        <v>0</v>
      </c>
      <c r="K66" s="332">
        <v>105.67</v>
      </c>
      <c r="L66" s="332">
        <v>102</v>
      </c>
      <c r="M66" s="332">
        <v>6.18</v>
      </c>
      <c r="N66" s="332">
        <v>107.59</v>
      </c>
      <c r="O66" s="333">
        <v>5070</v>
      </c>
      <c r="P66" s="330">
        <v>95.09</v>
      </c>
      <c r="Q66" s="330">
        <v>95.8</v>
      </c>
      <c r="R66" s="330">
        <v>21.45</v>
      </c>
      <c r="S66" s="330">
        <v>115.77</v>
      </c>
      <c r="T66" s="330">
        <v>1562</v>
      </c>
      <c r="U66" s="330">
        <v>155.13999999999999</v>
      </c>
      <c r="V66" s="330">
        <v>1151</v>
      </c>
      <c r="W66" s="330">
        <v>212.79</v>
      </c>
      <c r="X66" s="330">
        <v>95</v>
      </c>
      <c r="Y66" s="330">
        <v>0</v>
      </c>
      <c r="Z66" s="330">
        <v>11</v>
      </c>
      <c r="AA66" s="330">
        <v>7</v>
      </c>
      <c r="AB66" s="330">
        <v>120</v>
      </c>
      <c r="AC66" s="330">
        <v>17</v>
      </c>
      <c r="AD66" s="334">
        <v>6212</v>
      </c>
      <c r="AE66" s="334">
        <v>16</v>
      </c>
      <c r="AF66" s="334">
        <v>37</v>
      </c>
      <c r="AG66" s="334">
        <v>53</v>
      </c>
    </row>
    <row r="67" spans="1:33" x14ac:dyDescent="0.25">
      <c r="A67" s="329" t="s">
        <v>190</v>
      </c>
      <c r="B67" s="335" t="s">
        <v>191</v>
      </c>
      <c r="C67" s="331">
        <v>15591</v>
      </c>
      <c r="D67" s="331">
        <v>0</v>
      </c>
      <c r="E67" s="331">
        <v>852</v>
      </c>
      <c r="F67" s="331">
        <v>4045</v>
      </c>
      <c r="G67" s="331">
        <v>890</v>
      </c>
      <c r="H67" s="331">
        <v>21378</v>
      </c>
      <c r="I67" s="330">
        <v>20488</v>
      </c>
      <c r="J67" s="330">
        <v>162</v>
      </c>
      <c r="K67" s="332">
        <v>89.54</v>
      </c>
      <c r="L67" s="332">
        <v>89.49</v>
      </c>
      <c r="M67" s="332">
        <v>6.21</v>
      </c>
      <c r="N67" s="332">
        <v>91.72</v>
      </c>
      <c r="O67" s="333">
        <v>12194</v>
      </c>
      <c r="P67" s="330">
        <v>87.98</v>
      </c>
      <c r="Q67" s="330">
        <v>85.23</v>
      </c>
      <c r="R67" s="330">
        <v>21.62</v>
      </c>
      <c r="S67" s="330">
        <v>106.43</v>
      </c>
      <c r="T67" s="330">
        <v>4510</v>
      </c>
      <c r="U67" s="330">
        <v>110</v>
      </c>
      <c r="V67" s="330">
        <v>3318</v>
      </c>
      <c r="W67" s="330">
        <v>107.14</v>
      </c>
      <c r="X67" s="330">
        <v>159</v>
      </c>
      <c r="Y67" s="330">
        <v>0</v>
      </c>
      <c r="Z67" s="330">
        <v>63</v>
      </c>
      <c r="AA67" s="330">
        <v>3</v>
      </c>
      <c r="AB67" s="330">
        <v>98</v>
      </c>
      <c r="AC67" s="330">
        <v>17</v>
      </c>
      <c r="AD67" s="334">
        <v>15563</v>
      </c>
      <c r="AE67" s="334">
        <v>112</v>
      </c>
      <c r="AF67" s="334">
        <v>74</v>
      </c>
      <c r="AG67" s="334">
        <v>186</v>
      </c>
    </row>
    <row r="68" spans="1:33" x14ac:dyDescent="0.25">
      <c r="A68" s="329" t="s">
        <v>192</v>
      </c>
      <c r="B68" s="335" t="s">
        <v>193</v>
      </c>
      <c r="C68" s="331">
        <v>14131</v>
      </c>
      <c r="D68" s="331">
        <v>12</v>
      </c>
      <c r="E68" s="331">
        <v>741</v>
      </c>
      <c r="F68" s="331">
        <v>3334</v>
      </c>
      <c r="G68" s="331">
        <v>1429</v>
      </c>
      <c r="H68" s="331">
        <v>19647</v>
      </c>
      <c r="I68" s="330">
        <v>18218</v>
      </c>
      <c r="J68" s="330">
        <v>0</v>
      </c>
      <c r="K68" s="332">
        <v>92.59</v>
      </c>
      <c r="L68" s="332">
        <v>94.08</v>
      </c>
      <c r="M68" s="332">
        <v>4.57</v>
      </c>
      <c r="N68" s="332">
        <v>94.14</v>
      </c>
      <c r="O68" s="333">
        <v>11940</v>
      </c>
      <c r="P68" s="330">
        <v>89.07</v>
      </c>
      <c r="Q68" s="330">
        <v>88.84</v>
      </c>
      <c r="R68" s="330">
        <v>28.43</v>
      </c>
      <c r="S68" s="330">
        <v>109.48</v>
      </c>
      <c r="T68" s="330">
        <v>3279</v>
      </c>
      <c r="U68" s="330">
        <v>111.48</v>
      </c>
      <c r="V68" s="330">
        <v>1905</v>
      </c>
      <c r="W68" s="330">
        <v>149.08000000000001</v>
      </c>
      <c r="X68" s="330">
        <v>369</v>
      </c>
      <c r="Y68" s="330">
        <v>0</v>
      </c>
      <c r="Z68" s="330">
        <v>52</v>
      </c>
      <c r="AA68" s="330">
        <v>0</v>
      </c>
      <c r="AB68" s="330">
        <v>108</v>
      </c>
      <c r="AC68" s="330">
        <v>20</v>
      </c>
      <c r="AD68" s="334">
        <v>13991</v>
      </c>
      <c r="AE68" s="334">
        <v>85</v>
      </c>
      <c r="AF68" s="334">
        <v>34</v>
      </c>
      <c r="AG68" s="334">
        <v>119</v>
      </c>
    </row>
    <row r="69" spans="1:33" x14ac:dyDescent="0.25">
      <c r="A69" s="329" t="s">
        <v>194</v>
      </c>
      <c r="B69" s="335" t="s">
        <v>195</v>
      </c>
      <c r="C69" s="331">
        <v>825</v>
      </c>
      <c r="D69" s="331">
        <v>0</v>
      </c>
      <c r="E69" s="331">
        <v>130</v>
      </c>
      <c r="F69" s="331">
        <v>494</v>
      </c>
      <c r="G69" s="331">
        <v>93</v>
      </c>
      <c r="H69" s="331">
        <v>1542</v>
      </c>
      <c r="I69" s="330">
        <v>1449</v>
      </c>
      <c r="J69" s="330">
        <v>0</v>
      </c>
      <c r="K69" s="332">
        <v>87.17</v>
      </c>
      <c r="L69" s="332">
        <v>85.61</v>
      </c>
      <c r="M69" s="332">
        <v>6.22</v>
      </c>
      <c r="N69" s="332">
        <v>89.82</v>
      </c>
      <c r="O69" s="333">
        <v>653</v>
      </c>
      <c r="P69" s="330">
        <v>88.93</v>
      </c>
      <c r="Q69" s="330">
        <v>83.86</v>
      </c>
      <c r="R69" s="330">
        <v>23.09</v>
      </c>
      <c r="S69" s="330">
        <v>110.49</v>
      </c>
      <c r="T69" s="330">
        <v>588</v>
      </c>
      <c r="U69" s="330">
        <v>96.24</v>
      </c>
      <c r="V69" s="330">
        <v>77</v>
      </c>
      <c r="W69" s="330">
        <v>0</v>
      </c>
      <c r="X69" s="330">
        <v>0</v>
      </c>
      <c r="Y69" s="330">
        <v>0</v>
      </c>
      <c r="Z69" s="330">
        <v>0</v>
      </c>
      <c r="AA69" s="330">
        <v>1</v>
      </c>
      <c r="AB69" s="330">
        <v>4</v>
      </c>
      <c r="AC69" s="330">
        <v>3</v>
      </c>
      <c r="AD69" s="334">
        <v>719</v>
      </c>
      <c r="AE69" s="334">
        <v>14</v>
      </c>
      <c r="AF69" s="334">
        <v>4</v>
      </c>
      <c r="AG69" s="334">
        <v>18</v>
      </c>
    </row>
    <row r="70" spans="1:33" x14ac:dyDescent="0.25">
      <c r="A70" s="329" t="s">
        <v>196</v>
      </c>
      <c r="B70" s="335" t="s">
        <v>197</v>
      </c>
      <c r="C70" s="331">
        <v>7167</v>
      </c>
      <c r="D70" s="331">
        <v>0</v>
      </c>
      <c r="E70" s="331">
        <v>149</v>
      </c>
      <c r="F70" s="331">
        <v>736</v>
      </c>
      <c r="G70" s="331">
        <v>536</v>
      </c>
      <c r="H70" s="331">
        <v>8588</v>
      </c>
      <c r="I70" s="330">
        <v>8052</v>
      </c>
      <c r="J70" s="330">
        <v>224</v>
      </c>
      <c r="K70" s="332">
        <v>105.64</v>
      </c>
      <c r="L70" s="332">
        <v>113.24</v>
      </c>
      <c r="M70" s="332">
        <v>6.41</v>
      </c>
      <c r="N70" s="332">
        <v>108.67</v>
      </c>
      <c r="O70" s="333">
        <v>6270</v>
      </c>
      <c r="P70" s="330">
        <v>95.48</v>
      </c>
      <c r="Q70" s="330">
        <v>100.99</v>
      </c>
      <c r="R70" s="330">
        <v>29.01</v>
      </c>
      <c r="S70" s="330">
        <v>123.9</v>
      </c>
      <c r="T70" s="330">
        <v>676</v>
      </c>
      <c r="U70" s="330">
        <v>153.35</v>
      </c>
      <c r="V70" s="330">
        <v>849</v>
      </c>
      <c r="W70" s="330">
        <v>142.52000000000001</v>
      </c>
      <c r="X70" s="330">
        <v>4</v>
      </c>
      <c r="Y70" s="330">
        <v>0</v>
      </c>
      <c r="Z70" s="330">
        <v>11</v>
      </c>
      <c r="AA70" s="330">
        <v>2</v>
      </c>
      <c r="AB70" s="330">
        <v>59</v>
      </c>
      <c r="AC70" s="330">
        <v>10</v>
      </c>
      <c r="AD70" s="334">
        <v>7102</v>
      </c>
      <c r="AE70" s="334">
        <v>38</v>
      </c>
      <c r="AF70" s="334">
        <v>8</v>
      </c>
      <c r="AG70" s="334">
        <v>46</v>
      </c>
    </row>
    <row r="71" spans="1:33" x14ac:dyDescent="0.25">
      <c r="A71" s="329" t="s">
        <v>198</v>
      </c>
      <c r="B71" s="335" t="s">
        <v>199</v>
      </c>
      <c r="C71" s="331">
        <v>5957</v>
      </c>
      <c r="D71" s="331">
        <v>0</v>
      </c>
      <c r="E71" s="331">
        <v>381</v>
      </c>
      <c r="F71" s="331">
        <v>527</v>
      </c>
      <c r="G71" s="331">
        <v>203</v>
      </c>
      <c r="H71" s="331">
        <v>7068</v>
      </c>
      <c r="I71" s="330">
        <v>6865</v>
      </c>
      <c r="J71" s="330">
        <v>19</v>
      </c>
      <c r="K71" s="332">
        <v>80.87</v>
      </c>
      <c r="L71" s="332">
        <v>78.05</v>
      </c>
      <c r="M71" s="332">
        <v>5.76</v>
      </c>
      <c r="N71" s="332">
        <v>84.96</v>
      </c>
      <c r="O71" s="333">
        <v>5292</v>
      </c>
      <c r="P71" s="330">
        <v>90.05</v>
      </c>
      <c r="Q71" s="330">
        <v>70.56</v>
      </c>
      <c r="R71" s="330">
        <v>23.93</v>
      </c>
      <c r="S71" s="330">
        <v>112.73</v>
      </c>
      <c r="T71" s="330">
        <v>801</v>
      </c>
      <c r="U71" s="330">
        <v>101.12</v>
      </c>
      <c r="V71" s="330">
        <v>611</v>
      </c>
      <c r="W71" s="330">
        <v>0</v>
      </c>
      <c r="X71" s="330">
        <v>0</v>
      </c>
      <c r="Y71" s="330">
        <v>36</v>
      </c>
      <c r="Z71" s="330">
        <v>20</v>
      </c>
      <c r="AA71" s="330">
        <v>8</v>
      </c>
      <c r="AB71" s="330">
        <v>5</v>
      </c>
      <c r="AC71" s="330">
        <v>3</v>
      </c>
      <c r="AD71" s="334">
        <v>5925</v>
      </c>
      <c r="AE71" s="334">
        <v>37</v>
      </c>
      <c r="AF71" s="334">
        <v>5</v>
      </c>
      <c r="AG71" s="334">
        <v>42</v>
      </c>
    </row>
    <row r="72" spans="1:33" x14ac:dyDescent="0.25">
      <c r="A72" s="329" t="s">
        <v>200</v>
      </c>
      <c r="B72" s="335" t="s">
        <v>201</v>
      </c>
      <c r="C72" s="331">
        <v>194</v>
      </c>
      <c r="D72" s="331">
        <v>0</v>
      </c>
      <c r="E72" s="331">
        <v>17</v>
      </c>
      <c r="F72" s="331">
        <v>19</v>
      </c>
      <c r="G72" s="331">
        <v>0</v>
      </c>
      <c r="H72" s="331">
        <v>230</v>
      </c>
      <c r="I72" s="330">
        <v>230</v>
      </c>
      <c r="J72" s="330">
        <v>0</v>
      </c>
      <c r="K72" s="332">
        <v>126.83</v>
      </c>
      <c r="L72" s="332">
        <v>129.80000000000001</v>
      </c>
      <c r="M72" s="332">
        <v>11.99</v>
      </c>
      <c r="N72" s="332">
        <v>138.82</v>
      </c>
      <c r="O72" s="333">
        <v>160</v>
      </c>
      <c r="P72" s="330">
        <v>113.56</v>
      </c>
      <c r="Q72" s="330">
        <v>112.8</v>
      </c>
      <c r="R72" s="330">
        <v>107.59</v>
      </c>
      <c r="S72" s="330">
        <v>221.15</v>
      </c>
      <c r="T72" s="330">
        <v>36</v>
      </c>
      <c r="U72" s="330">
        <v>212.19</v>
      </c>
      <c r="V72" s="330">
        <v>34</v>
      </c>
      <c r="W72" s="330">
        <v>0</v>
      </c>
      <c r="X72" s="330">
        <v>0</v>
      </c>
      <c r="Y72" s="330">
        <v>0</v>
      </c>
      <c r="Z72" s="330">
        <v>0</v>
      </c>
      <c r="AA72" s="330">
        <v>0</v>
      </c>
      <c r="AB72" s="330">
        <v>0</v>
      </c>
      <c r="AC72" s="330">
        <v>0</v>
      </c>
      <c r="AD72" s="334">
        <v>194</v>
      </c>
      <c r="AE72" s="334">
        <v>0</v>
      </c>
      <c r="AF72" s="334">
        <v>0</v>
      </c>
      <c r="AG72" s="334">
        <v>0</v>
      </c>
    </row>
    <row r="73" spans="1:33" x14ac:dyDescent="0.25">
      <c r="A73" s="329" t="s">
        <v>202</v>
      </c>
      <c r="B73" s="335" t="s">
        <v>203</v>
      </c>
      <c r="C73" s="331">
        <v>3988</v>
      </c>
      <c r="D73" s="331">
        <v>178</v>
      </c>
      <c r="E73" s="331">
        <v>632</v>
      </c>
      <c r="F73" s="331">
        <v>355</v>
      </c>
      <c r="G73" s="331">
        <v>294</v>
      </c>
      <c r="H73" s="331">
        <v>5447</v>
      </c>
      <c r="I73" s="330">
        <v>5153</v>
      </c>
      <c r="J73" s="330">
        <v>7</v>
      </c>
      <c r="K73" s="332">
        <v>103.65</v>
      </c>
      <c r="L73" s="332">
        <v>102.79</v>
      </c>
      <c r="M73" s="332">
        <v>6.03</v>
      </c>
      <c r="N73" s="332">
        <v>108.53</v>
      </c>
      <c r="O73" s="333">
        <v>2823</v>
      </c>
      <c r="P73" s="330">
        <v>106.22</v>
      </c>
      <c r="Q73" s="330">
        <v>82.95</v>
      </c>
      <c r="R73" s="330">
        <v>48.31</v>
      </c>
      <c r="S73" s="330">
        <v>149.86000000000001</v>
      </c>
      <c r="T73" s="330">
        <v>674</v>
      </c>
      <c r="U73" s="330">
        <v>131.46</v>
      </c>
      <c r="V73" s="330">
        <v>891</v>
      </c>
      <c r="W73" s="330">
        <v>114.9</v>
      </c>
      <c r="X73" s="330">
        <v>34</v>
      </c>
      <c r="Y73" s="330">
        <v>0</v>
      </c>
      <c r="Z73" s="330">
        <v>0</v>
      </c>
      <c r="AA73" s="330">
        <v>2</v>
      </c>
      <c r="AB73" s="330">
        <v>31</v>
      </c>
      <c r="AC73" s="330">
        <v>7</v>
      </c>
      <c r="AD73" s="334">
        <v>3921</v>
      </c>
      <c r="AE73" s="334">
        <v>18</v>
      </c>
      <c r="AF73" s="334">
        <v>42</v>
      </c>
      <c r="AG73" s="334">
        <v>60</v>
      </c>
    </row>
    <row r="74" spans="1:33" x14ac:dyDescent="0.25">
      <c r="A74" s="329" t="s">
        <v>204</v>
      </c>
      <c r="B74" s="335" t="s">
        <v>205</v>
      </c>
      <c r="C74" s="331">
        <v>5646</v>
      </c>
      <c r="D74" s="331">
        <v>29</v>
      </c>
      <c r="E74" s="331">
        <v>77</v>
      </c>
      <c r="F74" s="331">
        <v>307</v>
      </c>
      <c r="G74" s="331">
        <v>46</v>
      </c>
      <c r="H74" s="331">
        <v>6105</v>
      </c>
      <c r="I74" s="330">
        <v>6059</v>
      </c>
      <c r="J74" s="330">
        <v>27</v>
      </c>
      <c r="K74" s="332">
        <v>85.9</v>
      </c>
      <c r="L74" s="332">
        <v>82.96</v>
      </c>
      <c r="M74" s="332">
        <v>1.18</v>
      </c>
      <c r="N74" s="332">
        <v>86.96</v>
      </c>
      <c r="O74" s="333">
        <v>5371</v>
      </c>
      <c r="P74" s="330">
        <v>78.42</v>
      </c>
      <c r="Q74" s="330">
        <v>77.099999999999994</v>
      </c>
      <c r="R74" s="330">
        <v>36.130000000000003</v>
      </c>
      <c r="S74" s="330">
        <v>114.06</v>
      </c>
      <c r="T74" s="330">
        <v>366</v>
      </c>
      <c r="U74" s="330">
        <v>92.88</v>
      </c>
      <c r="V74" s="330">
        <v>277</v>
      </c>
      <c r="W74" s="330">
        <v>0</v>
      </c>
      <c r="X74" s="330">
        <v>0</v>
      </c>
      <c r="Y74" s="330">
        <v>0</v>
      </c>
      <c r="Z74" s="330">
        <v>0</v>
      </c>
      <c r="AA74" s="330">
        <v>2</v>
      </c>
      <c r="AB74" s="330">
        <v>0</v>
      </c>
      <c r="AC74" s="330">
        <v>0</v>
      </c>
      <c r="AD74" s="334">
        <v>5613</v>
      </c>
      <c r="AE74" s="334">
        <v>136</v>
      </c>
      <c r="AF74" s="334">
        <v>48</v>
      </c>
      <c r="AG74" s="334">
        <v>184</v>
      </c>
    </row>
    <row r="75" spans="1:33" x14ac:dyDescent="0.25">
      <c r="A75" s="329" t="s">
        <v>206</v>
      </c>
      <c r="B75" s="335" t="s">
        <v>207</v>
      </c>
      <c r="C75" s="331">
        <v>18717</v>
      </c>
      <c r="D75" s="331">
        <v>30</v>
      </c>
      <c r="E75" s="331">
        <v>924</v>
      </c>
      <c r="F75" s="331">
        <v>2007</v>
      </c>
      <c r="G75" s="331">
        <v>2074</v>
      </c>
      <c r="H75" s="331">
        <v>23752</v>
      </c>
      <c r="I75" s="330">
        <v>21678</v>
      </c>
      <c r="J75" s="330">
        <v>8</v>
      </c>
      <c r="K75" s="332">
        <v>84.44</v>
      </c>
      <c r="L75" s="332">
        <v>79.02</v>
      </c>
      <c r="M75" s="332">
        <v>3.69</v>
      </c>
      <c r="N75" s="332">
        <v>87.51</v>
      </c>
      <c r="O75" s="333">
        <v>14936</v>
      </c>
      <c r="P75" s="330">
        <v>81.739999999999995</v>
      </c>
      <c r="Q75" s="330">
        <v>72.02</v>
      </c>
      <c r="R75" s="330">
        <v>42.31</v>
      </c>
      <c r="S75" s="330">
        <v>122.2</v>
      </c>
      <c r="T75" s="330">
        <v>2682</v>
      </c>
      <c r="U75" s="330">
        <v>130.37</v>
      </c>
      <c r="V75" s="330">
        <v>2650</v>
      </c>
      <c r="W75" s="330">
        <v>129.32</v>
      </c>
      <c r="X75" s="330">
        <v>62</v>
      </c>
      <c r="Y75" s="330">
        <v>0</v>
      </c>
      <c r="Z75" s="330">
        <v>17</v>
      </c>
      <c r="AA75" s="330">
        <v>77</v>
      </c>
      <c r="AB75" s="330">
        <v>233</v>
      </c>
      <c r="AC75" s="330">
        <v>31</v>
      </c>
      <c r="AD75" s="334">
        <v>18304</v>
      </c>
      <c r="AE75" s="334">
        <v>48</v>
      </c>
      <c r="AF75" s="334">
        <v>181</v>
      </c>
      <c r="AG75" s="334">
        <v>229</v>
      </c>
    </row>
    <row r="76" spans="1:33" x14ac:dyDescent="0.25">
      <c r="A76" s="329" t="s">
        <v>208</v>
      </c>
      <c r="B76" s="335" t="s">
        <v>209</v>
      </c>
      <c r="C76" s="331">
        <v>5336</v>
      </c>
      <c r="D76" s="331">
        <v>2</v>
      </c>
      <c r="E76" s="331">
        <v>59</v>
      </c>
      <c r="F76" s="331">
        <v>554</v>
      </c>
      <c r="G76" s="331">
        <v>639</v>
      </c>
      <c r="H76" s="331">
        <v>6590</v>
      </c>
      <c r="I76" s="330">
        <v>5951</v>
      </c>
      <c r="J76" s="330">
        <v>0</v>
      </c>
      <c r="K76" s="332">
        <v>104.15</v>
      </c>
      <c r="L76" s="332">
        <v>64.53</v>
      </c>
      <c r="M76" s="332">
        <v>4.2699999999999996</v>
      </c>
      <c r="N76" s="332">
        <v>105.71</v>
      </c>
      <c r="O76" s="333">
        <v>4420</v>
      </c>
      <c r="P76" s="330">
        <v>96.45</v>
      </c>
      <c r="Q76" s="330">
        <v>60.99</v>
      </c>
      <c r="R76" s="330">
        <v>22.88</v>
      </c>
      <c r="S76" s="330">
        <v>118.38</v>
      </c>
      <c r="T76" s="330">
        <v>556</v>
      </c>
      <c r="U76" s="330">
        <v>136.07</v>
      </c>
      <c r="V76" s="330">
        <v>680</v>
      </c>
      <c r="W76" s="330">
        <v>176</v>
      </c>
      <c r="X76" s="330">
        <v>50</v>
      </c>
      <c r="Y76" s="330">
        <v>0</v>
      </c>
      <c r="Z76" s="330">
        <v>2</v>
      </c>
      <c r="AA76" s="330">
        <v>0</v>
      </c>
      <c r="AB76" s="330">
        <v>52</v>
      </c>
      <c r="AC76" s="330">
        <v>9</v>
      </c>
      <c r="AD76" s="334">
        <v>5091</v>
      </c>
      <c r="AE76" s="334">
        <v>30</v>
      </c>
      <c r="AF76" s="334">
        <v>78</v>
      </c>
      <c r="AG76" s="334">
        <v>108</v>
      </c>
    </row>
    <row r="77" spans="1:33" x14ac:dyDescent="0.25">
      <c r="A77" s="329" t="s">
        <v>210</v>
      </c>
      <c r="B77" s="335" t="s">
        <v>211</v>
      </c>
      <c r="C77" s="331">
        <v>45417</v>
      </c>
      <c r="D77" s="331">
        <v>94</v>
      </c>
      <c r="E77" s="331">
        <v>802</v>
      </c>
      <c r="F77" s="331">
        <v>1464</v>
      </c>
      <c r="G77" s="331">
        <v>228</v>
      </c>
      <c r="H77" s="331">
        <v>48005</v>
      </c>
      <c r="I77" s="330">
        <v>47777</v>
      </c>
      <c r="J77" s="330">
        <v>58</v>
      </c>
      <c r="K77" s="332">
        <v>72.69</v>
      </c>
      <c r="L77" s="332">
        <v>73.040000000000006</v>
      </c>
      <c r="M77" s="332">
        <v>7.43</v>
      </c>
      <c r="N77" s="332">
        <v>73.819999999999993</v>
      </c>
      <c r="O77" s="333">
        <v>41484</v>
      </c>
      <c r="P77" s="330">
        <v>95.97</v>
      </c>
      <c r="Q77" s="330">
        <v>78.27</v>
      </c>
      <c r="R77" s="330">
        <v>53.16</v>
      </c>
      <c r="S77" s="330">
        <v>145.82</v>
      </c>
      <c r="T77" s="330">
        <v>1909</v>
      </c>
      <c r="U77" s="330">
        <v>89.34</v>
      </c>
      <c r="V77" s="330">
        <v>3289</v>
      </c>
      <c r="W77" s="330">
        <v>134.76</v>
      </c>
      <c r="X77" s="330">
        <v>152</v>
      </c>
      <c r="Y77" s="330">
        <v>0</v>
      </c>
      <c r="Z77" s="330">
        <v>225</v>
      </c>
      <c r="AA77" s="330">
        <v>84</v>
      </c>
      <c r="AB77" s="330">
        <v>17</v>
      </c>
      <c r="AC77" s="330">
        <v>5</v>
      </c>
      <c r="AD77" s="334">
        <v>44509</v>
      </c>
      <c r="AE77" s="334">
        <v>413</v>
      </c>
      <c r="AF77" s="334">
        <v>279</v>
      </c>
      <c r="AG77" s="334">
        <v>692</v>
      </c>
    </row>
    <row r="78" spans="1:33" x14ac:dyDescent="0.25">
      <c r="A78" s="329" t="s">
        <v>212</v>
      </c>
      <c r="B78" s="335" t="s">
        <v>213</v>
      </c>
      <c r="C78" s="331">
        <v>22241</v>
      </c>
      <c r="D78" s="331">
        <v>1</v>
      </c>
      <c r="E78" s="331">
        <v>707</v>
      </c>
      <c r="F78" s="331">
        <v>1797</v>
      </c>
      <c r="G78" s="331">
        <v>623</v>
      </c>
      <c r="H78" s="331">
        <v>25369</v>
      </c>
      <c r="I78" s="330">
        <v>24746</v>
      </c>
      <c r="J78" s="330">
        <v>5</v>
      </c>
      <c r="K78" s="332">
        <v>85.65</v>
      </c>
      <c r="L78" s="332">
        <v>85.79</v>
      </c>
      <c r="M78" s="332">
        <v>5.3</v>
      </c>
      <c r="N78" s="332">
        <v>90.49</v>
      </c>
      <c r="O78" s="333">
        <v>20061</v>
      </c>
      <c r="P78" s="330">
        <v>87.89</v>
      </c>
      <c r="Q78" s="330">
        <v>85.5</v>
      </c>
      <c r="R78" s="330">
        <v>48.95</v>
      </c>
      <c r="S78" s="330">
        <v>135.85</v>
      </c>
      <c r="T78" s="330">
        <v>2298</v>
      </c>
      <c r="U78" s="330">
        <v>108.37</v>
      </c>
      <c r="V78" s="330">
        <v>1833</v>
      </c>
      <c r="W78" s="330">
        <v>0</v>
      </c>
      <c r="X78" s="330">
        <v>0</v>
      </c>
      <c r="Y78" s="330">
        <v>0</v>
      </c>
      <c r="Z78" s="330">
        <v>78</v>
      </c>
      <c r="AA78" s="330">
        <v>27</v>
      </c>
      <c r="AB78" s="330">
        <v>23</v>
      </c>
      <c r="AC78" s="330">
        <v>36</v>
      </c>
      <c r="AD78" s="334">
        <v>22116</v>
      </c>
      <c r="AE78" s="334">
        <v>159</v>
      </c>
      <c r="AF78" s="334">
        <v>95</v>
      </c>
      <c r="AG78" s="334">
        <v>254</v>
      </c>
    </row>
    <row r="79" spans="1:33" x14ac:dyDescent="0.25">
      <c r="A79" s="329" t="s">
        <v>214</v>
      </c>
      <c r="B79" s="335" t="s">
        <v>215</v>
      </c>
      <c r="C79" s="331">
        <v>2233</v>
      </c>
      <c r="D79" s="331">
        <v>19</v>
      </c>
      <c r="E79" s="331">
        <v>43</v>
      </c>
      <c r="F79" s="331">
        <v>203</v>
      </c>
      <c r="G79" s="331">
        <v>45</v>
      </c>
      <c r="H79" s="331">
        <v>2543</v>
      </c>
      <c r="I79" s="330">
        <v>2498</v>
      </c>
      <c r="J79" s="330">
        <v>6</v>
      </c>
      <c r="K79" s="332">
        <v>85.83</v>
      </c>
      <c r="L79" s="332">
        <v>82.25</v>
      </c>
      <c r="M79" s="332">
        <v>7.83</v>
      </c>
      <c r="N79" s="332">
        <v>90.77</v>
      </c>
      <c r="O79" s="333">
        <v>1608</v>
      </c>
      <c r="P79" s="330">
        <v>81.63</v>
      </c>
      <c r="Q79" s="330">
        <v>74.36</v>
      </c>
      <c r="R79" s="330">
        <v>51.7</v>
      </c>
      <c r="S79" s="330">
        <v>131.22</v>
      </c>
      <c r="T79" s="330">
        <v>196</v>
      </c>
      <c r="U79" s="330">
        <v>96.23</v>
      </c>
      <c r="V79" s="330">
        <v>591</v>
      </c>
      <c r="W79" s="330">
        <v>139.35</v>
      </c>
      <c r="X79" s="330">
        <v>34</v>
      </c>
      <c r="Y79" s="330">
        <v>0</v>
      </c>
      <c r="Z79" s="330">
        <v>3</v>
      </c>
      <c r="AA79" s="330">
        <v>3</v>
      </c>
      <c r="AB79" s="330">
        <v>0</v>
      </c>
      <c r="AC79" s="330">
        <v>0</v>
      </c>
      <c r="AD79" s="334">
        <v>2217</v>
      </c>
      <c r="AE79" s="334">
        <v>5</v>
      </c>
      <c r="AF79" s="334">
        <v>5</v>
      </c>
      <c r="AG79" s="334">
        <v>10</v>
      </c>
    </row>
    <row r="80" spans="1:33" x14ac:dyDescent="0.25">
      <c r="A80" s="329" t="s">
        <v>216</v>
      </c>
      <c r="B80" s="335" t="s">
        <v>217</v>
      </c>
      <c r="C80" s="331">
        <v>2039</v>
      </c>
      <c r="D80" s="331">
        <v>0</v>
      </c>
      <c r="E80" s="331">
        <v>169</v>
      </c>
      <c r="F80" s="331">
        <v>285</v>
      </c>
      <c r="G80" s="331">
        <v>408</v>
      </c>
      <c r="H80" s="331">
        <v>2901</v>
      </c>
      <c r="I80" s="330">
        <v>2493</v>
      </c>
      <c r="J80" s="330">
        <v>2</v>
      </c>
      <c r="K80" s="332">
        <v>109.22</v>
      </c>
      <c r="L80" s="332">
        <v>105.53</v>
      </c>
      <c r="M80" s="332">
        <v>8.83</v>
      </c>
      <c r="N80" s="332">
        <v>117.11</v>
      </c>
      <c r="O80" s="333">
        <v>1617</v>
      </c>
      <c r="P80" s="330">
        <v>102.13</v>
      </c>
      <c r="Q80" s="330">
        <v>102.04</v>
      </c>
      <c r="R80" s="330">
        <v>36.07</v>
      </c>
      <c r="S80" s="330">
        <v>131.77000000000001</v>
      </c>
      <c r="T80" s="330">
        <v>202</v>
      </c>
      <c r="U80" s="330">
        <v>154.46</v>
      </c>
      <c r="V80" s="330">
        <v>380</v>
      </c>
      <c r="W80" s="330">
        <v>224.75</v>
      </c>
      <c r="X80" s="330">
        <v>52</v>
      </c>
      <c r="Y80" s="330">
        <v>0</v>
      </c>
      <c r="Z80" s="330">
        <v>8</v>
      </c>
      <c r="AA80" s="330">
        <v>0</v>
      </c>
      <c r="AB80" s="330">
        <v>42</v>
      </c>
      <c r="AC80" s="330">
        <v>7</v>
      </c>
      <c r="AD80" s="334">
        <v>2010</v>
      </c>
      <c r="AE80" s="334">
        <v>10</v>
      </c>
      <c r="AF80" s="334">
        <v>1</v>
      </c>
      <c r="AG80" s="334">
        <v>11</v>
      </c>
    </row>
    <row r="81" spans="1:33" x14ac:dyDescent="0.25">
      <c r="A81" s="329" t="s">
        <v>218</v>
      </c>
      <c r="B81" s="335" t="s">
        <v>219</v>
      </c>
      <c r="C81" s="331">
        <v>11042</v>
      </c>
      <c r="D81" s="331">
        <v>97</v>
      </c>
      <c r="E81" s="331">
        <v>1071</v>
      </c>
      <c r="F81" s="331">
        <v>799</v>
      </c>
      <c r="G81" s="331">
        <v>1802</v>
      </c>
      <c r="H81" s="331">
        <v>14811</v>
      </c>
      <c r="I81" s="330">
        <v>13009</v>
      </c>
      <c r="J81" s="330">
        <v>69</v>
      </c>
      <c r="K81" s="332">
        <v>123.9</v>
      </c>
      <c r="L81" s="332">
        <v>122.4</v>
      </c>
      <c r="M81" s="332">
        <v>8.92</v>
      </c>
      <c r="N81" s="332">
        <v>129.34</v>
      </c>
      <c r="O81" s="333">
        <v>8916</v>
      </c>
      <c r="P81" s="330">
        <v>120.52</v>
      </c>
      <c r="Q81" s="330">
        <v>96.54</v>
      </c>
      <c r="R81" s="330">
        <v>55.05</v>
      </c>
      <c r="S81" s="330">
        <v>170.69</v>
      </c>
      <c r="T81" s="330">
        <v>1230</v>
      </c>
      <c r="U81" s="330">
        <v>182.75</v>
      </c>
      <c r="V81" s="330">
        <v>1682</v>
      </c>
      <c r="W81" s="330">
        <v>117.57</v>
      </c>
      <c r="X81" s="330">
        <v>14</v>
      </c>
      <c r="Y81" s="330">
        <v>0</v>
      </c>
      <c r="Z81" s="330">
        <v>4</v>
      </c>
      <c r="AA81" s="330">
        <v>34</v>
      </c>
      <c r="AB81" s="330">
        <v>51</v>
      </c>
      <c r="AC81" s="330">
        <v>50</v>
      </c>
      <c r="AD81" s="334">
        <v>10781</v>
      </c>
      <c r="AE81" s="334">
        <v>22</v>
      </c>
      <c r="AF81" s="334">
        <v>32</v>
      </c>
      <c r="AG81" s="334">
        <v>54</v>
      </c>
    </row>
    <row r="82" spans="1:33" x14ac:dyDescent="0.25">
      <c r="A82" s="329" t="s">
        <v>220</v>
      </c>
      <c r="B82" s="335" t="s">
        <v>221</v>
      </c>
      <c r="C82" s="331">
        <v>2820</v>
      </c>
      <c r="D82" s="331">
        <v>0</v>
      </c>
      <c r="E82" s="331">
        <v>287</v>
      </c>
      <c r="F82" s="331">
        <v>241</v>
      </c>
      <c r="G82" s="331">
        <v>329</v>
      </c>
      <c r="H82" s="331">
        <v>3677</v>
      </c>
      <c r="I82" s="330">
        <v>3348</v>
      </c>
      <c r="J82" s="330">
        <v>5</v>
      </c>
      <c r="K82" s="332">
        <v>120.97</v>
      </c>
      <c r="L82" s="332">
        <v>116</v>
      </c>
      <c r="M82" s="332">
        <v>6.58</v>
      </c>
      <c r="N82" s="332">
        <v>125.96</v>
      </c>
      <c r="O82" s="333">
        <v>2006</v>
      </c>
      <c r="P82" s="330">
        <v>117.26</v>
      </c>
      <c r="Q82" s="330">
        <v>99.33</v>
      </c>
      <c r="R82" s="330">
        <v>35.25</v>
      </c>
      <c r="S82" s="330">
        <v>151.43</v>
      </c>
      <c r="T82" s="330">
        <v>424</v>
      </c>
      <c r="U82" s="330">
        <v>165.52</v>
      </c>
      <c r="V82" s="330">
        <v>617</v>
      </c>
      <c r="W82" s="330">
        <v>155.55000000000001</v>
      </c>
      <c r="X82" s="330">
        <v>8</v>
      </c>
      <c r="Y82" s="330">
        <v>0</v>
      </c>
      <c r="Z82" s="330">
        <v>1</v>
      </c>
      <c r="AA82" s="330">
        <v>2</v>
      </c>
      <c r="AB82" s="330">
        <v>11</v>
      </c>
      <c r="AC82" s="330">
        <v>8</v>
      </c>
      <c r="AD82" s="334">
        <v>2783</v>
      </c>
      <c r="AE82" s="334">
        <v>28</v>
      </c>
      <c r="AF82" s="334">
        <v>9</v>
      </c>
      <c r="AG82" s="334">
        <v>37</v>
      </c>
    </row>
    <row r="83" spans="1:33" x14ac:dyDescent="0.25">
      <c r="A83" s="329" t="s">
        <v>222</v>
      </c>
      <c r="B83" s="335" t="s">
        <v>223</v>
      </c>
      <c r="C83" s="331">
        <v>1851</v>
      </c>
      <c r="D83" s="331">
        <v>34</v>
      </c>
      <c r="E83" s="331">
        <v>267</v>
      </c>
      <c r="F83" s="331">
        <v>506</v>
      </c>
      <c r="G83" s="331">
        <v>117</v>
      </c>
      <c r="H83" s="331">
        <v>2775</v>
      </c>
      <c r="I83" s="330">
        <v>2658</v>
      </c>
      <c r="J83" s="330">
        <v>0</v>
      </c>
      <c r="K83" s="332">
        <v>80.27</v>
      </c>
      <c r="L83" s="332">
        <v>78.010000000000005</v>
      </c>
      <c r="M83" s="332">
        <v>5.39</v>
      </c>
      <c r="N83" s="332">
        <v>83.68</v>
      </c>
      <c r="O83" s="333">
        <v>1168</v>
      </c>
      <c r="P83" s="330">
        <v>87.06</v>
      </c>
      <c r="Q83" s="330">
        <v>80.67</v>
      </c>
      <c r="R83" s="330">
        <v>36.369999999999997</v>
      </c>
      <c r="S83" s="330">
        <v>120.15</v>
      </c>
      <c r="T83" s="330">
        <v>567</v>
      </c>
      <c r="U83" s="330">
        <v>94.79</v>
      </c>
      <c r="V83" s="330">
        <v>385</v>
      </c>
      <c r="W83" s="330">
        <v>90.44</v>
      </c>
      <c r="X83" s="330">
        <v>10</v>
      </c>
      <c r="Y83" s="330">
        <v>0</v>
      </c>
      <c r="Z83" s="330">
        <v>1</v>
      </c>
      <c r="AA83" s="330">
        <v>2</v>
      </c>
      <c r="AB83" s="330">
        <v>1</v>
      </c>
      <c r="AC83" s="330">
        <v>2</v>
      </c>
      <c r="AD83" s="334">
        <v>1631</v>
      </c>
      <c r="AE83" s="334">
        <v>28</v>
      </c>
      <c r="AF83" s="334">
        <v>4</v>
      </c>
      <c r="AG83" s="334">
        <v>32</v>
      </c>
    </row>
    <row r="84" spans="1:33" x14ac:dyDescent="0.25">
      <c r="A84" s="329" t="s">
        <v>224</v>
      </c>
      <c r="B84" s="335" t="s">
        <v>225</v>
      </c>
      <c r="C84" s="331">
        <v>1666</v>
      </c>
      <c r="D84" s="331">
        <v>6</v>
      </c>
      <c r="E84" s="331">
        <v>164</v>
      </c>
      <c r="F84" s="331">
        <v>107</v>
      </c>
      <c r="G84" s="331">
        <v>769</v>
      </c>
      <c r="H84" s="331">
        <v>2712</v>
      </c>
      <c r="I84" s="330">
        <v>1943</v>
      </c>
      <c r="J84" s="330">
        <v>0</v>
      </c>
      <c r="K84" s="332">
        <v>108.91</v>
      </c>
      <c r="L84" s="332">
        <v>104.68</v>
      </c>
      <c r="M84" s="332">
        <v>6.33</v>
      </c>
      <c r="N84" s="332">
        <v>114.37</v>
      </c>
      <c r="O84" s="333">
        <v>859</v>
      </c>
      <c r="P84" s="330">
        <v>118.98</v>
      </c>
      <c r="Q84" s="330">
        <v>86.96</v>
      </c>
      <c r="R84" s="330">
        <v>46.01</v>
      </c>
      <c r="S84" s="330">
        <v>161.72</v>
      </c>
      <c r="T84" s="330">
        <v>155</v>
      </c>
      <c r="U84" s="330">
        <v>155.96</v>
      </c>
      <c r="V84" s="330">
        <v>367</v>
      </c>
      <c r="W84" s="330">
        <v>0</v>
      </c>
      <c r="X84" s="330">
        <v>0</v>
      </c>
      <c r="Y84" s="330">
        <v>0</v>
      </c>
      <c r="Z84" s="330">
        <v>0</v>
      </c>
      <c r="AA84" s="330">
        <v>2</v>
      </c>
      <c r="AB84" s="330">
        <v>121</v>
      </c>
      <c r="AC84" s="330">
        <v>14</v>
      </c>
      <c r="AD84" s="334">
        <v>1287</v>
      </c>
      <c r="AE84" s="334">
        <v>3</v>
      </c>
      <c r="AF84" s="334">
        <v>1</v>
      </c>
      <c r="AG84" s="334">
        <v>4</v>
      </c>
    </row>
    <row r="85" spans="1:33" x14ac:dyDescent="0.25">
      <c r="A85" s="329" t="s">
        <v>226</v>
      </c>
      <c r="B85" s="335" t="s">
        <v>227</v>
      </c>
      <c r="C85" s="331">
        <v>5963</v>
      </c>
      <c r="D85" s="331">
        <v>0</v>
      </c>
      <c r="E85" s="331">
        <v>620</v>
      </c>
      <c r="F85" s="331">
        <v>1316</v>
      </c>
      <c r="G85" s="331">
        <v>522</v>
      </c>
      <c r="H85" s="331">
        <v>8421</v>
      </c>
      <c r="I85" s="330">
        <v>7899</v>
      </c>
      <c r="J85" s="330">
        <v>12</v>
      </c>
      <c r="K85" s="332">
        <v>88.51</v>
      </c>
      <c r="L85" s="332">
        <v>87.97</v>
      </c>
      <c r="M85" s="332">
        <v>6.03</v>
      </c>
      <c r="N85" s="332">
        <v>92.77</v>
      </c>
      <c r="O85" s="333">
        <v>5464</v>
      </c>
      <c r="P85" s="330">
        <v>83.83</v>
      </c>
      <c r="Q85" s="330">
        <v>81</v>
      </c>
      <c r="R85" s="330">
        <v>45.59</v>
      </c>
      <c r="S85" s="330">
        <v>126.02</v>
      </c>
      <c r="T85" s="330">
        <v>1514</v>
      </c>
      <c r="U85" s="330">
        <v>99.78</v>
      </c>
      <c r="V85" s="330">
        <v>333</v>
      </c>
      <c r="W85" s="330">
        <v>148.72</v>
      </c>
      <c r="X85" s="330">
        <v>103</v>
      </c>
      <c r="Y85" s="330">
        <v>0</v>
      </c>
      <c r="Z85" s="330">
        <v>2</v>
      </c>
      <c r="AA85" s="330">
        <v>17</v>
      </c>
      <c r="AB85" s="330">
        <v>28</v>
      </c>
      <c r="AC85" s="330">
        <v>21</v>
      </c>
      <c r="AD85" s="334">
        <v>5822</v>
      </c>
      <c r="AE85" s="334">
        <v>35</v>
      </c>
      <c r="AF85" s="334">
        <v>12</v>
      </c>
      <c r="AG85" s="334">
        <v>47</v>
      </c>
    </row>
    <row r="86" spans="1:33" x14ac:dyDescent="0.25">
      <c r="A86" s="329" t="s">
        <v>228</v>
      </c>
      <c r="B86" s="335" t="s">
        <v>229</v>
      </c>
      <c r="C86" s="331">
        <v>3705</v>
      </c>
      <c r="D86" s="331">
        <v>0</v>
      </c>
      <c r="E86" s="331">
        <v>53</v>
      </c>
      <c r="F86" s="331">
        <v>283</v>
      </c>
      <c r="G86" s="331">
        <v>165</v>
      </c>
      <c r="H86" s="331">
        <v>4206</v>
      </c>
      <c r="I86" s="330">
        <v>4041</v>
      </c>
      <c r="J86" s="330">
        <v>0</v>
      </c>
      <c r="K86" s="332">
        <v>92.19</v>
      </c>
      <c r="L86" s="332">
        <v>94.53</v>
      </c>
      <c r="M86" s="332">
        <v>2.38</v>
      </c>
      <c r="N86" s="332">
        <v>94.3</v>
      </c>
      <c r="O86" s="333">
        <v>3402</v>
      </c>
      <c r="P86" s="330">
        <v>84.88</v>
      </c>
      <c r="Q86" s="330">
        <v>82.86</v>
      </c>
      <c r="R86" s="330">
        <v>23.12</v>
      </c>
      <c r="S86" s="330">
        <v>106.76</v>
      </c>
      <c r="T86" s="330">
        <v>315</v>
      </c>
      <c r="U86" s="330">
        <v>111.94</v>
      </c>
      <c r="V86" s="330">
        <v>195</v>
      </c>
      <c r="W86" s="330">
        <v>146.30000000000001</v>
      </c>
      <c r="X86" s="330">
        <v>2</v>
      </c>
      <c r="Y86" s="330">
        <v>0</v>
      </c>
      <c r="Z86" s="330">
        <v>12</v>
      </c>
      <c r="AA86" s="330">
        <v>12</v>
      </c>
      <c r="AB86" s="330">
        <v>9</v>
      </c>
      <c r="AC86" s="330">
        <v>2</v>
      </c>
      <c r="AD86" s="334">
        <v>3590</v>
      </c>
      <c r="AE86" s="334">
        <v>23</v>
      </c>
      <c r="AF86" s="334">
        <v>13</v>
      </c>
      <c r="AG86" s="334">
        <v>36</v>
      </c>
    </row>
    <row r="87" spans="1:33" x14ac:dyDescent="0.25">
      <c r="A87" s="329" t="s">
        <v>230</v>
      </c>
      <c r="B87" s="335" t="s">
        <v>231</v>
      </c>
      <c r="C87" s="331">
        <v>2333</v>
      </c>
      <c r="D87" s="331">
        <v>0</v>
      </c>
      <c r="E87" s="331">
        <v>620</v>
      </c>
      <c r="F87" s="331">
        <v>888</v>
      </c>
      <c r="G87" s="331">
        <v>235</v>
      </c>
      <c r="H87" s="331">
        <v>4076</v>
      </c>
      <c r="I87" s="330">
        <v>3841</v>
      </c>
      <c r="J87" s="330">
        <v>1</v>
      </c>
      <c r="K87" s="332">
        <v>82</v>
      </c>
      <c r="L87" s="332">
        <v>79.61</v>
      </c>
      <c r="M87" s="332">
        <v>5.73</v>
      </c>
      <c r="N87" s="332">
        <v>85.48</v>
      </c>
      <c r="O87" s="333">
        <v>1727</v>
      </c>
      <c r="P87" s="330">
        <v>97.64</v>
      </c>
      <c r="Q87" s="330">
        <v>79.97</v>
      </c>
      <c r="R87" s="330">
        <v>31.58</v>
      </c>
      <c r="S87" s="330">
        <v>127.6</v>
      </c>
      <c r="T87" s="330">
        <v>1302</v>
      </c>
      <c r="U87" s="330">
        <v>92.5</v>
      </c>
      <c r="V87" s="330">
        <v>491</v>
      </c>
      <c r="W87" s="330">
        <v>138.06</v>
      </c>
      <c r="X87" s="330">
        <v>90</v>
      </c>
      <c r="Y87" s="330">
        <v>0</v>
      </c>
      <c r="Z87" s="330">
        <v>1</v>
      </c>
      <c r="AA87" s="330">
        <v>10</v>
      </c>
      <c r="AB87" s="330">
        <v>8</v>
      </c>
      <c r="AC87" s="330">
        <v>5</v>
      </c>
      <c r="AD87" s="334">
        <v>2265</v>
      </c>
      <c r="AE87" s="334">
        <v>20</v>
      </c>
      <c r="AF87" s="334">
        <v>23</v>
      </c>
      <c r="AG87" s="334">
        <v>43</v>
      </c>
    </row>
    <row r="88" spans="1:33" x14ac:dyDescent="0.25">
      <c r="A88" s="329" t="s">
        <v>232</v>
      </c>
      <c r="B88" s="335" t="s">
        <v>233</v>
      </c>
      <c r="C88" s="330">
        <v>15915</v>
      </c>
      <c r="D88" s="330">
        <v>39</v>
      </c>
      <c r="E88" s="330">
        <v>758</v>
      </c>
      <c r="F88" s="330">
        <v>4215</v>
      </c>
      <c r="G88" s="330">
        <v>1010</v>
      </c>
      <c r="H88" s="330">
        <v>21937</v>
      </c>
      <c r="I88" s="330">
        <v>20927</v>
      </c>
      <c r="J88" s="330">
        <v>14</v>
      </c>
      <c r="K88" s="330">
        <v>99.67</v>
      </c>
      <c r="L88" s="332">
        <v>99.32</v>
      </c>
      <c r="M88" s="332">
        <v>3.34</v>
      </c>
      <c r="N88" s="332">
        <v>101.86</v>
      </c>
      <c r="O88" s="333">
        <v>14518</v>
      </c>
      <c r="P88" s="330">
        <v>90.97</v>
      </c>
      <c r="Q88" s="330">
        <v>85.99</v>
      </c>
      <c r="R88" s="330">
        <v>23.39</v>
      </c>
      <c r="S88" s="330">
        <v>113.79</v>
      </c>
      <c r="T88" s="330">
        <v>4430</v>
      </c>
      <c r="U88" s="330">
        <v>135.53</v>
      </c>
      <c r="V88" s="330">
        <v>1345</v>
      </c>
      <c r="W88" s="330">
        <v>162.91999999999999</v>
      </c>
      <c r="X88" s="330">
        <v>88</v>
      </c>
      <c r="Y88" s="330">
        <v>94</v>
      </c>
      <c r="Z88" s="330">
        <v>23</v>
      </c>
      <c r="AA88" s="330">
        <v>54</v>
      </c>
      <c r="AB88" s="330">
        <v>50</v>
      </c>
      <c r="AC88" s="330">
        <v>22</v>
      </c>
      <c r="AD88" s="330">
        <v>15845</v>
      </c>
      <c r="AE88" s="330">
        <v>39</v>
      </c>
      <c r="AF88" s="330">
        <v>37</v>
      </c>
      <c r="AG88" s="330">
        <v>76</v>
      </c>
    </row>
    <row r="89" spans="1:33" x14ac:dyDescent="0.25">
      <c r="A89" s="329" t="s">
        <v>234</v>
      </c>
      <c r="B89" s="335" t="s">
        <v>235</v>
      </c>
      <c r="C89" s="331">
        <v>2083</v>
      </c>
      <c r="D89" s="331">
        <v>0</v>
      </c>
      <c r="E89" s="331">
        <v>122</v>
      </c>
      <c r="F89" s="331">
        <v>458</v>
      </c>
      <c r="G89" s="331">
        <v>224</v>
      </c>
      <c r="H89" s="331">
        <v>2887</v>
      </c>
      <c r="I89" s="330">
        <v>2663</v>
      </c>
      <c r="J89" s="330">
        <v>0</v>
      </c>
      <c r="K89" s="332">
        <v>90.32</v>
      </c>
      <c r="L89" s="332">
        <v>88.81</v>
      </c>
      <c r="M89" s="332">
        <v>6.65</v>
      </c>
      <c r="N89" s="332">
        <v>95.58</v>
      </c>
      <c r="O89" s="333">
        <v>1785</v>
      </c>
      <c r="P89" s="330">
        <v>104.71</v>
      </c>
      <c r="Q89" s="330">
        <v>90.25</v>
      </c>
      <c r="R89" s="330">
        <v>40.43</v>
      </c>
      <c r="S89" s="330">
        <v>144.12</v>
      </c>
      <c r="T89" s="330">
        <v>556</v>
      </c>
      <c r="U89" s="330">
        <v>119.22</v>
      </c>
      <c r="V89" s="330">
        <v>215</v>
      </c>
      <c r="W89" s="330">
        <v>0</v>
      </c>
      <c r="X89" s="330">
        <v>0</v>
      </c>
      <c r="Y89" s="330">
        <v>6</v>
      </c>
      <c r="Z89" s="330">
        <v>3</v>
      </c>
      <c r="AA89" s="330">
        <v>1</v>
      </c>
      <c r="AB89" s="330">
        <v>29</v>
      </c>
      <c r="AC89" s="330">
        <v>5</v>
      </c>
      <c r="AD89" s="334">
        <v>2031</v>
      </c>
      <c r="AE89" s="334">
        <v>9</v>
      </c>
      <c r="AF89" s="334">
        <v>8</v>
      </c>
      <c r="AG89" s="334">
        <v>17</v>
      </c>
    </row>
    <row r="90" spans="1:33" x14ac:dyDescent="0.25">
      <c r="A90" s="329" t="s">
        <v>236</v>
      </c>
      <c r="B90" s="335" t="s">
        <v>237</v>
      </c>
      <c r="C90" s="331">
        <v>3593</v>
      </c>
      <c r="D90" s="331">
        <v>0</v>
      </c>
      <c r="E90" s="331">
        <v>436</v>
      </c>
      <c r="F90" s="331">
        <v>820</v>
      </c>
      <c r="G90" s="331">
        <v>697</v>
      </c>
      <c r="H90" s="331">
        <v>5546</v>
      </c>
      <c r="I90" s="330">
        <v>4849</v>
      </c>
      <c r="J90" s="330">
        <v>1</v>
      </c>
      <c r="K90" s="332">
        <v>94.05</v>
      </c>
      <c r="L90" s="332">
        <v>88.36</v>
      </c>
      <c r="M90" s="332">
        <v>6.48</v>
      </c>
      <c r="N90" s="332">
        <v>99.38</v>
      </c>
      <c r="O90" s="333">
        <v>3244</v>
      </c>
      <c r="P90" s="330">
        <v>96.75</v>
      </c>
      <c r="Q90" s="330">
        <v>91.24</v>
      </c>
      <c r="R90" s="330">
        <v>47.44</v>
      </c>
      <c r="S90" s="330">
        <v>142.41999999999999</v>
      </c>
      <c r="T90" s="330">
        <v>857</v>
      </c>
      <c r="U90" s="330">
        <v>110.3</v>
      </c>
      <c r="V90" s="330">
        <v>275</v>
      </c>
      <c r="W90" s="330">
        <v>191.23</v>
      </c>
      <c r="X90" s="330">
        <v>158</v>
      </c>
      <c r="Y90" s="330">
        <v>0</v>
      </c>
      <c r="Z90" s="330">
        <v>4</v>
      </c>
      <c r="AA90" s="330">
        <v>18</v>
      </c>
      <c r="AB90" s="330">
        <v>0</v>
      </c>
      <c r="AC90" s="330">
        <v>15</v>
      </c>
      <c r="AD90" s="334">
        <v>3593</v>
      </c>
      <c r="AE90" s="334">
        <v>14</v>
      </c>
      <c r="AF90" s="334">
        <v>21</v>
      </c>
      <c r="AG90" s="334">
        <v>35</v>
      </c>
    </row>
    <row r="91" spans="1:33" x14ac:dyDescent="0.25">
      <c r="A91" s="329" t="s">
        <v>238</v>
      </c>
      <c r="B91" s="335" t="s">
        <v>239</v>
      </c>
      <c r="C91" s="331">
        <v>9625</v>
      </c>
      <c r="D91" s="331">
        <v>334</v>
      </c>
      <c r="E91" s="331">
        <v>905</v>
      </c>
      <c r="F91" s="331">
        <v>787</v>
      </c>
      <c r="G91" s="331">
        <v>2119</v>
      </c>
      <c r="H91" s="331">
        <v>13770</v>
      </c>
      <c r="I91" s="330">
        <v>11651</v>
      </c>
      <c r="J91" s="330">
        <v>139</v>
      </c>
      <c r="K91" s="332">
        <v>135.72999999999999</v>
      </c>
      <c r="L91" s="332">
        <v>128.13999999999999</v>
      </c>
      <c r="M91" s="332">
        <v>10.27</v>
      </c>
      <c r="N91" s="332">
        <v>142.81</v>
      </c>
      <c r="O91" s="333">
        <v>8586</v>
      </c>
      <c r="P91" s="330">
        <v>121.4</v>
      </c>
      <c r="Q91" s="330">
        <v>115.93</v>
      </c>
      <c r="R91" s="330">
        <v>44.33</v>
      </c>
      <c r="S91" s="330">
        <v>160.6</v>
      </c>
      <c r="T91" s="330">
        <v>1107</v>
      </c>
      <c r="U91" s="330">
        <v>191.56</v>
      </c>
      <c r="V91" s="330">
        <v>841</v>
      </c>
      <c r="W91" s="330">
        <v>190.8</v>
      </c>
      <c r="X91" s="330">
        <v>42</v>
      </c>
      <c r="Y91" s="330">
        <v>3</v>
      </c>
      <c r="Z91" s="330">
        <v>3</v>
      </c>
      <c r="AA91" s="330">
        <v>2</v>
      </c>
      <c r="AB91" s="330">
        <v>109</v>
      </c>
      <c r="AC91" s="330">
        <v>52</v>
      </c>
      <c r="AD91" s="334">
        <v>9257</v>
      </c>
      <c r="AE91" s="334">
        <v>16</v>
      </c>
      <c r="AF91" s="334">
        <v>24</v>
      </c>
      <c r="AG91" s="334">
        <v>40</v>
      </c>
    </row>
    <row r="92" spans="1:33" x14ac:dyDescent="0.25">
      <c r="A92" s="329" t="s">
        <v>240</v>
      </c>
      <c r="B92" s="335" t="s">
        <v>241</v>
      </c>
      <c r="C92" s="331">
        <v>4065</v>
      </c>
      <c r="D92" s="331">
        <v>5</v>
      </c>
      <c r="E92" s="331">
        <v>110</v>
      </c>
      <c r="F92" s="331">
        <v>1029</v>
      </c>
      <c r="G92" s="331">
        <v>395</v>
      </c>
      <c r="H92" s="331">
        <v>5604</v>
      </c>
      <c r="I92" s="330">
        <v>5209</v>
      </c>
      <c r="J92" s="330">
        <v>1</v>
      </c>
      <c r="K92" s="332">
        <v>102.35</v>
      </c>
      <c r="L92" s="332">
        <v>102.29</v>
      </c>
      <c r="M92" s="332">
        <v>2.71</v>
      </c>
      <c r="N92" s="332">
        <v>103.35</v>
      </c>
      <c r="O92" s="333">
        <v>3669</v>
      </c>
      <c r="P92" s="330">
        <v>95.25</v>
      </c>
      <c r="Q92" s="330">
        <v>95.6</v>
      </c>
      <c r="R92" s="330">
        <v>23.14</v>
      </c>
      <c r="S92" s="330">
        <v>118.33</v>
      </c>
      <c r="T92" s="330">
        <v>1128</v>
      </c>
      <c r="U92" s="330">
        <v>126.02</v>
      </c>
      <c r="V92" s="330">
        <v>353</v>
      </c>
      <c r="W92" s="330">
        <v>0</v>
      </c>
      <c r="X92" s="330">
        <v>0</v>
      </c>
      <c r="Y92" s="330">
        <v>0</v>
      </c>
      <c r="Z92" s="330">
        <v>1</v>
      </c>
      <c r="AA92" s="330">
        <v>1</v>
      </c>
      <c r="AB92" s="330">
        <v>7</v>
      </c>
      <c r="AC92" s="330">
        <v>7</v>
      </c>
      <c r="AD92" s="334">
        <v>4057</v>
      </c>
      <c r="AE92" s="334">
        <v>4</v>
      </c>
      <c r="AF92" s="334">
        <v>20</v>
      </c>
      <c r="AG92" s="334">
        <v>24</v>
      </c>
    </row>
    <row r="93" spans="1:33" x14ac:dyDescent="0.25">
      <c r="A93" s="329" t="s">
        <v>242</v>
      </c>
      <c r="B93" s="335" t="s">
        <v>243</v>
      </c>
      <c r="C93" s="331">
        <v>2116</v>
      </c>
      <c r="D93" s="331">
        <v>1</v>
      </c>
      <c r="E93" s="331">
        <v>156</v>
      </c>
      <c r="F93" s="331">
        <v>168</v>
      </c>
      <c r="G93" s="331">
        <v>504</v>
      </c>
      <c r="H93" s="331">
        <v>2945</v>
      </c>
      <c r="I93" s="330">
        <v>2441</v>
      </c>
      <c r="J93" s="330">
        <v>1</v>
      </c>
      <c r="K93" s="332">
        <v>94.45</v>
      </c>
      <c r="L93" s="332">
        <v>91.78</v>
      </c>
      <c r="M93" s="332">
        <v>3.14</v>
      </c>
      <c r="N93" s="332">
        <v>96.83</v>
      </c>
      <c r="O93" s="333">
        <v>1432</v>
      </c>
      <c r="P93" s="330">
        <v>104.82</v>
      </c>
      <c r="Q93" s="330">
        <v>79.03</v>
      </c>
      <c r="R93" s="330">
        <v>60.19</v>
      </c>
      <c r="S93" s="330">
        <v>160.61000000000001</v>
      </c>
      <c r="T93" s="330">
        <v>246</v>
      </c>
      <c r="U93" s="330">
        <v>129.04</v>
      </c>
      <c r="V93" s="330">
        <v>492</v>
      </c>
      <c r="W93" s="330">
        <v>0</v>
      </c>
      <c r="X93" s="330">
        <v>0</v>
      </c>
      <c r="Y93" s="330">
        <v>0</v>
      </c>
      <c r="Z93" s="330">
        <v>1</v>
      </c>
      <c r="AA93" s="330">
        <v>1</v>
      </c>
      <c r="AB93" s="330">
        <v>32</v>
      </c>
      <c r="AC93" s="330">
        <v>8</v>
      </c>
      <c r="AD93" s="334">
        <v>2057</v>
      </c>
      <c r="AE93" s="334">
        <v>3</v>
      </c>
      <c r="AF93" s="334">
        <v>13</v>
      </c>
      <c r="AG93" s="334">
        <v>16</v>
      </c>
    </row>
    <row r="94" spans="1:33" x14ac:dyDescent="0.25">
      <c r="A94" s="329" t="s">
        <v>244</v>
      </c>
      <c r="B94" s="335" t="s">
        <v>245</v>
      </c>
      <c r="C94" s="331">
        <v>5432</v>
      </c>
      <c r="D94" s="331">
        <v>10</v>
      </c>
      <c r="E94" s="331">
        <v>106</v>
      </c>
      <c r="F94" s="331">
        <v>785</v>
      </c>
      <c r="G94" s="331">
        <v>503</v>
      </c>
      <c r="H94" s="331">
        <v>6836</v>
      </c>
      <c r="I94" s="330">
        <v>6333</v>
      </c>
      <c r="J94" s="330">
        <v>0</v>
      </c>
      <c r="K94" s="332">
        <v>115.82</v>
      </c>
      <c r="L94" s="332">
        <v>114.02</v>
      </c>
      <c r="M94" s="332">
        <v>4.51</v>
      </c>
      <c r="N94" s="332">
        <v>117.27</v>
      </c>
      <c r="O94" s="333">
        <v>4228</v>
      </c>
      <c r="P94" s="330">
        <v>96.17</v>
      </c>
      <c r="Q94" s="330">
        <v>94.91</v>
      </c>
      <c r="R94" s="330">
        <v>14.54</v>
      </c>
      <c r="S94" s="330">
        <v>110.28</v>
      </c>
      <c r="T94" s="330">
        <v>887</v>
      </c>
      <c r="U94" s="330">
        <v>148.08000000000001</v>
      </c>
      <c r="V94" s="330">
        <v>795</v>
      </c>
      <c r="W94" s="330">
        <v>0</v>
      </c>
      <c r="X94" s="330">
        <v>0</v>
      </c>
      <c r="Y94" s="330">
        <v>23</v>
      </c>
      <c r="Z94" s="330">
        <v>3</v>
      </c>
      <c r="AA94" s="330">
        <v>0</v>
      </c>
      <c r="AB94" s="330">
        <v>63</v>
      </c>
      <c r="AC94" s="330">
        <v>42</v>
      </c>
      <c r="AD94" s="334">
        <v>5127</v>
      </c>
      <c r="AE94" s="334">
        <v>26</v>
      </c>
      <c r="AF94" s="334">
        <v>8</v>
      </c>
      <c r="AG94" s="334">
        <v>34</v>
      </c>
    </row>
    <row r="95" spans="1:33" x14ac:dyDescent="0.25">
      <c r="A95" s="329" t="s">
        <v>246</v>
      </c>
      <c r="B95" s="335" t="s">
        <v>247</v>
      </c>
      <c r="C95" s="331">
        <v>6745</v>
      </c>
      <c r="D95" s="331">
        <v>6</v>
      </c>
      <c r="E95" s="331">
        <v>196</v>
      </c>
      <c r="F95" s="331">
        <v>1053</v>
      </c>
      <c r="G95" s="331">
        <v>601</v>
      </c>
      <c r="H95" s="331">
        <v>8601</v>
      </c>
      <c r="I95" s="330">
        <v>8000</v>
      </c>
      <c r="J95" s="330">
        <v>1</v>
      </c>
      <c r="K95" s="332">
        <v>117.64</v>
      </c>
      <c r="L95" s="332">
        <v>119.97</v>
      </c>
      <c r="M95" s="332">
        <v>5.73</v>
      </c>
      <c r="N95" s="332">
        <v>119.03</v>
      </c>
      <c r="O95" s="333">
        <v>5120</v>
      </c>
      <c r="P95" s="330">
        <v>105.26</v>
      </c>
      <c r="Q95" s="330">
        <v>106.15</v>
      </c>
      <c r="R95" s="330">
        <v>28.22</v>
      </c>
      <c r="S95" s="330">
        <v>121.04</v>
      </c>
      <c r="T95" s="330">
        <v>1211</v>
      </c>
      <c r="U95" s="330">
        <v>159.01</v>
      </c>
      <c r="V95" s="330">
        <v>1514</v>
      </c>
      <c r="W95" s="330">
        <v>0</v>
      </c>
      <c r="X95" s="330">
        <v>0</v>
      </c>
      <c r="Y95" s="330">
        <v>1</v>
      </c>
      <c r="Z95" s="330">
        <v>3</v>
      </c>
      <c r="AA95" s="330">
        <v>1</v>
      </c>
      <c r="AB95" s="330">
        <v>24</v>
      </c>
      <c r="AC95" s="330">
        <v>12</v>
      </c>
      <c r="AD95" s="334">
        <v>6745</v>
      </c>
      <c r="AE95" s="334">
        <v>18</v>
      </c>
      <c r="AF95" s="334">
        <v>28</v>
      </c>
      <c r="AG95" s="334">
        <v>46</v>
      </c>
    </row>
    <row r="96" spans="1:33" x14ac:dyDescent="0.25">
      <c r="A96" s="329" t="s">
        <v>248</v>
      </c>
      <c r="B96" s="335" t="s">
        <v>249</v>
      </c>
      <c r="C96" s="331">
        <v>6721</v>
      </c>
      <c r="D96" s="331">
        <v>11</v>
      </c>
      <c r="E96" s="331">
        <v>206</v>
      </c>
      <c r="F96" s="331">
        <v>596</v>
      </c>
      <c r="G96" s="331">
        <v>521</v>
      </c>
      <c r="H96" s="331">
        <v>8055</v>
      </c>
      <c r="I96" s="330">
        <v>7534</v>
      </c>
      <c r="J96" s="330">
        <v>0</v>
      </c>
      <c r="K96" s="332">
        <v>83.31</v>
      </c>
      <c r="L96" s="332">
        <v>83.42</v>
      </c>
      <c r="M96" s="332">
        <v>2.84</v>
      </c>
      <c r="N96" s="332">
        <v>85.63</v>
      </c>
      <c r="O96" s="333">
        <v>5208</v>
      </c>
      <c r="P96" s="330">
        <v>80.86</v>
      </c>
      <c r="Q96" s="330">
        <v>78.2</v>
      </c>
      <c r="R96" s="330">
        <v>30.08</v>
      </c>
      <c r="S96" s="330">
        <v>109.55</v>
      </c>
      <c r="T96" s="330">
        <v>737</v>
      </c>
      <c r="U96" s="330">
        <v>92.82</v>
      </c>
      <c r="V96" s="330">
        <v>1325</v>
      </c>
      <c r="W96" s="330">
        <v>127.14</v>
      </c>
      <c r="X96" s="330">
        <v>59</v>
      </c>
      <c r="Y96" s="330">
        <v>0</v>
      </c>
      <c r="Z96" s="330">
        <v>13</v>
      </c>
      <c r="AA96" s="330">
        <v>7</v>
      </c>
      <c r="AB96" s="330">
        <v>38</v>
      </c>
      <c r="AC96" s="330">
        <v>8</v>
      </c>
      <c r="AD96" s="334">
        <v>6586</v>
      </c>
      <c r="AE96" s="334">
        <v>24</v>
      </c>
      <c r="AF96" s="334">
        <v>8</v>
      </c>
      <c r="AG96" s="334">
        <v>32</v>
      </c>
    </row>
    <row r="97" spans="1:33" x14ac:dyDescent="0.25">
      <c r="A97" s="329" t="s">
        <v>250</v>
      </c>
      <c r="B97" s="335" t="s">
        <v>251</v>
      </c>
      <c r="C97" s="331">
        <v>1962</v>
      </c>
      <c r="D97" s="331">
        <v>0</v>
      </c>
      <c r="E97" s="331">
        <v>250</v>
      </c>
      <c r="F97" s="331">
        <v>634</v>
      </c>
      <c r="G97" s="331">
        <v>158</v>
      </c>
      <c r="H97" s="331">
        <v>3004</v>
      </c>
      <c r="I97" s="330">
        <v>2846</v>
      </c>
      <c r="J97" s="330">
        <v>0</v>
      </c>
      <c r="K97" s="332">
        <v>90.71</v>
      </c>
      <c r="L97" s="332">
        <v>87.32</v>
      </c>
      <c r="M97" s="332">
        <v>4.83</v>
      </c>
      <c r="N97" s="332">
        <v>93.55</v>
      </c>
      <c r="O97" s="333">
        <v>1414</v>
      </c>
      <c r="P97" s="330">
        <v>88.32</v>
      </c>
      <c r="Q97" s="330">
        <v>81.56</v>
      </c>
      <c r="R97" s="330">
        <v>41.65</v>
      </c>
      <c r="S97" s="330">
        <v>129.63999999999999</v>
      </c>
      <c r="T97" s="330">
        <v>758</v>
      </c>
      <c r="U97" s="330">
        <v>101.49</v>
      </c>
      <c r="V97" s="330">
        <v>243</v>
      </c>
      <c r="W97" s="330">
        <v>113.68</v>
      </c>
      <c r="X97" s="330">
        <v>33</v>
      </c>
      <c r="Y97" s="330">
        <v>0</v>
      </c>
      <c r="Z97" s="330">
        <v>0</v>
      </c>
      <c r="AA97" s="330">
        <v>2</v>
      </c>
      <c r="AB97" s="330">
        <v>1</v>
      </c>
      <c r="AC97" s="330">
        <v>3</v>
      </c>
      <c r="AD97" s="334">
        <v>1801</v>
      </c>
      <c r="AE97" s="334">
        <v>10</v>
      </c>
      <c r="AF97" s="334">
        <v>4</v>
      </c>
      <c r="AG97" s="334">
        <v>14</v>
      </c>
    </row>
    <row r="98" spans="1:33" x14ac:dyDescent="0.25">
      <c r="A98" s="329" t="s">
        <v>252</v>
      </c>
      <c r="B98" s="335" t="s">
        <v>253</v>
      </c>
      <c r="C98" s="331">
        <v>6066</v>
      </c>
      <c r="D98" s="331">
        <v>4</v>
      </c>
      <c r="E98" s="331">
        <v>140</v>
      </c>
      <c r="F98" s="331">
        <v>465</v>
      </c>
      <c r="G98" s="331">
        <v>192</v>
      </c>
      <c r="H98" s="331">
        <v>6867</v>
      </c>
      <c r="I98" s="330">
        <v>6675</v>
      </c>
      <c r="J98" s="330">
        <v>4</v>
      </c>
      <c r="K98" s="332">
        <v>82.07</v>
      </c>
      <c r="L98" s="332">
        <v>78.900000000000006</v>
      </c>
      <c r="M98" s="332">
        <v>7.2</v>
      </c>
      <c r="N98" s="332">
        <v>84.91</v>
      </c>
      <c r="O98" s="333">
        <v>4968</v>
      </c>
      <c r="P98" s="330">
        <v>79.739999999999995</v>
      </c>
      <c r="Q98" s="330">
        <v>75.7</v>
      </c>
      <c r="R98" s="330">
        <v>42.77</v>
      </c>
      <c r="S98" s="330">
        <v>121.38</v>
      </c>
      <c r="T98" s="330">
        <v>605</v>
      </c>
      <c r="U98" s="330">
        <v>93.72</v>
      </c>
      <c r="V98" s="330">
        <v>1072</v>
      </c>
      <c r="W98" s="330">
        <v>0</v>
      </c>
      <c r="X98" s="330">
        <v>0</v>
      </c>
      <c r="Y98" s="330">
        <v>0</v>
      </c>
      <c r="Z98" s="330">
        <v>22</v>
      </c>
      <c r="AA98" s="330">
        <v>11</v>
      </c>
      <c r="AB98" s="330">
        <v>8</v>
      </c>
      <c r="AC98" s="330">
        <v>2</v>
      </c>
      <c r="AD98" s="334">
        <v>6066</v>
      </c>
      <c r="AE98" s="334">
        <v>49</v>
      </c>
      <c r="AF98" s="334">
        <v>13</v>
      </c>
      <c r="AG98" s="334">
        <v>62</v>
      </c>
    </row>
    <row r="99" spans="1:33" x14ac:dyDescent="0.25">
      <c r="A99" s="329" t="s">
        <v>254</v>
      </c>
      <c r="B99" s="335" t="s">
        <v>255</v>
      </c>
      <c r="C99" s="330">
        <v>7989</v>
      </c>
      <c r="D99" s="330">
        <v>0</v>
      </c>
      <c r="E99" s="330">
        <v>443</v>
      </c>
      <c r="F99" s="330">
        <v>1431</v>
      </c>
      <c r="G99" s="330">
        <v>259</v>
      </c>
      <c r="H99" s="330">
        <v>10122</v>
      </c>
      <c r="I99" s="330">
        <v>9863</v>
      </c>
      <c r="J99" s="330">
        <v>0</v>
      </c>
      <c r="K99" s="330">
        <v>92.33</v>
      </c>
      <c r="L99" s="332">
        <v>92.42</v>
      </c>
      <c r="M99" s="332">
        <v>3.58</v>
      </c>
      <c r="N99" s="332">
        <v>93.78</v>
      </c>
      <c r="O99" s="333">
        <v>7051</v>
      </c>
      <c r="P99" s="330">
        <v>81.180000000000007</v>
      </c>
      <c r="Q99" s="330">
        <v>78.52</v>
      </c>
      <c r="R99" s="330">
        <v>33.58</v>
      </c>
      <c r="S99" s="330">
        <v>113.47</v>
      </c>
      <c r="T99" s="330">
        <v>1733</v>
      </c>
      <c r="U99" s="330">
        <v>102.89</v>
      </c>
      <c r="V99" s="330">
        <v>790</v>
      </c>
      <c r="W99" s="330">
        <v>159.4</v>
      </c>
      <c r="X99" s="330">
        <v>28</v>
      </c>
      <c r="Y99" s="330">
        <v>0</v>
      </c>
      <c r="Z99" s="330">
        <v>5</v>
      </c>
      <c r="AA99" s="330">
        <v>2</v>
      </c>
      <c r="AB99" s="330">
        <v>11</v>
      </c>
      <c r="AC99" s="330">
        <v>10</v>
      </c>
      <c r="AD99" s="330">
        <v>7972</v>
      </c>
      <c r="AE99" s="330">
        <v>46</v>
      </c>
      <c r="AF99" s="330">
        <v>10</v>
      </c>
      <c r="AG99" s="330">
        <v>56</v>
      </c>
    </row>
    <row r="100" spans="1:33" x14ac:dyDescent="0.25">
      <c r="A100" s="329" t="s">
        <v>256</v>
      </c>
      <c r="B100" s="335" t="s">
        <v>257</v>
      </c>
      <c r="C100" s="331">
        <v>1784</v>
      </c>
      <c r="D100" s="331">
        <v>12</v>
      </c>
      <c r="E100" s="331">
        <v>357</v>
      </c>
      <c r="F100" s="331">
        <v>489</v>
      </c>
      <c r="G100" s="331">
        <v>154</v>
      </c>
      <c r="H100" s="331">
        <v>2796</v>
      </c>
      <c r="I100" s="330">
        <v>2642</v>
      </c>
      <c r="J100" s="330">
        <v>19</v>
      </c>
      <c r="K100" s="332">
        <v>95</v>
      </c>
      <c r="L100" s="332">
        <v>91.13</v>
      </c>
      <c r="M100" s="332">
        <v>8.08</v>
      </c>
      <c r="N100" s="332">
        <v>101.9</v>
      </c>
      <c r="O100" s="333">
        <v>1553</v>
      </c>
      <c r="P100" s="330">
        <v>84.45</v>
      </c>
      <c r="Q100" s="330">
        <v>76.319999999999993</v>
      </c>
      <c r="R100" s="330">
        <v>43.83</v>
      </c>
      <c r="S100" s="330">
        <v>124.47</v>
      </c>
      <c r="T100" s="330">
        <v>680</v>
      </c>
      <c r="U100" s="330">
        <v>134.22999999999999</v>
      </c>
      <c r="V100" s="330">
        <v>221</v>
      </c>
      <c r="W100" s="330">
        <v>130.07</v>
      </c>
      <c r="X100" s="330">
        <v>18</v>
      </c>
      <c r="Y100" s="330">
        <v>0</v>
      </c>
      <c r="Z100" s="330">
        <v>1</v>
      </c>
      <c r="AA100" s="330">
        <v>0</v>
      </c>
      <c r="AB100" s="330">
        <v>11</v>
      </c>
      <c r="AC100" s="330">
        <v>4</v>
      </c>
      <c r="AD100" s="334">
        <v>1782</v>
      </c>
      <c r="AE100" s="334">
        <v>31</v>
      </c>
      <c r="AF100" s="334">
        <v>1</v>
      </c>
      <c r="AG100" s="334">
        <v>32</v>
      </c>
    </row>
    <row r="101" spans="1:33" x14ac:dyDescent="0.25">
      <c r="A101" s="329" t="s">
        <v>258</v>
      </c>
      <c r="B101" s="335" t="s">
        <v>259</v>
      </c>
      <c r="C101" s="331">
        <v>5569</v>
      </c>
      <c r="D101" s="331">
        <v>0</v>
      </c>
      <c r="E101" s="331">
        <v>166</v>
      </c>
      <c r="F101" s="331">
        <v>1166</v>
      </c>
      <c r="G101" s="331">
        <v>647</v>
      </c>
      <c r="H101" s="331">
        <v>7548</v>
      </c>
      <c r="I101" s="330">
        <v>6901</v>
      </c>
      <c r="J101" s="330">
        <v>0</v>
      </c>
      <c r="K101" s="332">
        <v>108.75</v>
      </c>
      <c r="L101" s="332">
        <v>107.91</v>
      </c>
      <c r="M101" s="332">
        <v>5.01</v>
      </c>
      <c r="N101" s="332">
        <v>111.35</v>
      </c>
      <c r="O101" s="333">
        <v>4376</v>
      </c>
      <c r="P101" s="330">
        <v>98.4</v>
      </c>
      <c r="Q101" s="330">
        <v>95.28</v>
      </c>
      <c r="R101" s="330">
        <v>25.5</v>
      </c>
      <c r="S101" s="330">
        <v>120.79</v>
      </c>
      <c r="T101" s="330">
        <v>1074</v>
      </c>
      <c r="U101" s="330">
        <v>148.01</v>
      </c>
      <c r="V101" s="330">
        <v>1055</v>
      </c>
      <c r="W101" s="330">
        <v>149.68</v>
      </c>
      <c r="X101" s="330">
        <v>195</v>
      </c>
      <c r="Y101" s="330">
        <v>7</v>
      </c>
      <c r="Z101" s="330">
        <v>3</v>
      </c>
      <c r="AA101" s="330">
        <v>1</v>
      </c>
      <c r="AB101" s="330">
        <v>54</v>
      </c>
      <c r="AC101" s="330">
        <v>34</v>
      </c>
      <c r="AD101" s="334">
        <v>5569</v>
      </c>
      <c r="AE101" s="334">
        <v>35</v>
      </c>
      <c r="AF101" s="334">
        <v>5</v>
      </c>
      <c r="AG101" s="334">
        <v>40</v>
      </c>
    </row>
    <row r="102" spans="1:33" x14ac:dyDescent="0.25">
      <c r="A102" s="329" t="s">
        <v>260</v>
      </c>
      <c r="B102" s="335" t="s">
        <v>261</v>
      </c>
      <c r="C102" s="331">
        <v>2166</v>
      </c>
      <c r="D102" s="331">
        <v>9</v>
      </c>
      <c r="E102" s="331">
        <v>163</v>
      </c>
      <c r="F102" s="331">
        <v>185</v>
      </c>
      <c r="G102" s="331">
        <v>187</v>
      </c>
      <c r="H102" s="331">
        <v>2710</v>
      </c>
      <c r="I102" s="330">
        <v>2523</v>
      </c>
      <c r="J102" s="330">
        <v>48</v>
      </c>
      <c r="K102" s="332">
        <v>96.09</v>
      </c>
      <c r="L102" s="332">
        <v>95.06</v>
      </c>
      <c r="M102" s="332">
        <v>4.79</v>
      </c>
      <c r="N102" s="332">
        <v>97.93</v>
      </c>
      <c r="O102" s="333">
        <v>1971</v>
      </c>
      <c r="P102" s="330">
        <v>84.91</v>
      </c>
      <c r="Q102" s="330">
        <v>80.61</v>
      </c>
      <c r="R102" s="330">
        <v>26.11</v>
      </c>
      <c r="S102" s="330">
        <v>108.95</v>
      </c>
      <c r="T102" s="330">
        <v>341</v>
      </c>
      <c r="U102" s="330">
        <v>109.48</v>
      </c>
      <c r="V102" s="330">
        <v>170</v>
      </c>
      <c r="W102" s="330">
        <v>0</v>
      </c>
      <c r="X102" s="330">
        <v>0</v>
      </c>
      <c r="Y102" s="330">
        <v>0</v>
      </c>
      <c r="Z102" s="330">
        <v>9</v>
      </c>
      <c r="AA102" s="330">
        <v>3</v>
      </c>
      <c r="AB102" s="330">
        <v>2</v>
      </c>
      <c r="AC102" s="330">
        <v>0</v>
      </c>
      <c r="AD102" s="334">
        <v>2128</v>
      </c>
      <c r="AE102" s="334">
        <v>24</v>
      </c>
      <c r="AF102" s="334">
        <v>6</v>
      </c>
      <c r="AG102" s="334">
        <v>30</v>
      </c>
    </row>
    <row r="103" spans="1:33" x14ac:dyDescent="0.25">
      <c r="A103" s="329" t="s">
        <v>262</v>
      </c>
      <c r="B103" s="335" t="s">
        <v>263</v>
      </c>
      <c r="C103" s="331">
        <v>4444</v>
      </c>
      <c r="D103" s="331">
        <v>5</v>
      </c>
      <c r="E103" s="331">
        <v>99</v>
      </c>
      <c r="F103" s="331">
        <v>951</v>
      </c>
      <c r="G103" s="331">
        <v>469</v>
      </c>
      <c r="H103" s="331">
        <v>5968</v>
      </c>
      <c r="I103" s="330">
        <v>5499</v>
      </c>
      <c r="J103" s="330">
        <v>0</v>
      </c>
      <c r="K103" s="332">
        <v>126.5</v>
      </c>
      <c r="L103" s="332">
        <v>129.62</v>
      </c>
      <c r="M103" s="332">
        <v>7.67</v>
      </c>
      <c r="N103" s="332">
        <v>130.32</v>
      </c>
      <c r="O103" s="333">
        <v>3723</v>
      </c>
      <c r="P103" s="330">
        <v>114.75</v>
      </c>
      <c r="Q103" s="330">
        <v>107.63</v>
      </c>
      <c r="R103" s="330">
        <v>19.7</v>
      </c>
      <c r="S103" s="330">
        <v>134.43</v>
      </c>
      <c r="T103" s="330">
        <v>800</v>
      </c>
      <c r="U103" s="330">
        <v>195.72</v>
      </c>
      <c r="V103" s="330">
        <v>489</v>
      </c>
      <c r="W103" s="330">
        <v>149.1</v>
      </c>
      <c r="X103" s="330">
        <v>19</v>
      </c>
      <c r="Y103" s="330">
        <v>0</v>
      </c>
      <c r="Z103" s="330">
        <v>2</v>
      </c>
      <c r="AA103" s="330">
        <v>2</v>
      </c>
      <c r="AB103" s="330">
        <v>31</v>
      </c>
      <c r="AC103" s="330">
        <v>16</v>
      </c>
      <c r="AD103" s="334">
        <v>4324</v>
      </c>
      <c r="AE103" s="334">
        <v>15</v>
      </c>
      <c r="AF103" s="334">
        <v>9</v>
      </c>
      <c r="AG103" s="334">
        <v>24</v>
      </c>
    </row>
    <row r="104" spans="1:33" x14ac:dyDescent="0.25">
      <c r="A104" s="329" t="s">
        <v>264</v>
      </c>
      <c r="B104" s="335" t="s">
        <v>265</v>
      </c>
      <c r="C104" s="331">
        <v>6896</v>
      </c>
      <c r="D104" s="331">
        <v>317</v>
      </c>
      <c r="E104" s="331">
        <v>658</v>
      </c>
      <c r="F104" s="331">
        <v>690</v>
      </c>
      <c r="G104" s="331">
        <v>1240</v>
      </c>
      <c r="H104" s="331">
        <v>9801</v>
      </c>
      <c r="I104" s="330">
        <v>8561</v>
      </c>
      <c r="J104" s="330">
        <v>85</v>
      </c>
      <c r="K104" s="332">
        <v>123.81</v>
      </c>
      <c r="L104" s="332">
        <v>120.96</v>
      </c>
      <c r="M104" s="332">
        <v>12.48</v>
      </c>
      <c r="N104" s="332">
        <v>132.26</v>
      </c>
      <c r="O104" s="333">
        <v>5852</v>
      </c>
      <c r="P104" s="330">
        <v>119.58</v>
      </c>
      <c r="Q104" s="330">
        <v>106.1</v>
      </c>
      <c r="R104" s="330">
        <v>63.84</v>
      </c>
      <c r="S104" s="330">
        <v>174.55</v>
      </c>
      <c r="T104" s="330">
        <v>1231</v>
      </c>
      <c r="U104" s="330">
        <v>192.15</v>
      </c>
      <c r="V104" s="330">
        <v>654</v>
      </c>
      <c r="W104" s="330">
        <v>0</v>
      </c>
      <c r="X104" s="330">
        <v>0</v>
      </c>
      <c r="Y104" s="330">
        <v>0</v>
      </c>
      <c r="Z104" s="330">
        <v>7</v>
      </c>
      <c r="AA104" s="330">
        <v>4</v>
      </c>
      <c r="AB104" s="330">
        <v>82</v>
      </c>
      <c r="AC104" s="330">
        <v>35</v>
      </c>
      <c r="AD104" s="334">
        <v>6505</v>
      </c>
      <c r="AE104" s="334">
        <v>19</v>
      </c>
      <c r="AF104" s="334">
        <v>9</v>
      </c>
      <c r="AG104" s="334">
        <v>28</v>
      </c>
    </row>
    <row r="105" spans="1:33" x14ac:dyDescent="0.25">
      <c r="A105" s="329" t="s">
        <v>266</v>
      </c>
      <c r="B105" s="335" t="s">
        <v>267</v>
      </c>
      <c r="C105" s="331">
        <v>1403</v>
      </c>
      <c r="D105" s="331">
        <v>0</v>
      </c>
      <c r="E105" s="331">
        <v>156</v>
      </c>
      <c r="F105" s="331">
        <v>228</v>
      </c>
      <c r="G105" s="331">
        <v>248</v>
      </c>
      <c r="H105" s="331">
        <v>2035</v>
      </c>
      <c r="I105" s="330">
        <v>1787</v>
      </c>
      <c r="J105" s="330">
        <v>0</v>
      </c>
      <c r="K105" s="332">
        <v>120.61</v>
      </c>
      <c r="L105" s="332">
        <v>118.48</v>
      </c>
      <c r="M105" s="332">
        <v>5.43</v>
      </c>
      <c r="N105" s="332">
        <v>125.36</v>
      </c>
      <c r="O105" s="333">
        <v>1223</v>
      </c>
      <c r="P105" s="330">
        <v>96.19</v>
      </c>
      <c r="Q105" s="330">
        <v>88.35</v>
      </c>
      <c r="R105" s="330">
        <v>51.04</v>
      </c>
      <c r="S105" s="330">
        <v>146.87</v>
      </c>
      <c r="T105" s="330">
        <v>286</v>
      </c>
      <c r="U105" s="330">
        <v>166.5</v>
      </c>
      <c r="V105" s="330">
        <v>163</v>
      </c>
      <c r="W105" s="330">
        <v>0</v>
      </c>
      <c r="X105" s="330">
        <v>0</v>
      </c>
      <c r="Y105" s="330">
        <v>0</v>
      </c>
      <c r="Z105" s="330">
        <v>0</v>
      </c>
      <c r="AA105" s="330">
        <v>0</v>
      </c>
      <c r="AB105" s="330">
        <v>4</v>
      </c>
      <c r="AC105" s="330">
        <v>4</v>
      </c>
      <c r="AD105" s="334">
        <v>1402</v>
      </c>
      <c r="AE105" s="334">
        <v>6</v>
      </c>
      <c r="AF105" s="334">
        <v>0</v>
      </c>
      <c r="AG105" s="334">
        <v>6</v>
      </c>
    </row>
    <row r="106" spans="1:33" x14ac:dyDescent="0.25">
      <c r="A106" s="329" t="s">
        <v>268</v>
      </c>
      <c r="B106" s="335" t="s">
        <v>269</v>
      </c>
      <c r="C106" s="331">
        <v>2093</v>
      </c>
      <c r="D106" s="331">
        <v>8</v>
      </c>
      <c r="E106" s="331">
        <v>144</v>
      </c>
      <c r="F106" s="331">
        <v>383</v>
      </c>
      <c r="G106" s="331">
        <v>341</v>
      </c>
      <c r="H106" s="331">
        <v>2969</v>
      </c>
      <c r="I106" s="330">
        <v>2628</v>
      </c>
      <c r="J106" s="330">
        <v>0</v>
      </c>
      <c r="K106" s="332">
        <v>122.14</v>
      </c>
      <c r="L106" s="332">
        <v>115.65</v>
      </c>
      <c r="M106" s="332">
        <v>8.93</v>
      </c>
      <c r="N106" s="332">
        <v>127.11</v>
      </c>
      <c r="O106" s="333">
        <v>1969</v>
      </c>
      <c r="P106" s="330">
        <v>102.71</v>
      </c>
      <c r="Q106" s="330">
        <v>96.19</v>
      </c>
      <c r="R106" s="330">
        <v>27.61</v>
      </c>
      <c r="S106" s="330">
        <v>129.72999999999999</v>
      </c>
      <c r="T106" s="330">
        <v>329</v>
      </c>
      <c r="U106" s="330">
        <v>187.88</v>
      </c>
      <c r="V106" s="330">
        <v>208</v>
      </c>
      <c r="W106" s="330">
        <v>208.83</v>
      </c>
      <c r="X106" s="330">
        <v>51</v>
      </c>
      <c r="Y106" s="330">
        <v>0</v>
      </c>
      <c r="Z106" s="330">
        <v>2</v>
      </c>
      <c r="AA106" s="330">
        <v>2</v>
      </c>
      <c r="AB106" s="330">
        <v>6</v>
      </c>
      <c r="AC106" s="330">
        <v>5</v>
      </c>
      <c r="AD106" s="334">
        <v>2093</v>
      </c>
      <c r="AE106" s="334">
        <v>4</v>
      </c>
      <c r="AF106" s="334">
        <v>2</v>
      </c>
      <c r="AG106" s="334">
        <v>6</v>
      </c>
    </row>
    <row r="107" spans="1:33" x14ac:dyDescent="0.25">
      <c r="A107" s="329" t="s">
        <v>270</v>
      </c>
      <c r="B107" s="335" t="s">
        <v>271</v>
      </c>
      <c r="C107" s="331">
        <v>4603</v>
      </c>
      <c r="D107" s="331">
        <v>0</v>
      </c>
      <c r="E107" s="331">
        <v>72</v>
      </c>
      <c r="F107" s="331">
        <v>1903</v>
      </c>
      <c r="G107" s="331">
        <v>172</v>
      </c>
      <c r="H107" s="331">
        <v>6750</v>
      </c>
      <c r="I107" s="330">
        <v>6578</v>
      </c>
      <c r="J107" s="330">
        <v>1</v>
      </c>
      <c r="K107" s="332">
        <v>88.69</v>
      </c>
      <c r="L107" s="332">
        <v>88.34</v>
      </c>
      <c r="M107" s="332">
        <v>3.11</v>
      </c>
      <c r="N107" s="332">
        <v>90.48</v>
      </c>
      <c r="O107" s="333">
        <v>4299</v>
      </c>
      <c r="P107" s="330">
        <v>79.7</v>
      </c>
      <c r="Q107" s="330">
        <v>79.150000000000006</v>
      </c>
      <c r="R107" s="330">
        <v>7.47</v>
      </c>
      <c r="S107" s="330">
        <v>86.7</v>
      </c>
      <c r="T107" s="330">
        <v>1972</v>
      </c>
      <c r="U107" s="330">
        <v>97.16</v>
      </c>
      <c r="V107" s="330">
        <v>265</v>
      </c>
      <c r="W107" s="330">
        <v>0</v>
      </c>
      <c r="X107" s="330">
        <v>0</v>
      </c>
      <c r="Y107" s="330">
        <v>4</v>
      </c>
      <c r="Z107" s="330">
        <v>30</v>
      </c>
      <c r="AA107" s="330">
        <v>3</v>
      </c>
      <c r="AB107" s="330">
        <v>0</v>
      </c>
      <c r="AC107" s="330">
        <v>3</v>
      </c>
      <c r="AD107" s="334">
        <v>4602</v>
      </c>
      <c r="AE107" s="334">
        <v>31</v>
      </c>
      <c r="AF107" s="334">
        <v>9</v>
      </c>
      <c r="AG107" s="334">
        <v>40</v>
      </c>
    </row>
    <row r="108" spans="1:33" x14ac:dyDescent="0.25">
      <c r="A108" s="329" t="s">
        <v>272</v>
      </c>
      <c r="B108" s="335" t="s">
        <v>273</v>
      </c>
      <c r="C108" s="331">
        <v>3598</v>
      </c>
      <c r="D108" s="331">
        <v>0</v>
      </c>
      <c r="E108" s="331">
        <v>575</v>
      </c>
      <c r="F108" s="331">
        <v>237</v>
      </c>
      <c r="G108" s="331">
        <v>452</v>
      </c>
      <c r="H108" s="331">
        <v>4862</v>
      </c>
      <c r="I108" s="330">
        <v>4410</v>
      </c>
      <c r="J108" s="330">
        <v>2</v>
      </c>
      <c r="K108" s="332">
        <v>88.56</v>
      </c>
      <c r="L108" s="332">
        <v>86.51</v>
      </c>
      <c r="M108" s="332">
        <v>7.2</v>
      </c>
      <c r="N108" s="332">
        <v>94.04</v>
      </c>
      <c r="O108" s="333">
        <v>3207</v>
      </c>
      <c r="P108" s="330">
        <v>95.15</v>
      </c>
      <c r="Q108" s="330">
        <v>67.83</v>
      </c>
      <c r="R108" s="330">
        <v>75.23</v>
      </c>
      <c r="S108" s="330">
        <v>161.69</v>
      </c>
      <c r="T108" s="330">
        <v>520</v>
      </c>
      <c r="U108" s="330">
        <v>122.87</v>
      </c>
      <c r="V108" s="330">
        <v>241</v>
      </c>
      <c r="W108" s="330">
        <v>0</v>
      </c>
      <c r="X108" s="330">
        <v>0</v>
      </c>
      <c r="Y108" s="330">
        <v>20</v>
      </c>
      <c r="Z108" s="330">
        <v>0</v>
      </c>
      <c r="AA108" s="330">
        <v>0</v>
      </c>
      <c r="AB108" s="330">
        <v>18</v>
      </c>
      <c r="AC108" s="330">
        <v>13</v>
      </c>
      <c r="AD108" s="334">
        <v>3433</v>
      </c>
      <c r="AE108" s="334">
        <v>17</v>
      </c>
      <c r="AF108" s="334">
        <v>50</v>
      </c>
      <c r="AG108" s="334">
        <v>67</v>
      </c>
    </row>
    <row r="109" spans="1:33" x14ac:dyDescent="0.25">
      <c r="A109" s="329" t="s">
        <v>274</v>
      </c>
      <c r="B109" s="335" t="s">
        <v>275</v>
      </c>
      <c r="C109" s="331">
        <v>1441</v>
      </c>
      <c r="D109" s="331">
        <v>0</v>
      </c>
      <c r="E109" s="331">
        <v>179</v>
      </c>
      <c r="F109" s="331">
        <v>182</v>
      </c>
      <c r="G109" s="331">
        <v>281</v>
      </c>
      <c r="H109" s="331">
        <v>2083</v>
      </c>
      <c r="I109" s="330">
        <v>1802</v>
      </c>
      <c r="J109" s="330">
        <v>7</v>
      </c>
      <c r="K109" s="332">
        <v>107.23</v>
      </c>
      <c r="L109" s="332">
        <v>106.34</v>
      </c>
      <c r="M109" s="332">
        <v>7.33</v>
      </c>
      <c r="N109" s="332">
        <v>112.56</v>
      </c>
      <c r="O109" s="333">
        <v>1037</v>
      </c>
      <c r="P109" s="330">
        <v>97.42</v>
      </c>
      <c r="Q109" s="330">
        <v>89.5</v>
      </c>
      <c r="R109" s="330">
        <v>38.31</v>
      </c>
      <c r="S109" s="330">
        <v>132.94</v>
      </c>
      <c r="T109" s="330">
        <v>248</v>
      </c>
      <c r="U109" s="330">
        <v>142.94</v>
      </c>
      <c r="V109" s="330">
        <v>300</v>
      </c>
      <c r="W109" s="330">
        <v>0</v>
      </c>
      <c r="X109" s="330">
        <v>0</v>
      </c>
      <c r="Y109" s="330">
        <v>13</v>
      </c>
      <c r="Z109" s="330">
        <v>1</v>
      </c>
      <c r="AA109" s="330">
        <v>0</v>
      </c>
      <c r="AB109" s="330">
        <v>16</v>
      </c>
      <c r="AC109" s="330">
        <v>3</v>
      </c>
      <c r="AD109" s="334">
        <v>1429</v>
      </c>
      <c r="AE109" s="334">
        <v>5</v>
      </c>
      <c r="AF109" s="334">
        <v>5</v>
      </c>
      <c r="AG109" s="334">
        <v>10</v>
      </c>
    </row>
    <row r="110" spans="1:33" x14ac:dyDescent="0.25">
      <c r="A110" s="329" t="s">
        <v>276</v>
      </c>
      <c r="B110" s="335" t="s">
        <v>277</v>
      </c>
      <c r="C110" s="331">
        <v>4749</v>
      </c>
      <c r="D110" s="331">
        <v>7</v>
      </c>
      <c r="E110" s="331">
        <v>218</v>
      </c>
      <c r="F110" s="331">
        <v>680</v>
      </c>
      <c r="G110" s="331">
        <v>158</v>
      </c>
      <c r="H110" s="331">
        <v>5812</v>
      </c>
      <c r="I110" s="330">
        <v>5654</v>
      </c>
      <c r="J110" s="330">
        <v>10</v>
      </c>
      <c r="K110" s="332">
        <v>92.79</v>
      </c>
      <c r="L110" s="332">
        <v>94.92</v>
      </c>
      <c r="M110" s="332">
        <v>4.33</v>
      </c>
      <c r="N110" s="332">
        <v>93.66</v>
      </c>
      <c r="O110" s="333">
        <v>4406</v>
      </c>
      <c r="P110" s="330">
        <v>88.71</v>
      </c>
      <c r="Q110" s="330">
        <v>88.94</v>
      </c>
      <c r="R110" s="330">
        <v>53.22</v>
      </c>
      <c r="S110" s="330">
        <v>115.35</v>
      </c>
      <c r="T110" s="330">
        <v>853</v>
      </c>
      <c r="U110" s="330">
        <v>108.24</v>
      </c>
      <c r="V110" s="330">
        <v>342</v>
      </c>
      <c r="W110" s="330">
        <v>0</v>
      </c>
      <c r="X110" s="330">
        <v>0</v>
      </c>
      <c r="Y110" s="330">
        <v>0</v>
      </c>
      <c r="Z110" s="330">
        <v>3</v>
      </c>
      <c r="AA110" s="330">
        <v>1</v>
      </c>
      <c r="AB110" s="330">
        <v>20</v>
      </c>
      <c r="AC110" s="330">
        <v>4</v>
      </c>
      <c r="AD110" s="334">
        <v>4746</v>
      </c>
      <c r="AE110" s="334">
        <v>3</v>
      </c>
      <c r="AF110" s="334">
        <v>1</v>
      </c>
      <c r="AG110" s="334">
        <v>4</v>
      </c>
    </row>
    <row r="111" spans="1:33" x14ac:dyDescent="0.25">
      <c r="A111" s="329" t="s">
        <v>278</v>
      </c>
      <c r="B111" s="335" t="s">
        <v>279</v>
      </c>
      <c r="C111" s="331">
        <v>1565</v>
      </c>
      <c r="D111" s="331">
        <v>2</v>
      </c>
      <c r="E111" s="331">
        <v>118</v>
      </c>
      <c r="F111" s="331">
        <v>300</v>
      </c>
      <c r="G111" s="331">
        <v>284</v>
      </c>
      <c r="H111" s="331">
        <v>2269</v>
      </c>
      <c r="I111" s="330">
        <v>1985</v>
      </c>
      <c r="J111" s="330">
        <v>4</v>
      </c>
      <c r="K111" s="332">
        <v>94.79</v>
      </c>
      <c r="L111" s="332">
        <v>92.89</v>
      </c>
      <c r="M111" s="332">
        <v>6.56</v>
      </c>
      <c r="N111" s="332">
        <v>99.75</v>
      </c>
      <c r="O111" s="333">
        <v>1219</v>
      </c>
      <c r="P111" s="330">
        <v>98.25</v>
      </c>
      <c r="Q111" s="330">
        <v>85.53</v>
      </c>
      <c r="R111" s="330">
        <v>42.86</v>
      </c>
      <c r="S111" s="330">
        <v>137.21</v>
      </c>
      <c r="T111" s="330">
        <v>384</v>
      </c>
      <c r="U111" s="330">
        <v>139.27000000000001</v>
      </c>
      <c r="V111" s="330">
        <v>168</v>
      </c>
      <c r="W111" s="330">
        <v>74.06</v>
      </c>
      <c r="X111" s="330">
        <v>7</v>
      </c>
      <c r="Y111" s="330">
        <v>0</v>
      </c>
      <c r="Z111" s="330">
        <v>3</v>
      </c>
      <c r="AA111" s="330">
        <v>19</v>
      </c>
      <c r="AB111" s="330">
        <v>29</v>
      </c>
      <c r="AC111" s="330">
        <v>1</v>
      </c>
      <c r="AD111" s="334">
        <v>1406</v>
      </c>
      <c r="AE111" s="334">
        <v>7</v>
      </c>
      <c r="AF111" s="334">
        <v>48</v>
      </c>
      <c r="AG111" s="334">
        <v>55</v>
      </c>
    </row>
    <row r="112" spans="1:33" x14ac:dyDescent="0.25">
      <c r="A112" s="329" t="s">
        <v>280</v>
      </c>
      <c r="B112" s="335" t="s">
        <v>281</v>
      </c>
      <c r="C112" s="331">
        <v>4186</v>
      </c>
      <c r="D112" s="331">
        <v>12</v>
      </c>
      <c r="E112" s="331">
        <v>81</v>
      </c>
      <c r="F112" s="331">
        <v>786</v>
      </c>
      <c r="G112" s="331">
        <v>205</v>
      </c>
      <c r="H112" s="331">
        <v>5270</v>
      </c>
      <c r="I112" s="330">
        <v>5065</v>
      </c>
      <c r="J112" s="330">
        <v>7</v>
      </c>
      <c r="K112" s="332">
        <v>94.33</v>
      </c>
      <c r="L112" s="332">
        <v>93.71</v>
      </c>
      <c r="M112" s="332">
        <v>1.9</v>
      </c>
      <c r="N112" s="332">
        <v>95.97</v>
      </c>
      <c r="O112" s="333">
        <v>3356</v>
      </c>
      <c r="P112" s="330">
        <v>90.26</v>
      </c>
      <c r="Q112" s="330">
        <v>87.71</v>
      </c>
      <c r="R112" s="330">
        <v>21.86</v>
      </c>
      <c r="S112" s="330">
        <v>111.52</v>
      </c>
      <c r="T112" s="330">
        <v>777</v>
      </c>
      <c r="U112" s="330">
        <v>108.57</v>
      </c>
      <c r="V112" s="330">
        <v>415</v>
      </c>
      <c r="W112" s="330">
        <v>200.24</v>
      </c>
      <c r="X112" s="330">
        <v>68</v>
      </c>
      <c r="Y112" s="330">
        <v>0</v>
      </c>
      <c r="Z112" s="330">
        <v>23</v>
      </c>
      <c r="AA112" s="330">
        <v>7</v>
      </c>
      <c r="AB112" s="330">
        <v>21</v>
      </c>
      <c r="AC112" s="330">
        <v>6</v>
      </c>
      <c r="AD112" s="334">
        <v>3758</v>
      </c>
      <c r="AE112" s="334">
        <v>5</v>
      </c>
      <c r="AF112" s="334">
        <v>17</v>
      </c>
      <c r="AG112" s="334">
        <v>22</v>
      </c>
    </row>
    <row r="113" spans="1:33" x14ac:dyDescent="0.25">
      <c r="A113" s="329" t="s">
        <v>282</v>
      </c>
      <c r="B113" s="335" t="s">
        <v>283</v>
      </c>
      <c r="C113" s="331">
        <v>2101</v>
      </c>
      <c r="D113" s="331">
        <v>0</v>
      </c>
      <c r="E113" s="331">
        <v>147</v>
      </c>
      <c r="F113" s="331">
        <v>541</v>
      </c>
      <c r="G113" s="331">
        <v>97</v>
      </c>
      <c r="H113" s="331">
        <v>2886</v>
      </c>
      <c r="I113" s="330">
        <v>2789</v>
      </c>
      <c r="J113" s="330">
        <v>0</v>
      </c>
      <c r="K113" s="332">
        <v>87.5</v>
      </c>
      <c r="L113" s="332">
        <v>86.91</v>
      </c>
      <c r="M113" s="332">
        <v>3.06</v>
      </c>
      <c r="N113" s="332">
        <v>90.27</v>
      </c>
      <c r="O113" s="333">
        <v>1749</v>
      </c>
      <c r="P113" s="330">
        <v>90.68</v>
      </c>
      <c r="Q113" s="330">
        <v>79.11</v>
      </c>
      <c r="R113" s="330">
        <v>23.08</v>
      </c>
      <c r="S113" s="330">
        <v>113.36</v>
      </c>
      <c r="T113" s="330">
        <v>639</v>
      </c>
      <c r="U113" s="330">
        <v>107.49</v>
      </c>
      <c r="V113" s="330">
        <v>341</v>
      </c>
      <c r="W113" s="330">
        <v>0</v>
      </c>
      <c r="X113" s="330">
        <v>0</v>
      </c>
      <c r="Y113" s="330">
        <v>0</v>
      </c>
      <c r="Z113" s="330">
        <v>7</v>
      </c>
      <c r="AA113" s="330">
        <v>1</v>
      </c>
      <c r="AB113" s="330">
        <v>12</v>
      </c>
      <c r="AC113" s="330">
        <v>8</v>
      </c>
      <c r="AD113" s="334">
        <v>2099</v>
      </c>
      <c r="AE113" s="334">
        <v>38</v>
      </c>
      <c r="AF113" s="334">
        <v>9</v>
      </c>
      <c r="AG113" s="334">
        <v>47</v>
      </c>
    </row>
    <row r="114" spans="1:33" x14ac:dyDescent="0.25">
      <c r="A114" s="329" t="s">
        <v>284</v>
      </c>
      <c r="B114" s="335" t="s">
        <v>285</v>
      </c>
      <c r="C114" s="331">
        <v>3934</v>
      </c>
      <c r="D114" s="331">
        <v>41</v>
      </c>
      <c r="E114" s="331">
        <v>271</v>
      </c>
      <c r="F114" s="331">
        <v>970</v>
      </c>
      <c r="G114" s="331">
        <v>181</v>
      </c>
      <c r="H114" s="331">
        <v>5397</v>
      </c>
      <c r="I114" s="330">
        <v>5216</v>
      </c>
      <c r="J114" s="330">
        <v>3</v>
      </c>
      <c r="K114" s="332">
        <v>79.14</v>
      </c>
      <c r="L114" s="332">
        <v>75.67</v>
      </c>
      <c r="M114" s="332">
        <v>7.21</v>
      </c>
      <c r="N114" s="332">
        <v>83.55</v>
      </c>
      <c r="O114" s="333">
        <v>2973</v>
      </c>
      <c r="P114" s="330">
        <v>88.3</v>
      </c>
      <c r="Q114" s="330">
        <v>79.5</v>
      </c>
      <c r="R114" s="330">
        <v>46.56</v>
      </c>
      <c r="S114" s="330">
        <v>132.26</v>
      </c>
      <c r="T114" s="330">
        <v>1039</v>
      </c>
      <c r="U114" s="330">
        <v>94.34</v>
      </c>
      <c r="V114" s="330">
        <v>987</v>
      </c>
      <c r="W114" s="330">
        <v>149.81</v>
      </c>
      <c r="X114" s="330">
        <v>186</v>
      </c>
      <c r="Y114" s="330">
        <v>0</v>
      </c>
      <c r="Z114" s="330">
        <v>1</v>
      </c>
      <c r="AA114" s="330">
        <v>5</v>
      </c>
      <c r="AB114" s="330">
        <v>12</v>
      </c>
      <c r="AC114" s="330">
        <v>3</v>
      </c>
      <c r="AD114" s="334">
        <v>3712</v>
      </c>
      <c r="AE114" s="334">
        <v>45</v>
      </c>
      <c r="AF114" s="334">
        <v>30</v>
      </c>
      <c r="AG114" s="334">
        <v>75</v>
      </c>
    </row>
    <row r="115" spans="1:33" x14ac:dyDescent="0.25">
      <c r="A115" s="329" t="s">
        <v>286</v>
      </c>
      <c r="B115" s="335" t="s">
        <v>287</v>
      </c>
      <c r="C115" s="331">
        <v>3729</v>
      </c>
      <c r="D115" s="331">
        <v>0</v>
      </c>
      <c r="E115" s="331">
        <v>182</v>
      </c>
      <c r="F115" s="331">
        <v>1175</v>
      </c>
      <c r="G115" s="331">
        <v>214</v>
      </c>
      <c r="H115" s="331">
        <v>5300</v>
      </c>
      <c r="I115" s="330">
        <v>5086</v>
      </c>
      <c r="J115" s="330">
        <v>0</v>
      </c>
      <c r="K115" s="332">
        <v>83.13</v>
      </c>
      <c r="L115" s="332">
        <v>81.72</v>
      </c>
      <c r="M115" s="332">
        <v>4.8499999999999996</v>
      </c>
      <c r="N115" s="332">
        <v>84.96</v>
      </c>
      <c r="O115" s="333">
        <v>3538</v>
      </c>
      <c r="P115" s="330">
        <v>83.97</v>
      </c>
      <c r="Q115" s="330">
        <v>74.02</v>
      </c>
      <c r="R115" s="330">
        <v>27.58</v>
      </c>
      <c r="S115" s="330">
        <v>111.17</v>
      </c>
      <c r="T115" s="330">
        <v>1335</v>
      </c>
      <c r="U115" s="330">
        <v>110.81</v>
      </c>
      <c r="V115" s="330">
        <v>172</v>
      </c>
      <c r="W115" s="330">
        <v>173.87</v>
      </c>
      <c r="X115" s="330">
        <v>15</v>
      </c>
      <c r="Y115" s="330">
        <v>0</v>
      </c>
      <c r="Z115" s="330">
        <v>35</v>
      </c>
      <c r="AA115" s="330">
        <v>3</v>
      </c>
      <c r="AB115" s="330">
        <v>0</v>
      </c>
      <c r="AC115" s="330">
        <v>8</v>
      </c>
      <c r="AD115" s="334">
        <v>3729</v>
      </c>
      <c r="AE115" s="334">
        <v>10</v>
      </c>
      <c r="AF115" s="334">
        <v>27</v>
      </c>
      <c r="AG115" s="334">
        <v>37</v>
      </c>
    </row>
    <row r="116" spans="1:33" x14ac:dyDescent="0.25">
      <c r="A116" s="329" t="s">
        <v>288</v>
      </c>
      <c r="B116" s="335" t="s">
        <v>289</v>
      </c>
      <c r="C116" s="331">
        <v>6532</v>
      </c>
      <c r="D116" s="331">
        <v>6</v>
      </c>
      <c r="E116" s="331">
        <v>586</v>
      </c>
      <c r="F116" s="331">
        <v>947</v>
      </c>
      <c r="G116" s="331">
        <v>491</v>
      </c>
      <c r="H116" s="331">
        <v>8562</v>
      </c>
      <c r="I116" s="330">
        <v>8071</v>
      </c>
      <c r="J116" s="330">
        <v>113</v>
      </c>
      <c r="K116" s="332">
        <v>86.8</v>
      </c>
      <c r="L116" s="332">
        <v>82.95</v>
      </c>
      <c r="M116" s="332">
        <v>6.75</v>
      </c>
      <c r="N116" s="332">
        <v>89.85</v>
      </c>
      <c r="O116" s="333">
        <v>6285</v>
      </c>
      <c r="P116" s="330">
        <v>98.38</v>
      </c>
      <c r="Q116" s="330">
        <v>81.99</v>
      </c>
      <c r="R116" s="330">
        <v>51.88</v>
      </c>
      <c r="S116" s="330">
        <v>149.36000000000001</v>
      </c>
      <c r="T116" s="330">
        <v>1281</v>
      </c>
      <c r="U116" s="330">
        <v>113.38</v>
      </c>
      <c r="V116" s="330">
        <v>172</v>
      </c>
      <c r="W116" s="330">
        <v>181.01</v>
      </c>
      <c r="X116" s="330">
        <v>31</v>
      </c>
      <c r="Y116" s="330">
        <v>8</v>
      </c>
      <c r="Z116" s="330">
        <v>46</v>
      </c>
      <c r="AA116" s="330">
        <v>22</v>
      </c>
      <c r="AB116" s="330">
        <v>17</v>
      </c>
      <c r="AC116" s="330">
        <v>17</v>
      </c>
      <c r="AD116" s="334">
        <v>6473</v>
      </c>
      <c r="AE116" s="334">
        <v>53</v>
      </c>
      <c r="AF116" s="334">
        <v>15</v>
      </c>
      <c r="AG116" s="334">
        <v>68</v>
      </c>
    </row>
    <row r="117" spans="1:33" x14ac:dyDescent="0.25">
      <c r="A117" s="329" t="s">
        <v>290</v>
      </c>
      <c r="B117" s="335" t="s">
        <v>291</v>
      </c>
      <c r="C117" s="331">
        <v>2468</v>
      </c>
      <c r="D117" s="331">
        <v>11</v>
      </c>
      <c r="E117" s="331">
        <v>69</v>
      </c>
      <c r="F117" s="331">
        <v>474</v>
      </c>
      <c r="G117" s="331">
        <v>342</v>
      </c>
      <c r="H117" s="331">
        <v>3364</v>
      </c>
      <c r="I117" s="330">
        <v>3022</v>
      </c>
      <c r="J117" s="330">
        <v>0</v>
      </c>
      <c r="K117" s="332">
        <v>98.69</v>
      </c>
      <c r="L117" s="332">
        <v>96.6</v>
      </c>
      <c r="M117" s="332">
        <v>8.6</v>
      </c>
      <c r="N117" s="332">
        <v>106.1</v>
      </c>
      <c r="O117" s="333">
        <v>2018</v>
      </c>
      <c r="P117" s="330">
        <v>97.4</v>
      </c>
      <c r="Q117" s="330">
        <v>90.44</v>
      </c>
      <c r="R117" s="330">
        <v>42</v>
      </c>
      <c r="S117" s="330">
        <v>136.80000000000001</v>
      </c>
      <c r="T117" s="330">
        <v>274</v>
      </c>
      <c r="U117" s="330">
        <v>127.38</v>
      </c>
      <c r="V117" s="330">
        <v>294</v>
      </c>
      <c r="W117" s="330">
        <v>107.67</v>
      </c>
      <c r="X117" s="330">
        <v>22</v>
      </c>
      <c r="Y117" s="330">
        <v>0</v>
      </c>
      <c r="Z117" s="330">
        <v>0</v>
      </c>
      <c r="AA117" s="330">
        <v>1</v>
      </c>
      <c r="AB117" s="330">
        <v>21</v>
      </c>
      <c r="AC117" s="330">
        <v>10</v>
      </c>
      <c r="AD117" s="334">
        <v>2435</v>
      </c>
      <c r="AE117" s="334">
        <v>18</v>
      </c>
      <c r="AF117" s="334">
        <v>3</v>
      </c>
      <c r="AG117" s="334">
        <v>21</v>
      </c>
    </row>
    <row r="118" spans="1:33" x14ac:dyDescent="0.25">
      <c r="A118" s="329" t="s">
        <v>292</v>
      </c>
      <c r="B118" s="335" t="s">
        <v>293</v>
      </c>
      <c r="C118" s="331">
        <v>1476</v>
      </c>
      <c r="D118" s="331">
        <v>0</v>
      </c>
      <c r="E118" s="331">
        <v>84</v>
      </c>
      <c r="F118" s="331">
        <v>179</v>
      </c>
      <c r="G118" s="331">
        <v>274</v>
      </c>
      <c r="H118" s="331">
        <v>2013</v>
      </c>
      <c r="I118" s="330">
        <v>1739</v>
      </c>
      <c r="J118" s="330">
        <v>3</v>
      </c>
      <c r="K118" s="332">
        <v>107.33</v>
      </c>
      <c r="L118" s="332">
        <v>103.03</v>
      </c>
      <c r="M118" s="332">
        <v>5.52</v>
      </c>
      <c r="N118" s="332">
        <v>111.53</v>
      </c>
      <c r="O118" s="333">
        <v>738</v>
      </c>
      <c r="P118" s="330">
        <v>93.51</v>
      </c>
      <c r="Q118" s="330">
        <v>89.84</v>
      </c>
      <c r="R118" s="330">
        <v>65.400000000000006</v>
      </c>
      <c r="S118" s="330">
        <v>158.05000000000001</v>
      </c>
      <c r="T118" s="330">
        <v>76</v>
      </c>
      <c r="U118" s="330">
        <v>141.29</v>
      </c>
      <c r="V118" s="330">
        <v>339</v>
      </c>
      <c r="W118" s="330">
        <v>169.13</v>
      </c>
      <c r="X118" s="330">
        <v>57</v>
      </c>
      <c r="Y118" s="330">
        <v>0</v>
      </c>
      <c r="Z118" s="330">
        <v>0</v>
      </c>
      <c r="AA118" s="330">
        <v>0</v>
      </c>
      <c r="AB118" s="330">
        <v>25</v>
      </c>
      <c r="AC118" s="330">
        <v>25</v>
      </c>
      <c r="AD118" s="334">
        <v>1077</v>
      </c>
      <c r="AE118" s="334">
        <v>4</v>
      </c>
      <c r="AF118" s="334">
        <v>4</v>
      </c>
      <c r="AG118" s="334">
        <v>8</v>
      </c>
    </row>
    <row r="119" spans="1:33" x14ac:dyDescent="0.25">
      <c r="A119" s="329" t="s">
        <v>294</v>
      </c>
      <c r="B119" s="335" t="s">
        <v>295</v>
      </c>
      <c r="C119" s="331">
        <v>1419</v>
      </c>
      <c r="D119" s="331">
        <v>0</v>
      </c>
      <c r="E119" s="331">
        <v>241</v>
      </c>
      <c r="F119" s="331">
        <v>140</v>
      </c>
      <c r="G119" s="331">
        <v>88</v>
      </c>
      <c r="H119" s="331">
        <v>1888</v>
      </c>
      <c r="I119" s="330">
        <v>1800</v>
      </c>
      <c r="J119" s="330">
        <v>7</v>
      </c>
      <c r="K119" s="332">
        <v>87.63</v>
      </c>
      <c r="L119" s="332">
        <v>87.04</v>
      </c>
      <c r="M119" s="332">
        <v>5.7</v>
      </c>
      <c r="N119" s="332">
        <v>90.99</v>
      </c>
      <c r="O119" s="333">
        <v>1244</v>
      </c>
      <c r="P119" s="330">
        <v>95.92</v>
      </c>
      <c r="Q119" s="330">
        <v>84.04</v>
      </c>
      <c r="R119" s="330">
        <v>53.75</v>
      </c>
      <c r="S119" s="330">
        <v>149.29</v>
      </c>
      <c r="T119" s="330">
        <v>280</v>
      </c>
      <c r="U119" s="330">
        <v>98.81</v>
      </c>
      <c r="V119" s="330">
        <v>159</v>
      </c>
      <c r="W119" s="330">
        <v>0</v>
      </c>
      <c r="X119" s="330">
        <v>0</v>
      </c>
      <c r="Y119" s="330">
        <v>2</v>
      </c>
      <c r="Z119" s="330">
        <v>0</v>
      </c>
      <c r="AA119" s="330">
        <v>2</v>
      </c>
      <c r="AB119" s="330">
        <v>0</v>
      </c>
      <c r="AC119" s="330">
        <v>3</v>
      </c>
      <c r="AD119" s="334">
        <v>1419</v>
      </c>
      <c r="AE119" s="334">
        <v>4</v>
      </c>
      <c r="AF119" s="334">
        <v>10</v>
      </c>
      <c r="AG119" s="334">
        <v>14</v>
      </c>
    </row>
    <row r="120" spans="1:33" x14ac:dyDescent="0.25">
      <c r="A120" s="329" t="s">
        <v>296</v>
      </c>
      <c r="B120" s="335" t="s">
        <v>297</v>
      </c>
      <c r="C120" s="331">
        <v>12823</v>
      </c>
      <c r="D120" s="331">
        <v>156</v>
      </c>
      <c r="E120" s="331">
        <v>457</v>
      </c>
      <c r="F120" s="331">
        <v>990</v>
      </c>
      <c r="G120" s="331">
        <v>2494</v>
      </c>
      <c r="H120" s="331">
        <v>16920</v>
      </c>
      <c r="I120" s="330">
        <v>14426</v>
      </c>
      <c r="J120" s="330">
        <v>166</v>
      </c>
      <c r="K120" s="332">
        <v>120.51</v>
      </c>
      <c r="L120" s="332">
        <v>119.03</v>
      </c>
      <c r="M120" s="332">
        <v>13.98</v>
      </c>
      <c r="N120" s="332">
        <v>131.12</v>
      </c>
      <c r="O120" s="333">
        <v>10105</v>
      </c>
      <c r="P120" s="330">
        <v>112.57</v>
      </c>
      <c r="Q120" s="330">
        <v>109.24</v>
      </c>
      <c r="R120" s="330">
        <v>54.18</v>
      </c>
      <c r="S120" s="330">
        <v>155.85</v>
      </c>
      <c r="T120" s="330">
        <v>1227</v>
      </c>
      <c r="U120" s="330">
        <v>171.14</v>
      </c>
      <c r="V120" s="330">
        <v>1088</v>
      </c>
      <c r="W120" s="330">
        <v>0</v>
      </c>
      <c r="X120" s="330">
        <v>0</v>
      </c>
      <c r="Y120" s="330">
        <v>0</v>
      </c>
      <c r="Z120" s="330">
        <v>27</v>
      </c>
      <c r="AA120" s="330">
        <v>32</v>
      </c>
      <c r="AB120" s="330">
        <v>179</v>
      </c>
      <c r="AC120" s="330">
        <v>18</v>
      </c>
      <c r="AD120" s="334">
        <v>11531</v>
      </c>
      <c r="AE120" s="334">
        <v>35</v>
      </c>
      <c r="AF120" s="334">
        <v>48</v>
      </c>
      <c r="AG120" s="334">
        <v>83</v>
      </c>
    </row>
    <row r="121" spans="1:33" x14ac:dyDescent="0.25">
      <c r="A121" s="329" t="s">
        <v>298</v>
      </c>
      <c r="B121" s="335" t="s">
        <v>299</v>
      </c>
      <c r="C121" s="331">
        <v>1739</v>
      </c>
      <c r="D121" s="331">
        <v>11</v>
      </c>
      <c r="E121" s="331">
        <v>295</v>
      </c>
      <c r="F121" s="331">
        <v>217</v>
      </c>
      <c r="G121" s="331">
        <v>399</v>
      </c>
      <c r="H121" s="331">
        <v>2661</v>
      </c>
      <c r="I121" s="330">
        <v>2262</v>
      </c>
      <c r="J121" s="330">
        <v>14</v>
      </c>
      <c r="K121" s="332">
        <v>125.36</v>
      </c>
      <c r="L121" s="332">
        <v>123.07</v>
      </c>
      <c r="M121" s="332">
        <v>7.89</v>
      </c>
      <c r="N121" s="332">
        <v>131.80000000000001</v>
      </c>
      <c r="O121" s="333">
        <v>1359</v>
      </c>
      <c r="P121" s="330">
        <v>113.51</v>
      </c>
      <c r="Q121" s="330">
        <v>88.58</v>
      </c>
      <c r="R121" s="330">
        <v>77.05</v>
      </c>
      <c r="S121" s="330">
        <v>184.96</v>
      </c>
      <c r="T121" s="330">
        <v>234</v>
      </c>
      <c r="U121" s="330">
        <v>163.96</v>
      </c>
      <c r="V121" s="330">
        <v>248</v>
      </c>
      <c r="W121" s="330">
        <v>137.69</v>
      </c>
      <c r="X121" s="330">
        <v>6</v>
      </c>
      <c r="Y121" s="330">
        <v>6</v>
      </c>
      <c r="Z121" s="330">
        <v>0</v>
      </c>
      <c r="AA121" s="330">
        <v>0</v>
      </c>
      <c r="AB121" s="330">
        <v>25</v>
      </c>
      <c r="AC121" s="330">
        <v>7</v>
      </c>
      <c r="AD121" s="334">
        <v>1589</v>
      </c>
      <c r="AE121" s="334">
        <v>2</v>
      </c>
      <c r="AF121" s="334">
        <v>0</v>
      </c>
      <c r="AG121" s="334">
        <v>2</v>
      </c>
    </row>
    <row r="122" spans="1:33" x14ac:dyDescent="0.25">
      <c r="A122" s="329" t="s">
        <v>300</v>
      </c>
      <c r="B122" s="335" t="s">
        <v>301</v>
      </c>
      <c r="C122" s="331">
        <v>20022</v>
      </c>
      <c r="D122" s="331">
        <v>511</v>
      </c>
      <c r="E122" s="331">
        <v>1589</v>
      </c>
      <c r="F122" s="331">
        <v>1632</v>
      </c>
      <c r="G122" s="331">
        <v>2549</v>
      </c>
      <c r="H122" s="331">
        <v>26303</v>
      </c>
      <c r="I122" s="330">
        <v>23754</v>
      </c>
      <c r="J122" s="330">
        <v>29</v>
      </c>
      <c r="K122" s="332">
        <v>123.22</v>
      </c>
      <c r="L122" s="332">
        <v>124.52</v>
      </c>
      <c r="M122" s="332">
        <v>13.24</v>
      </c>
      <c r="N122" s="332">
        <v>132.72</v>
      </c>
      <c r="O122" s="333">
        <v>17230</v>
      </c>
      <c r="P122" s="330">
        <v>114.12</v>
      </c>
      <c r="Q122" s="330">
        <v>111.2</v>
      </c>
      <c r="R122" s="330">
        <v>54.76</v>
      </c>
      <c r="S122" s="330">
        <v>163.59</v>
      </c>
      <c r="T122" s="330">
        <v>2887</v>
      </c>
      <c r="U122" s="330">
        <v>206.09</v>
      </c>
      <c r="V122" s="330">
        <v>1092</v>
      </c>
      <c r="W122" s="330">
        <v>243.08</v>
      </c>
      <c r="X122" s="330">
        <v>22</v>
      </c>
      <c r="Y122" s="330">
        <v>4</v>
      </c>
      <c r="Z122" s="330">
        <v>41</v>
      </c>
      <c r="AA122" s="330">
        <v>12</v>
      </c>
      <c r="AB122" s="330">
        <v>32</v>
      </c>
      <c r="AC122" s="330">
        <v>52</v>
      </c>
      <c r="AD122" s="334">
        <v>18424</v>
      </c>
      <c r="AE122" s="334">
        <v>44</v>
      </c>
      <c r="AF122" s="334">
        <v>54</v>
      </c>
      <c r="AG122" s="334">
        <v>98</v>
      </c>
    </row>
    <row r="123" spans="1:33" x14ac:dyDescent="0.25">
      <c r="A123" s="329" t="s">
        <v>302</v>
      </c>
      <c r="B123" s="335" t="s">
        <v>303</v>
      </c>
      <c r="C123" s="331">
        <v>13402</v>
      </c>
      <c r="D123" s="331">
        <v>2</v>
      </c>
      <c r="E123" s="331">
        <v>496</v>
      </c>
      <c r="F123" s="331">
        <v>510</v>
      </c>
      <c r="G123" s="331">
        <v>315</v>
      </c>
      <c r="H123" s="331">
        <v>14725</v>
      </c>
      <c r="I123" s="330">
        <v>14410</v>
      </c>
      <c r="J123" s="330">
        <v>2</v>
      </c>
      <c r="K123" s="332">
        <v>83.7</v>
      </c>
      <c r="L123" s="332">
        <v>83.3</v>
      </c>
      <c r="M123" s="332">
        <v>3.91</v>
      </c>
      <c r="N123" s="332">
        <v>87.44</v>
      </c>
      <c r="O123" s="333">
        <v>11419</v>
      </c>
      <c r="P123" s="330">
        <v>87.23</v>
      </c>
      <c r="Q123" s="330">
        <v>77.55</v>
      </c>
      <c r="R123" s="330">
        <v>32.08</v>
      </c>
      <c r="S123" s="330">
        <v>118.47</v>
      </c>
      <c r="T123" s="330">
        <v>874</v>
      </c>
      <c r="U123" s="330">
        <v>99.3</v>
      </c>
      <c r="V123" s="330">
        <v>1961</v>
      </c>
      <c r="W123" s="330">
        <v>145.04</v>
      </c>
      <c r="X123" s="330">
        <v>82</v>
      </c>
      <c r="Y123" s="330">
        <v>0</v>
      </c>
      <c r="Z123" s="330">
        <v>70</v>
      </c>
      <c r="AA123" s="330">
        <v>5</v>
      </c>
      <c r="AB123" s="330">
        <v>10</v>
      </c>
      <c r="AC123" s="330">
        <v>10</v>
      </c>
      <c r="AD123" s="334">
        <v>13402</v>
      </c>
      <c r="AE123" s="334">
        <v>96</v>
      </c>
      <c r="AF123" s="334">
        <v>60</v>
      </c>
      <c r="AG123" s="334">
        <v>156</v>
      </c>
    </row>
    <row r="124" spans="1:33" x14ac:dyDescent="0.25">
      <c r="A124" s="329" t="s">
        <v>304</v>
      </c>
      <c r="B124" s="335" t="s">
        <v>305</v>
      </c>
      <c r="C124" s="331">
        <v>5021</v>
      </c>
      <c r="D124" s="331">
        <v>5</v>
      </c>
      <c r="E124" s="331">
        <v>348</v>
      </c>
      <c r="F124" s="331">
        <v>123</v>
      </c>
      <c r="G124" s="331">
        <v>130</v>
      </c>
      <c r="H124" s="331">
        <v>5627</v>
      </c>
      <c r="I124" s="330">
        <v>5497</v>
      </c>
      <c r="J124" s="330">
        <v>143</v>
      </c>
      <c r="K124" s="332">
        <v>91.61</v>
      </c>
      <c r="L124" s="332">
        <v>92.78</v>
      </c>
      <c r="M124" s="332">
        <v>3.05</v>
      </c>
      <c r="N124" s="332">
        <v>94.28</v>
      </c>
      <c r="O124" s="333">
        <v>4740</v>
      </c>
      <c r="P124" s="330">
        <v>107.49</v>
      </c>
      <c r="Q124" s="330">
        <v>85.96</v>
      </c>
      <c r="R124" s="330">
        <v>118.18</v>
      </c>
      <c r="S124" s="330">
        <v>224.64</v>
      </c>
      <c r="T124" s="330">
        <v>341</v>
      </c>
      <c r="U124" s="330">
        <v>111.38</v>
      </c>
      <c r="V124" s="330">
        <v>137</v>
      </c>
      <c r="W124" s="330">
        <v>165.91</v>
      </c>
      <c r="X124" s="330">
        <v>102</v>
      </c>
      <c r="Y124" s="330">
        <v>0</v>
      </c>
      <c r="Z124" s="330">
        <v>24</v>
      </c>
      <c r="AA124" s="330">
        <v>0</v>
      </c>
      <c r="AB124" s="330">
        <v>16</v>
      </c>
      <c r="AC124" s="330">
        <v>1</v>
      </c>
      <c r="AD124" s="334">
        <v>5009</v>
      </c>
      <c r="AE124" s="334">
        <v>31</v>
      </c>
      <c r="AF124" s="334">
        <v>34</v>
      </c>
      <c r="AG124" s="334">
        <v>65</v>
      </c>
    </row>
    <row r="125" spans="1:33" x14ac:dyDescent="0.25">
      <c r="A125" s="329" t="s">
        <v>306</v>
      </c>
      <c r="B125" s="335" t="s">
        <v>307</v>
      </c>
      <c r="C125" s="331">
        <v>11705</v>
      </c>
      <c r="D125" s="331">
        <v>40</v>
      </c>
      <c r="E125" s="331">
        <v>978</v>
      </c>
      <c r="F125" s="331">
        <v>550</v>
      </c>
      <c r="G125" s="331">
        <v>1122</v>
      </c>
      <c r="H125" s="331">
        <v>14395</v>
      </c>
      <c r="I125" s="330">
        <v>13273</v>
      </c>
      <c r="J125" s="330">
        <v>156</v>
      </c>
      <c r="K125" s="332">
        <v>131.68</v>
      </c>
      <c r="L125" s="332">
        <v>134.63</v>
      </c>
      <c r="M125" s="332">
        <v>11.94</v>
      </c>
      <c r="N125" s="332">
        <v>137.61000000000001</v>
      </c>
      <c r="O125" s="333">
        <v>10136</v>
      </c>
      <c r="P125" s="330">
        <v>126.6</v>
      </c>
      <c r="Q125" s="330">
        <v>122.47</v>
      </c>
      <c r="R125" s="330">
        <v>59.79</v>
      </c>
      <c r="S125" s="330">
        <v>174</v>
      </c>
      <c r="T125" s="330">
        <v>1047</v>
      </c>
      <c r="U125" s="330">
        <v>203.41</v>
      </c>
      <c r="V125" s="330">
        <v>993</v>
      </c>
      <c r="W125" s="330">
        <v>192.69</v>
      </c>
      <c r="X125" s="330">
        <v>81</v>
      </c>
      <c r="Y125" s="330">
        <v>0</v>
      </c>
      <c r="Z125" s="330">
        <v>0</v>
      </c>
      <c r="AA125" s="330">
        <v>19</v>
      </c>
      <c r="AB125" s="330">
        <v>4</v>
      </c>
      <c r="AC125" s="330">
        <v>18</v>
      </c>
      <c r="AD125" s="334">
        <v>11173</v>
      </c>
      <c r="AE125" s="334">
        <v>28</v>
      </c>
      <c r="AF125" s="334">
        <v>213</v>
      </c>
      <c r="AG125" s="334">
        <v>241</v>
      </c>
    </row>
    <row r="126" spans="1:33" x14ac:dyDescent="0.25">
      <c r="A126" s="329" t="s">
        <v>308</v>
      </c>
      <c r="B126" s="335" t="s">
        <v>309</v>
      </c>
      <c r="C126" s="331">
        <v>2844</v>
      </c>
      <c r="D126" s="331">
        <v>0</v>
      </c>
      <c r="E126" s="331">
        <v>96</v>
      </c>
      <c r="F126" s="331">
        <v>321</v>
      </c>
      <c r="G126" s="331">
        <v>516</v>
      </c>
      <c r="H126" s="331">
        <v>3777</v>
      </c>
      <c r="I126" s="330">
        <v>3261</v>
      </c>
      <c r="J126" s="330">
        <v>1</v>
      </c>
      <c r="K126" s="332">
        <v>90.08</v>
      </c>
      <c r="L126" s="332">
        <v>89.9</v>
      </c>
      <c r="M126" s="332">
        <v>3.37</v>
      </c>
      <c r="N126" s="332">
        <v>92.44</v>
      </c>
      <c r="O126" s="333">
        <v>2427</v>
      </c>
      <c r="P126" s="330">
        <v>80.69</v>
      </c>
      <c r="Q126" s="330">
        <v>76.28</v>
      </c>
      <c r="R126" s="330">
        <v>38.54</v>
      </c>
      <c r="S126" s="330">
        <v>117.05</v>
      </c>
      <c r="T126" s="330">
        <v>389</v>
      </c>
      <c r="U126" s="330">
        <v>110.38</v>
      </c>
      <c r="V126" s="330">
        <v>322</v>
      </c>
      <c r="W126" s="330">
        <v>114.98</v>
      </c>
      <c r="X126" s="330">
        <v>12</v>
      </c>
      <c r="Y126" s="330">
        <v>0</v>
      </c>
      <c r="Z126" s="330">
        <v>6</v>
      </c>
      <c r="AA126" s="330">
        <v>4</v>
      </c>
      <c r="AB126" s="330">
        <v>73</v>
      </c>
      <c r="AC126" s="330">
        <v>3</v>
      </c>
      <c r="AD126" s="334">
        <v>2844</v>
      </c>
      <c r="AE126" s="334">
        <v>9</v>
      </c>
      <c r="AF126" s="334">
        <v>5</v>
      </c>
      <c r="AG126" s="334">
        <v>14</v>
      </c>
    </row>
    <row r="127" spans="1:33" x14ac:dyDescent="0.25">
      <c r="A127" s="329" t="s">
        <v>310</v>
      </c>
      <c r="B127" s="335" t="s">
        <v>311</v>
      </c>
      <c r="C127" s="331">
        <v>10053</v>
      </c>
      <c r="D127" s="331">
        <v>56</v>
      </c>
      <c r="E127" s="331">
        <v>874</v>
      </c>
      <c r="F127" s="331">
        <v>945</v>
      </c>
      <c r="G127" s="331">
        <v>1611</v>
      </c>
      <c r="H127" s="331">
        <v>13539</v>
      </c>
      <c r="I127" s="330">
        <v>11928</v>
      </c>
      <c r="J127" s="330">
        <v>35</v>
      </c>
      <c r="K127" s="332">
        <v>120.1</v>
      </c>
      <c r="L127" s="332">
        <v>120.62</v>
      </c>
      <c r="M127" s="332">
        <v>11.27</v>
      </c>
      <c r="N127" s="332">
        <v>126.64</v>
      </c>
      <c r="O127" s="333">
        <v>8160</v>
      </c>
      <c r="P127" s="330">
        <v>122.88</v>
      </c>
      <c r="Q127" s="330">
        <v>114.98</v>
      </c>
      <c r="R127" s="330">
        <v>61.87</v>
      </c>
      <c r="S127" s="330">
        <v>173.04</v>
      </c>
      <c r="T127" s="330">
        <v>1326</v>
      </c>
      <c r="U127" s="330">
        <v>178.6</v>
      </c>
      <c r="V127" s="330">
        <v>591</v>
      </c>
      <c r="W127" s="330">
        <v>196.84</v>
      </c>
      <c r="X127" s="330">
        <v>35</v>
      </c>
      <c r="Y127" s="330">
        <v>0</v>
      </c>
      <c r="Z127" s="330">
        <v>3</v>
      </c>
      <c r="AA127" s="330">
        <v>8</v>
      </c>
      <c r="AB127" s="330">
        <v>43</v>
      </c>
      <c r="AC127" s="330">
        <v>37</v>
      </c>
      <c r="AD127" s="334">
        <v>9048</v>
      </c>
      <c r="AE127" s="334">
        <v>15</v>
      </c>
      <c r="AF127" s="334">
        <v>29</v>
      </c>
      <c r="AG127" s="334">
        <v>44</v>
      </c>
    </row>
    <row r="128" spans="1:33" x14ac:dyDescent="0.25">
      <c r="A128" s="329" t="s">
        <v>312</v>
      </c>
      <c r="B128" s="335" t="s">
        <v>313</v>
      </c>
      <c r="C128" s="331">
        <v>1468</v>
      </c>
      <c r="D128" s="331">
        <v>88</v>
      </c>
      <c r="E128" s="331">
        <v>263</v>
      </c>
      <c r="F128" s="331">
        <v>292</v>
      </c>
      <c r="G128" s="331">
        <v>340</v>
      </c>
      <c r="H128" s="331">
        <v>2451</v>
      </c>
      <c r="I128" s="330">
        <v>2111</v>
      </c>
      <c r="J128" s="330">
        <v>1</v>
      </c>
      <c r="K128" s="332">
        <v>103.01</v>
      </c>
      <c r="L128" s="332">
        <v>101.12</v>
      </c>
      <c r="M128" s="332">
        <v>8.69</v>
      </c>
      <c r="N128" s="332">
        <v>109.65</v>
      </c>
      <c r="O128" s="333">
        <v>1042</v>
      </c>
      <c r="P128" s="330">
        <v>93.19</v>
      </c>
      <c r="Q128" s="330">
        <v>100.87</v>
      </c>
      <c r="R128" s="330">
        <v>50.69</v>
      </c>
      <c r="S128" s="330">
        <v>143.44</v>
      </c>
      <c r="T128" s="330">
        <v>460</v>
      </c>
      <c r="U128" s="330">
        <v>149.63</v>
      </c>
      <c r="V128" s="330">
        <v>225</v>
      </c>
      <c r="W128" s="330">
        <v>0</v>
      </c>
      <c r="X128" s="330">
        <v>0</v>
      </c>
      <c r="Y128" s="330">
        <v>0</v>
      </c>
      <c r="Z128" s="330">
        <v>0</v>
      </c>
      <c r="AA128" s="330">
        <v>0</v>
      </c>
      <c r="AB128" s="330">
        <v>15</v>
      </c>
      <c r="AC128" s="330">
        <v>10</v>
      </c>
      <c r="AD128" s="334">
        <v>1465</v>
      </c>
      <c r="AE128" s="334">
        <v>7</v>
      </c>
      <c r="AF128" s="334">
        <v>4</v>
      </c>
      <c r="AG128" s="334">
        <v>11</v>
      </c>
    </row>
    <row r="129" spans="1:33" x14ac:dyDescent="0.25">
      <c r="A129" s="329" t="s">
        <v>314</v>
      </c>
      <c r="B129" s="335" t="s">
        <v>315</v>
      </c>
      <c r="C129" s="331">
        <v>2244</v>
      </c>
      <c r="D129" s="331">
        <v>24</v>
      </c>
      <c r="E129" s="331">
        <v>223</v>
      </c>
      <c r="F129" s="331">
        <v>409</v>
      </c>
      <c r="G129" s="331">
        <v>287</v>
      </c>
      <c r="H129" s="331">
        <v>3187</v>
      </c>
      <c r="I129" s="330">
        <v>2900</v>
      </c>
      <c r="J129" s="330">
        <v>57</v>
      </c>
      <c r="K129" s="332">
        <v>95.73</v>
      </c>
      <c r="L129" s="332">
        <v>93.58</v>
      </c>
      <c r="M129" s="332">
        <v>6.91</v>
      </c>
      <c r="N129" s="332">
        <v>100.27</v>
      </c>
      <c r="O129" s="333">
        <v>1604</v>
      </c>
      <c r="P129" s="330">
        <v>101.94</v>
      </c>
      <c r="Q129" s="330">
        <v>85.06</v>
      </c>
      <c r="R129" s="330">
        <v>40.26</v>
      </c>
      <c r="S129" s="330">
        <v>141.75</v>
      </c>
      <c r="T129" s="330">
        <v>445</v>
      </c>
      <c r="U129" s="330">
        <v>115.28</v>
      </c>
      <c r="V129" s="330">
        <v>495</v>
      </c>
      <c r="W129" s="330">
        <v>115.89</v>
      </c>
      <c r="X129" s="330">
        <v>9</v>
      </c>
      <c r="Y129" s="330">
        <v>0</v>
      </c>
      <c r="Z129" s="330">
        <v>2</v>
      </c>
      <c r="AA129" s="330">
        <v>0</v>
      </c>
      <c r="AB129" s="330">
        <v>23</v>
      </c>
      <c r="AC129" s="330">
        <v>2</v>
      </c>
      <c r="AD129" s="334">
        <v>2040</v>
      </c>
      <c r="AE129" s="334">
        <v>16</v>
      </c>
      <c r="AF129" s="334">
        <v>13</v>
      </c>
      <c r="AG129" s="334">
        <v>29</v>
      </c>
    </row>
    <row r="130" spans="1:33" x14ac:dyDescent="0.25">
      <c r="A130" s="329" t="s">
        <v>316</v>
      </c>
      <c r="B130" s="335" t="s">
        <v>317</v>
      </c>
      <c r="C130" s="331">
        <v>3371</v>
      </c>
      <c r="D130" s="331">
        <v>2</v>
      </c>
      <c r="E130" s="331">
        <v>344</v>
      </c>
      <c r="F130" s="331">
        <v>545</v>
      </c>
      <c r="G130" s="331">
        <v>1024</v>
      </c>
      <c r="H130" s="331">
        <v>5286</v>
      </c>
      <c r="I130" s="330">
        <v>4262</v>
      </c>
      <c r="J130" s="330">
        <v>11</v>
      </c>
      <c r="K130" s="332">
        <v>134.28</v>
      </c>
      <c r="L130" s="332">
        <v>131.28</v>
      </c>
      <c r="M130" s="332">
        <v>8.9700000000000006</v>
      </c>
      <c r="N130" s="332">
        <v>140.41</v>
      </c>
      <c r="O130" s="333">
        <v>2833</v>
      </c>
      <c r="P130" s="330">
        <v>118.19</v>
      </c>
      <c r="Q130" s="330">
        <v>94.94</v>
      </c>
      <c r="R130" s="330">
        <v>48.72</v>
      </c>
      <c r="S130" s="330">
        <v>153.87</v>
      </c>
      <c r="T130" s="330">
        <v>583</v>
      </c>
      <c r="U130" s="330">
        <v>182.48</v>
      </c>
      <c r="V130" s="330">
        <v>336</v>
      </c>
      <c r="W130" s="330">
        <v>193.85</v>
      </c>
      <c r="X130" s="330">
        <v>28</v>
      </c>
      <c r="Y130" s="330">
        <v>0</v>
      </c>
      <c r="Z130" s="330">
        <v>0</v>
      </c>
      <c r="AA130" s="330">
        <v>3</v>
      </c>
      <c r="AB130" s="330">
        <v>24</v>
      </c>
      <c r="AC130" s="330">
        <v>31</v>
      </c>
      <c r="AD130" s="334">
        <v>3302</v>
      </c>
      <c r="AE130" s="334">
        <v>10</v>
      </c>
      <c r="AF130" s="334">
        <v>3</v>
      </c>
      <c r="AG130" s="334">
        <v>13</v>
      </c>
    </row>
    <row r="131" spans="1:33" x14ac:dyDescent="0.25">
      <c r="A131" s="329" t="s">
        <v>318</v>
      </c>
      <c r="B131" s="335" t="s">
        <v>319</v>
      </c>
      <c r="C131" s="331">
        <v>2847</v>
      </c>
      <c r="D131" s="331">
        <v>0</v>
      </c>
      <c r="E131" s="331">
        <v>46</v>
      </c>
      <c r="F131" s="331">
        <v>322</v>
      </c>
      <c r="G131" s="331">
        <v>666</v>
      </c>
      <c r="H131" s="331">
        <v>3881</v>
      </c>
      <c r="I131" s="330">
        <v>3215</v>
      </c>
      <c r="J131" s="330">
        <v>0</v>
      </c>
      <c r="K131" s="332">
        <v>117.09</v>
      </c>
      <c r="L131" s="332">
        <v>117.69</v>
      </c>
      <c r="M131" s="332">
        <v>5.32</v>
      </c>
      <c r="N131" s="332">
        <v>119.3</v>
      </c>
      <c r="O131" s="333">
        <v>2402</v>
      </c>
      <c r="P131" s="330">
        <v>102.17</v>
      </c>
      <c r="Q131" s="330">
        <v>101.42</v>
      </c>
      <c r="R131" s="330">
        <v>33.49</v>
      </c>
      <c r="S131" s="330">
        <v>133.96</v>
      </c>
      <c r="T131" s="330">
        <v>315</v>
      </c>
      <c r="U131" s="330">
        <v>164.96</v>
      </c>
      <c r="V131" s="330">
        <v>409</v>
      </c>
      <c r="W131" s="330">
        <v>0</v>
      </c>
      <c r="X131" s="330">
        <v>0</v>
      </c>
      <c r="Y131" s="330">
        <v>0</v>
      </c>
      <c r="Z131" s="330">
        <v>1</v>
      </c>
      <c r="AA131" s="330">
        <v>0</v>
      </c>
      <c r="AB131" s="330">
        <v>37</v>
      </c>
      <c r="AC131" s="330">
        <v>27</v>
      </c>
      <c r="AD131" s="334">
        <v>2847</v>
      </c>
      <c r="AE131" s="334">
        <v>3</v>
      </c>
      <c r="AF131" s="334">
        <v>36</v>
      </c>
      <c r="AG131" s="334">
        <v>39</v>
      </c>
    </row>
    <row r="132" spans="1:33" x14ac:dyDescent="0.25">
      <c r="A132" s="329" t="s">
        <v>320</v>
      </c>
      <c r="B132" s="335" t="s">
        <v>321</v>
      </c>
      <c r="C132" s="331">
        <v>7689</v>
      </c>
      <c r="D132" s="331">
        <v>0</v>
      </c>
      <c r="E132" s="331">
        <v>155</v>
      </c>
      <c r="F132" s="331">
        <v>2011</v>
      </c>
      <c r="G132" s="331">
        <v>193</v>
      </c>
      <c r="H132" s="331">
        <v>10048</v>
      </c>
      <c r="I132" s="330">
        <v>9855</v>
      </c>
      <c r="J132" s="330">
        <v>3</v>
      </c>
      <c r="K132" s="332">
        <v>81.75</v>
      </c>
      <c r="L132" s="332">
        <v>80.790000000000006</v>
      </c>
      <c r="M132" s="332">
        <v>6.06</v>
      </c>
      <c r="N132" s="332">
        <v>84.22</v>
      </c>
      <c r="O132" s="333">
        <v>6666</v>
      </c>
      <c r="P132" s="330">
        <v>81.42</v>
      </c>
      <c r="Q132" s="330">
        <v>80.08</v>
      </c>
      <c r="R132" s="330">
        <v>36.89</v>
      </c>
      <c r="S132" s="330">
        <v>102.26</v>
      </c>
      <c r="T132" s="330">
        <v>2066</v>
      </c>
      <c r="U132" s="330">
        <v>93.05</v>
      </c>
      <c r="V132" s="330">
        <v>974</v>
      </c>
      <c r="W132" s="330">
        <v>104.96</v>
      </c>
      <c r="X132" s="330">
        <v>66</v>
      </c>
      <c r="Y132" s="330">
        <v>0</v>
      </c>
      <c r="Z132" s="330">
        <v>34</v>
      </c>
      <c r="AA132" s="330">
        <v>4</v>
      </c>
      <c r="AB132" s="330">
        <v>0</v>
      </c>
      <c r="AC132" s="330">
        <v>1</v>
      </c>
      <c r="AD132" s="334">
        <v>7663</v>
      </c>
      <c r="AE132" s="334">
        <v>162</v>
      </c>
      <c r="AF132" s="334">
        <v>81</v>
      </c>
      <c r="AG132" s="334">
        <v>243</v>
      </c>
    </row>
    <row r="133" spans="1:33" x14ac:dyDescent="0.25">
      <c r="A133" s="329" t="s">
        <v>322</v>
      </c>
      <c r="B133" s="335" t="s">
        <v>323</v>
      </c>
      <c r="C133" s="331">
        <v>5081</v>
      </c>
      <c r="D133" s="331">
        <v>0</v>
      </c>
      <c r="E133" s="331">
        <v>310</v>
      </c>
      <c r="F133" s="331">
        <v>713</v>
      </c>
      <c r="G133" s="331">
        <v>186</v>
      </c>
      <c r="H133" s="331">
        <v>6290</v>
      </c>
      <c r="I133" s="330">
        <v>6104</v>
      </c>
      <c r="J133" s="330">
        <v>2</v>
      </c>
      <c r="K133" s="332">
        <v>87.9</v>
      </c>
      <c r="L133" s="332">
        <v>86.49</v>
      </c>
      <c r="M133" s="332">
        <v>6.45</v>
      </c>
      <c r="N133" s="332">
        <v>93.32</v>
      </c>
      <c r="O133" s="333">
        <v>4316</v>
      </c>
      <c r="P133" s="330">
        <v>73.33</v>
      </c>
      <c r="Q133" s="330">
        <v>71.349999999999994</v>
      </c>
      <c r="R133" s="330">
        <v>35.51</v>
      </c>
      <c r="S133" s="330">
        <v>108.49</v>
      </c>
      <c r="T133" s="330">
        <v>796</v>
      </c>
      <c r="U133" s="330">
        <v>113.63</v>
      </c>
      <c r="V133" s="330">
        <v>692</v>
      </c>
      <c r="W133" s="330">
        <v>91.2</v>
      </c>
      <c r="X133" s="330">
        <v>29</v>
      </c>
      <c r="Y133" s="330">
        <v>0</v>
      </c>
      <c r="Z133" s="330">
        <v>8</v>
      </c>
      <c r="AA133" s="330">
        <v>5</v>
      </c>
      <c r="AB133" s="330">
        <v>0</v>
      </c>
      <c r="AC133" s="330">
        <v>1</v>
      </c>
      <c r="AD133" s="334">
        <v>5012</v>
      </c>
      <c r="AE133" s="334">
        <v>16</v>
      </c>
      <c r="AF133" s="334">
        <v>23</v>
      </c>
      <c r="AG133" s="334">
        <v>39</v>
      </c>
    </row>
    <row r="134" spans="1:33" x14ac:dyDescent="0.25">
      <c r="A134" s="329" t="s">
        <v>324</v>
      </c>
      <c r="B134" s="335" t="s">
        <v>325</v>
      </c>
      <c r="C134" s="331">
        <v>4423</v>
      </c>
      <c r="D134" s="331">
        <v>0</v>
      </c>
      <c r="E134" s="331">
        <v>256</v>
      </c>
      <c r="F134" s="331">
        <v>1010</v>
      </c>
      <c r="G134" s="331">
        <v>415</v>
      </c>
      <c r="H134" s="331">
        <v>6104</v>
      </c>
      <c r="I134" s="330">
        <v>5689</v>
      </c>
      <c r="J134" s="330">
        <v>0</v>
      </c>
      <c r="K134" s="332">
        <v>106.31</v>
      </c>
      <c r="L134" s="332">
        <v>102.19</v>
      </c>
      <c r="M134" s="332">
        <v>9.18</v>
      </c>
      <c r="N134" s="332">
        <v>110.66</v>
      </c>
      <c r="O134" s="333">
        <v>3580</v>
      </c>
      <c r="P134" s="330">
        <v>99.53</v>
      </c>
      <c r="Q134" s="330">
        <v>89.11</v>
      </c>
      <c r="R134" s="330">
        <v>21.23</v>
      </c>
      <c r="S134" s="330">
        <v>118.71</v>
      </c>
      <c r="T134" s="330">
        <v>1100</v>
      </c>
      <c r="U134" s="330">
        <v>142.6</v>
      </c>
      <c r="V134" s="330">
        <v>699</v>
      </c>
      <c r="W134" s="330">
        <v>154.72999999999999</v>
      </c>
      <c r="X134" s="330">
        <v>16</v>
      </c>
      <c r="Y134" s="330">
        <v>36</v>
      </c>
      <c r="Z134" s="330">
        <v>6</v>
      </c>
      <c r="AA134" s="330">
        <v>2</v>
      </c>
      <c r="AB134" s="330">
        <v>49</v>
      </c>
      <c r="AC134" s="330">
        <v>4</v>
      </c>
      <c r="AD134" s="334">
        <v>4374</v>
      </c>
      <c r="AE134" s="334">
        <v>4</v>
      </c>
      <c r="AF134" s="334">
        <v>6</v>
      </c>
      <c r="AG134" s="334">
        <v>10</v>
      </c>
    </row>
    <row r="135" spans="1:33" x14ac:dyDescent="0.25">
      <c r="A135" s="329" t="s">
        <v>326</v>
      </c>
      <c r="B135" s="335" t="s">
        <v>327</v>
      </c>
      <c r="C135" s="331">
        <v>3560</v>
      </c>
      <c r="D135" s="331">
        <v>354</v>
      </c>
      <c r="E135" s="331">
        <v>185</v>
      </c>
      <c r="F135" s="331">
        <v>497</v>
      </c>
      <c r="G135" s="331">
        <v>804</v>
      </c>
      <c r="H135" s="331">
        <v>5400</v>
      </c>
      <c r="I135" s="330">
        <v>4596</v>
      </c>
      <c r="J135" s="330">
        <v>2</v>
      </c>
      <c r="K135" s="332">
        <v>122.19</v>
      </c>
      <c r="L135" s="332">
        <v>117.86</v>
      </c>
      <c r="M135" s="332">
        <v>11.75</v>
      </c>
      <c r="N135" s="332">
        <v>129.56</v>
      </c>
      <c r="O135" s="333">
        <v>2475</v>
      </c>
      <c r="P135" s="330">
        <v>112.14</v>
      </c>
      <c r="Q135" s="330">
        <v>102.64</v>
      </c>
      <c r="R135" s="330">
        <v>42.17</v>
      </c>
      <c r="S135" s="330">
        <v>151.97999999999999</v>
      </c>
      <c r="T135" s="330">
        <v>635</v>
      </c>
      <c r="U135" s="330">
        <v>178.79</v>
      </c>
      <c r="V135" s="330">
        <v>941</v>
      </c>
      <c r="W135" s="330">
        <v>203.18</v>
      </c>
      <c r="X135" s="330">
        <v>37</v>
      </c>
      <c r="Y135" s="330">
        <v>6</v>
      </c>
      <c r="Z135" s="330">
        <v>2</v>
      </c>
      <c r="AA135" s="330">
        <v>7</v>
      </c>
      <c r="AB135" s="330">
        <v>42</v>
      </c>
      <c r="AC135" s="330">
        <v>9</v>
      </c>
      <c r="AD135" s="334">
        <v>3526</v>
      </c>
      <c r="AE135" s="334">
        <v>17</v>
      </c>
      <c r="AF135" s="334">
        <v>33</v>
      </c>
      <c r="AG135" s="334">
        <v>50</v>
      </c>
    </row>
    <row r="136" spans="1:33" x14ac:dyDescent="0.25">
      <c r="A136" s="329" t="s">
        <v>328</v>
      </c>
      <c r="B136" s="335" t="s">
        <v>329</v>
      </c>
      <c r="C136" s="331">
        <v>9125</v>
      </c>
      <c r="D136" s="331">
        <v>0</v>
      </c>
      <c r="E136" s="331">
        <v>334</v>
      </c>
      <c r="F136" s="331">
        <v>1752</v>
      </c>
      <c r="G136" s="331">
        <v>731</v>
      </c>
      <c r="H136" s="331">
        <v>11942</v>
      </c>
      <c r="I136" s="330">
        <v>11211</v>
      </c>
      <c r="J136" s="330">
        <v>9</v>
      </c>
      <c r="K136" s="332">
        <v>90.03</v>
      </c>
      <c r="L136" s="332">
        <v>87.74</v>
      </c>
      <c r="M136" s="332">
        <v>3.75</v>
      </c>
      <c r="N136" s="332">
        <v>91.9</v>
      </c>
      <c r="O136" s="333">
        <v>8380</v>
      </c>
      <c r="P136" s="330">
        <v>83.72</v>
      </c>
      <c r="Q136" s="330">
        <v>82.32</v>
      </c>
      <c r="R136" s="330">
        <v>33.700000000000003</v>
      </c>
      <c r="S136" s="330">
        <v>109.37</v>
      </c>
      <c r="T136" s="330">
        <v>2039</v>
      </c>
      <c r="U136" s="330">
        <v>105.12</v>
      </c>
      <c r="V136" s="330">
        <v>697</v>
      </c>
      <c r="W136" s="330">
        <v>179.19</v>
      </c>
      <c r="X136" s="330">
        <v>20</v>
      </c>
      <c r="Y136" s="330">
        <v>0</v>
      </c>
      <c r="Z136" s="330">
        <v>18</v>
      </c>
      <c r="AA136" s="330">
        <v>11</v>
      </c>
      <c r="AB136" s="330">
        <v>35</v>
      </c>
      <c r="AC136" s="330">
        <v>8</v>
      </c>
      <c r="AD136" s="334">
        <v>9097</v>
      </c>
      <c r="AE136" s="334">
        <v>50</v>
      </c>
      <c r="AF136" s="334">
        <v>38</v>
      </c>
      <c r="AG136" s="334">
        <v>88</v>
      </c>
    </row>
    <row r="137" spans="1:33" x14ac:dyDescent="0.25">
      <c r="A137" s="329" t="s">
        <v>330</v>
      </c>
      <c r="B137" s="335" t="s">
        <v>331</v>
      </c>
      <c r="C137" s="331">
        <v>6347</v>
      </c>
      <c r="D137" s="331">
        <v>24</v>
      </c>
      <c r="E137" s="331">
        <v>145</v>
      </c>
      <c r="F137" s="331">
        <v>851</v>
      </c>
      <c r="G137" s="331">
        <v>420</v>
      </c>
      <c r="H137" s="331">
        <v>7787</v>
      </c>
      <c r="I137" s="330">
        <v>7367</v>
      </c>
      <c r="J137" s="330">
        <v>0</v>
      </c>
      <c r="K137" s="332">
        <v>124.74</v>
      </c>
      <c r="L137" s="332">
        <v>123.02</v>
      </c>
      <c r="M137" s="332">
        <v>8.2100000000000009</v>
      </c>
      <c r="N137" s="332">
        <v>128.75</v>
      </c>
      <c r="O137" s="333">
        <v>5436</v>
      </c>
      <c r="P137" s="330">
        <v>114.75</v>
      </c>
      <c r="Q137" s="330">
        <v>110.96</v>
      </c>
      <c r="R137" s="330">
        <v>34.89</v>
      </c>
      <c r="S137" s="330">
        <v>147.9</v>
      </c>
      <c r="T137" s="330">
        <v>966</v>
      </c>
      <c r="U137" s="330">
        <v>175.07</v>
      </c>
      <c r="V137" s="330">
        <v>737</v>
      </c>
      <c r="W137" s="330">
        <v>0</v>
      </c>
      <c r="X137" s="330">
        <v>0</v>
      </c>
      <c r="Y137" s="330">
        <v>16</v>
      </c>
      <c r="Z137" s="330">
        <v>0</v>
      </c>
      <c r="AA137" s="330">
        <v>0</v>
      </c>
      <c r="AB137" s="330">
        <v>0</v>
      </c>
      <c r="AC137" s="330">
        <v>17</v>
      </c>
      <c r="AD137" s="334">
        <v>6201</v>
      </c>
      <c r="AE137" s="334">
        <v>11</v>
      </c>
      <c r="AF137" s="334">
        <v>2</v>
      </c>
      <c r="AG137" s="334">
        <v>13</v>
      </c>
    </row>
    <row r="138" spans="1:33" x14ac:dyDescent="0.25">
      <c r="A138" s="329" t="s">
        <v>332</v>
      </c>
      <c r="B138" s="335" t="s">
        <v>333</v>
      </c>
      <c r="C138" s="331">
        <v>842</v>
      </c>
      <c r="D138" s="331">
        <v>0</v>
      </c>
      <c r="E138" s="331">
        <v>67</v>
      </c>
      <c r="F138" s="331">
        <v>336</v>
      </c>
      <c r="G138" s="331">
        <v>192</v>
      </c>
      <c r="H138" s="331">
        <v>1437</v>
      </c>
      <c r="I138" s="330">
        <v>1245</v>
      </c>
      <c r="J138" s="330">
        <v>0</v>
      </c>
      <c r="K138" s="332">
        <v>96.65</v>
      </c>
      <c r="L138" s="332">
        <v>94.34</v>
      </c>
      <c r="M138" s="332">
        <v>6.38</v>
      </c>
      <c r="N138" s="332">
        <v>100.13</v>
      </c>
      <c r="O138" s="333">
        <v>733</v>
      </c>
      <c r="P138" s="330">
        <v>90.33</v>
      </c>
      <c r="Q138" s="330">
        <v>80.069999999999993</v>
      </c>
      <c r="R138" s="330">
        <v>36</v>
      </c>
      <c r="S138" s="330">
        <v>122.11</v>
      </c>
      <c r="T138" s="330">
        <v>383</v>
      </c>
      <c r="U138" s="330">
        <v>107.79</v>
      </c>
      <c r="V138" s="330">
        <v>91</v>
      </c>
      <c r="W138" s="330">
        <v>0</v>
      </c>
      <c r="X138" s="330">
        <v>0</v>
      </c>
      <c r="Y138" s="330">
        <v>0</v>
      </c>
      <c r="Z138" s="330">
        <v>0</v>
      </c>
      <c r="AA138" s="330">
        <v>2</v>
      </c>
      <c r="AB138" s="330">
        <v>3</v>
      </c>
      <c r="AC138" s="330">
        <v>5</v>
      </c>
      <c r="AD138" s="334">
        <v>824</v>
      </c>
      <c r="AE138" s="334">
        <v>14</v>
      </c>
      <c r="AF138" s="334">
        <v>3</v>
      </c>
      <c r="AG138" s="334">
        <v>17</v>
      </c>
    </row>
    <row r="139" spans="1:33" x14ac:dyDescent="0.25">
      <c r="A139" s="329" t="s">
        <v>334</v>
      </c>
      <c r="B139" s="335" t="s">
        <v>335</v>
      </c>
      <c r="C139" s="331">
        <v>6437</v>
      </c>
      <c r="D139" s="331">
        <v>30</v>
      </c>
      <c r="E139" s="331">
        <v>621</v>
      </c>
      <c r="F139" s="331">
        <v>501</v>
      </c>
      <c r="G139" s="331">
        <v>1167</v>
      </c>
      <c r="H139" s="331">
        <v>8756</v>
      </c>
      <c r="I139" s="330">
        <v>7589</v>
      </c>
      <c r="J139" s="330">
        <v>63</v>
      </c>
      <c r="K139" s="332">
        <v>126.7</v>
      </c>
      <c r="L139" s="332">
        <v>123.45</v>
      </c>
      <c r="M139" s="332">
        <v>10</v>
      </c>
      <c r="N139" s="332">
        <v>133.38</v>
      </c>
      <c r="O139" s="333">
        <v>5555</v>
      </c>
      <c r="P139" s="330">
        <v>109.25</v>
      </c>
      <c r="Q139" s="330">
        <v>103.79</v>
      </c>
      <c r="R139" s="330">
        <v>46.96</v>
      </c>
      <c r="S139" s="330">
        <v>151.63999999999999</v>
      </c>
      <c r="T139" s="330">
        <v>916</v>
      </c>
      <c r="U139" s="330">
        <v>185.82</v>
      </c>
      <c r="V139" s="330">
        <v>801</v>
      </c>
      <c r="W139" s="330">
        <v>164.7</v>
      </c>
      <c r="X139" s="330">
        <v>51</v>
      </c>
      <c r="Y139" s="330">
        <v>21</v>
      </c>
      <c r="Z139" s="330">
        <v>2</v>
      </c>
      <c r="AA139" s="330">
        <v>0</v>
      </c>
      <c r="AB139" s="330">
        <v>27</v>
      </c>
      <c r="AC139" s="330">
        <v>34</v>
      </c>
      <c r="AD139" s="334">
        <v>6304</v>
      </c>
      <c r="AE139" s="334">
        <v>7</v>
      </c>
      <c r="AF139" s="334">
        <v>7</v>
      </c>
      <c r="AG139" s="334">
        <v>14</v>
      </c>
    </row>
    <row r="140" spans="1:33" x14ac:dyDescent="0.25">
      <c r="A140" s="329" t="s">
        <v>336</v>
      </c>
      <c r="B140" s="335" t="s">
        <v>337</v>
      </c>
      <c r="C140" s="331">
        <v>1806</v>
      </c>
      <c r="D140" s="331">
        <v>0</v>
      </c>
      <c r="E140" s="331">
        <v>108</v>
      </c>
      <c r="F140" s="331">
        <v>125</v>
      </c>
      <c r="G140" s="331">
        <v>331</v>
      </c>
      <c r="H140" s="331">
        <v>2370</v>
      </c>
      <c r="I140" s="330">
        <v>2039</v>
      </c>
      <c r="J140" s="330">
        <v>0</v>
      </c>
      <c r="K140" s="332">
        <v>91.07</v>
      </c>
      <c r="L140" s="332">
        <v>88.69</v>
      </c>
      <c r="M140" s="332">
        <v>5.52</v>
      </c>
      <c r="N140" s="332">
        <v>93.92</v>
      </c>
      <c r="O140" s="333">
        <v>1438</v>
      </c>
      <c r="P140" s="330">
        <v>109.33</v>
      </c>
      <c r="Q140" s="330">
        <v>74.47</v>
      </c>
      <c r="R140" s="330">
        <v>28.57</v>
      </c>
      <c r="S140" s="330">
        <v>137.15</v>
      </c>
      <c r="T140" s="330">
        <v>226</v>
      </c>
      <c r="U140" s="330">
        <v>102.35</v>
      </c>
      <c r="V140" s="330">
        <v>336</v>
      </c>
      <c r="W140" s="330">
        <v>0</v>
      </c>
      <c r="X140" s="330">
        <v>0</v>
      </c>
      <c r="Y140" s="330">
        <v>0</v>
      </c>
      <c r="Z140" s="330">
        <v>1</v>
      </c>
      <c r="AA140" s="330">
        <v>8</v>
      </c>
      <c r="AB140" s="330">
        <v>28</v>
      </c>
      <c r="AC140" s="330">
        <v>12</v>
      </c>
      <c r="AD140" s="334">
        <v>1806</v>
      </c>
      <c r="AE140" s="334">
        <v>12</v>
      </c>
      <c r="AF140" s="334">
        <v>19</v>
      </c>
      <c r="AG140" s="334">
        <v>31</v>
      </c>
    </row>
    <row r="141" spans="1:33" x14ac:dyDescent="0.25">
      <c r="A141" s="329" t="s">
        <v>338</v>
      </c>
      <c r="B141" s="335" t="s">
        <v>339</v>
      </c>
      <c r="C141" s="331">
        <v>5774</v>
      </c>
      <c r="D141" s="331">
        <v>0</v>
      </c>
      <c r="E141" s="331">
        <v>197</v>
      </c>
      <c r="F141" s="331">
        <v>1038</v>
      </c>
      <c r="G141" s="331">
        <v>598</v>
      </c>
      <c r="H141" s="331">
        <v>7607</v>
      </c>
      <c r="I141" s="330">
        <v>7009</v>
      </c>
      <c r="J141" s="330">
        <v>2</v>
      </c>
      <c r="K141" s="332">
        <v>112.02</v>
      </c>
      <c r="L141" s="332">
        <v>110.92</v>
      </c>
      <c r="M141" s="332">
        <v>4.38</v>
      </c>
      <c r="N141" s="332">
        <v>114.69</v>
      </c>
      <c r="O141" s="333">
        <v>4655</v>
      </c>
      <c r="P141" s="330">
        <v>96.49</v>
      </c>
      <c r="Q141" s="330">
        <v>94.63</v>
      </c>
      <c r="R141" s="330">
        <v>26.78</v>
      </c>
      <c r="S141" s="330">
        <v>122.56</v>
      </c>
      <c r="T141" s="330">
        <v>1019</v>
      </c>
      <c r="U141" s="330">
        <v>161.04</v>
      </c>
      <c r="V141" s="330">
        <v>1062</v>
      </c>
      <c r="W141" s="330">
        <v>179.88</v>
      </c>
      <c r="X141" s="330">
        <v>107</v>
      </c>
      <c r="Y141" s="330">
        <v>0</v>
      </c>
      <c r="Z141" s="330">
        <v>15</v>
      </c>
      <c r="AA141" s="330">
        <v>4</v>
      </c>
      <c r="AB141" s="330">
        <v>84</v>
      </c>
      <c r="AC141" s="330">
        <v>11</v>
      </c>
      <c r="AD141" s="334">
        <v>5741</v>
      </c>
      <c r="AE141" s="334">
        <v>11</v>
      </c>
      <c r="AF141" s="334">
        <v>19</v>
      </c>
      <c r="AG141" s="334">
        <v>30</v>
      </c>
    </row>
    <row r="142" spans="1:33" x14ac:dyDescent="0.25">
      <c r="A142" s="329" t="s">
        <v>340</v>
      </c>
      <c r="B142" s="335" t="s">
        <v>341</v>
      </c>
      <c r="C142" s="331">
        <v>7629</v>
      </c>
      <c r="D142" s="331">
        <v>15</v>
      </c>
      <c r="E142" s="331">
        <v>446</v>
      </c>
      <c r="F142" s="331">
        <v>164</v>
      </c>
      <c r="G142" s="331">
        <v>1926</v>
      </c>
      <c r="H142" s="331">
        <v>10180</v>
      </c>
      <c r="I142" s="330">
        <v>8254</v>
      </c>
      <c r="J142" s="330">
        <v>146</v>
      </c>
      <c r="K142" s="332">
        <v>124.92</v>
      </c>
      <c r="L142" s="332">
        <v>124.99</v>
      </c>
      <c r="M142" s="332">
        <v>9.89</v>
      </c>
      <c r="N142" s="332">
        <v>132.68</v>
      </c>
      <c r="O142" s="333">
        <v>5871</v>
      </c>
      <c r="P142" s="330">
        <v>118.87</v>
      </c>
      <c r="Q142" s="330">
        <v>110.02</v>
      </c>
      <c r="R142" s="330">
        <v>56.03</v>
      </c>
      <c r="S142" s="330">
        <v>158.24</v>
      </c>
      <c r="T142" s="330">
        <v>343</v>
      </c>
      <c r="U142" s="330">
        <v>187.61</v>
      </c>
      <c r="V142" s="330">
        <v>867</v>
      </c>
      <c r="W142" s="330">
        <v>233.54</v>
      </c>
      <c r="X142" s="330">
        <v>114</v>
      </c>
      <c r="Y142" s="330">
        <v>0</v>
      </c>
      <c r="Z142" s="330">
        <v>7</v>
      </c>
      <c r="AA142" s="330">
        <v>2</v>
      </c>
      <c r="AB142" s="330">
        <v>85</v>
      </c>
      <c r="AC142" s="330">
        <v>83</v>
      </c>
      <c r="AD142" s="334">
        <v>7049</v>
      </c>
      <c r="AE142" s="334">
        <v>17</v>
      </c>
      <c r="AF142" s="334">
        <v>17</v>
      </c>
      <c r="AG142" s="334">
        <v>34</v>
      </c>
    </row>
    <row r="143" spans="1:33" x14ac:dyDescent="0.25">
      <c r="A143" s="329" t="s">
        <v>342</v>
      </c>
      <c r="B143" s="335" t="s">
        <v>343</v>
      </c>
      <c r="C143" s="331">
        <v>8317</v>
      </c>
      <c r="D143" s="331">
        <v>0</v>
      </c>
      <c r="E143" s="331">
        <v>355</v>
      </c>
      <c r="F143" s="331">
        <v>1054</v>
      </c>
      <c r="G143" s="331">
        <v>597</v>
      </c>
      <c r="H143" s="331">
        <v>10323</v>
      </c>
      <c r="I143" s="330">
        <v>9726</v>
      </c>
      <c r="J143" s="330">
        <v>5</v>
      </c>
      <c r="K143" s="332">
        <v>96.12</v>
      </c>
      <c r="L143" s="332">
        <v>95.56</v>
      </c>
      <c r="M143" s="332">
        <v>4.42</v>
      </c>
      <c r="N143" s="332">
        <v>97.76</v>
      </c>
      <c r="O143" s="333">
        <v>7872</v>
      </c>
      <c r="P143" s="330">
        <v>95.44</v>
      </c>
      <c r="Q143" s="330">
        <v>88.3</v>
      </c>
      <c r="R143" s="330">
        <v>43.96</v>
      </c>
      <c r="S143" s="330">
        <v>138.81</v>
      </c>
      <c r="T143" s="330">
        <v>753</v>
      </c>
      <c r="U143" s="330">
        <v>124.06</v>
      </c>
      <c r="V143" s="330">
        <v>275</v>
      </c>
      <c r="W143" s="330">
        <v>207.74</v>
      </c>
      <c r="X143" s="330">
        <v>55</v>
      </c>
      <c r="Y143" s="330">
        <v>0</v>
      </c>
      <c r="Z143" s="330">
        <v>15</v>
      </c>
      <c r="AA143" s="330">
        <v>25</v>
      </c>
      <c r="AB143" s="330">
        <v>34</v>
      </c>
      <c r="AC143" s="330">
        <v>12</v>
      </c>
      <c r="AD143" s="334">
        <v>8303</v>
      </c>
      <c r="AE143" s="334">
        <v>42</v>
      </c>
      <c r="AF143" s="334">
        <v>67</v>
      </c>
      <c r="AG143" s="334">
        <v>109</v>
      </c>
    </row>
    <row r="144" spans="1:33" x14ac:dyDescent="0.25">
      <c r="A144" s="329" t="s">
        <v>344</v>
      </c>
      <c r="B144" s="335" t="s">
        <v>345</v>
      </c>
      <c r="C144" s="331">
        <v>3019</v>
      </c>
      <c r="D144" s="331">
        <v>0</v>
      </c>
      <c r="E144" s="331">
        <v>250</v>
      </c>
      <c r="F144" s="331">
        <v>1625</v>
      </c>
      <c r="G144" s="331">
        <v>48</v>
      </c>
      <c r="H144" s="331">
        <v>4942</v>
      </c>
      <c r="I144" s="330">
        <v>4894</v>
      </c>
      <c r="J144" s="330">
        <v>15</v>
      </c>
      <c r="K144" s="332">
        <v>77.540000000000006</v>
      </c>
      <c r="L144" s="332">
        <v>78</v>
      </c>
      <c r="M144" s="332">
        <v>1.88</v>
      </c>
      <c r="N144" s="332">
        <v>78.510000000000005</v>
      </c>
      <c r="O144" s="333">
        <v>2915</v>
      </c>
      <c r="P144" s="330">
        <v>77.650000000000006</v>
      </c>
      <c r="Q144" s="330">
        <v>71.91</v>
      </c>
      <c r="R144" s="330">
        <v>21.9</v>
      </c>
      <c r="S144" s="330">
        <v>99.46</v>
      </c>
      <c r="T144" s="330">
        <v>1801</v>
      </c>
      <c r="U144" s="330">
        <v>89.94</v>
      </c>
      <c r="V144" s="330">
        <v>104</v>
      </c>
      <c r="W144" s="330">
        <v>239.71</v>
      </c>
      <c r="X144" s="330">
        <v>12</v>
      </c>
      <c r="Y144" s="330">
        <v>29</v>
      </c>
      <c r="Z144" s="330">
        <v>13</v>
      </c>
      <c r="AA144" s="330">
        <v>13</v>
      </c>
      <c r="AB144" s="330">
        <v>0</v>
      </c>
      <c r="AC144" s="330">
        <v>0</v>
      </c>
      <c r="AD144" s="334">
        <v>3019</v>
      </c>
      <c r="AE144" s="334">
        <v>10</v>
      </c>
      <c r="AF144" s="334">
        <v>9</v>
      </c>
      <c r="AG144" s="334">
        <v>19</v>
      </c>
    </row>
    <row r="145" spans="1:33" x14ac:dyDescent="0.25">
      <c r="A145" s="329" t="s">
        <v>346</v>
      </c>
      <c r="B145" s="335" t="s">
        <v>347</v>
      </c>
      <c r="C145" s="331">
        <v>3728</v>
      </c>
      <c r="D145" s="331">
        <v>0</v>
      </c>
      <c r="E145" s="331">
        <v>599</v>
      </c>
      <c r="F145" s="331">
        <v>744</v>
      </c>
      <c r="G145" s="331">
        <v>306</v>
      </c>
      <c r="H145" s="331">
        <v>5377</v>
      </c>
      <c r="I145" s="330">
        <v>5071</v>
      </c>
      <c r="J145" s="330">
        <v>4</v>
      </c>
      <c r="K145" s="332">
        <v>89.4</v>
      </c>
      <c r="L145" s="332">
        <v>88.67</v>
      </c>
      <c r="M145" s="332">
        <v>6.38</v>
      </c>
      <c r="N145" s="332">
        <v>93.89</v>
      </c>
      <c r="O145" s="333">
        <v>3120</v>
      </c>
      <c r="P145" s="330">
        <v>79.5</v>
      </c>
      <c r="Q145" s="330">
        <v>74.349999999999994</v>
      </c>
      <c r="R145" s="330">
        <v>51.58</v>
      </c>
      <c r="S145" s="330">
        <v>127.8</v>
      </c>
      <c r="T145" s="330">
        <v>1102</v>
      </c>
      <c r="U145" s="330">
        <v>100.08</v>
      </c>
      <c r="V145" s="330">
        <v>551</v>
      </c>
      <c r="W145" s="330">
        <v>91.78</v>
      </c>
      <c r="X145" s="330">
        <v>2</v>
      </c>
      <c r="Y145" s="330">
        <v>0</v>
      </c>
      <c r="Z145" s="330">
        <v>0</v>
      </c>
      <c r="AA145" s="330">
        <v>16</v>
      </c>
      <c r="AB145" s="330">
        <v>2</v>
      </c>
      <c r="AC145" s="330">
        <v>7</v>
      </c>
      <c r="AD145" s="334">
        <v>3728</v>
      </c>
      <c r="AE145" s="334">
        <v>14</v>
      </c>
      <c r="AF145" s="334">
        <v>20</v>
      </c>
      <c r="AG145" s="334">
        <v>34</v>
      </c>
    </row>
    <row r="146" spans="1:33" x14ac:dyDescent="0.25">
      <c r="A146" s="329" t="s">
        <v>348</v>
      </c>
      <c r="B146" s="335" t="s">
        <v>349</v>
      </c>
      <c r="C146" s="331">
        <v>6547</v>
      </c>
      <c r="D146" s="331">
        <v>0</v>
      </c>
      <c r="E146" s="331">
        <v>147</v>
      </c>
      <c r="F146" s="331">
        <v>394</v>
      </c>
      <c r="G146" s="331">
        <v>262</v>
      </c>
      <c r="H146" s="331">
        <v>7350</v>
      </c>
      <c r="I146" s="330">
        <v>7088</v>
      </c>
      <c r="J146" s="330">
        <v>0</v>
      </c>
      <c r="K146" s="332">
        <v>88.6</v>
      </c>
      <c r="L146" s="332">
        <v>86.64</v>
      </c>
      <c r="M146" s="332">
        <v>8.7899999999999991</v>
      </c>
      <c r="N146" s="332">
        <v>94.1</v>
      </c>
      <c r="O146" s="333">
        <v>5704</v>
      </c>
      <c r="P146" s="330">
        <v>79.81</v>
      </c>
      <c r="Q146" s="330">
        <v>78.959999999999994</v>
      </c>
      <c r="R146" s="330">
        <v>36.26</v>
      </c>
      <c r="S146" s="330">
        <v>114.94</v>
      </c>
      <c r="T146" s="330">
        <v>513</v>
      </c>
      <c r="U146" s="330">
        <v>122.05</v>
      </c>
      <c r="V146" s="330">
        <v>307</v>
      </c>
      <c r="W146" s="330">
        <v>97.24</v>
      </c>
      <c r="X146" s="330">
        <v>12</v>
      </c>
      <c r="Y146" s="330">
        <v>0</v>
      </c>
      <c r="Z146" s="330">
        <v>9</v>
      </c>
      <c r="AA146" s="330">
        <v>1</v>
      </c>
      <c r="AB146" s="330">
        <v>0</v>
      </c>
      <c r="AC146" s="330">
        <v>6</v>
      </c>
      <c r="AD146" s="334">
        <v>6106</v>
      </c>
      <c r="AE146" s="334">
        <v>12</v>
      </c>
      <c r="AF146" s="334">
        <v>12</v>
      </c>
      <c r="AG146" s="334">
        <v>24</v>
      </c>
    </row>
    <row r="147" spans="1:33" x14ac:dyDescent="0.25">
      <c r="A147" s="329" t="s">
        <v>350</v>
      </c>
      <c r="B147" s="335" t="s">
        <v>351</v>
      </c>
      <c r="C147" s="331">
        <v>54</v>
      </c>
      <c r="D147" s="331">
        <v>0</v>
      </c>
      <c r="E147" s="331">
        <v>0</v>
      </c>
      <c r="F147" s="331">
        <v>7</v>
      </c>
      <c r="G147" s="331">
        <v>0</v>
      </c>
      <c r="H147" s="331">
        <v>61</v>
      </c>
      <c r="I147" s="330">
        <v>61</v>
      </c>
      <c r="J147" s="330">
        <v>0</v>
      </c>
      <c r="K147" s="332">
        <v>99.91</v>
      </c>
      <c r="L147" s="332">
        <v>104.24</v>
      </c>
      <c r="M147" s="332">
        <v>2.52</v>
      </c>
      <c r="N147" s="332">
        <v>100.94</v>
      </c>
      <c r="O147" s="333">
        <v>27</v>
      </c>
      <c r="P147" s="330">
        <v>96.35</v>
      </c>
      <c r="Q147" s="330">
        <v>87.35</v>
      </c>
      <c r="R147" s="330">
        <v>18.989999999999998</v>
      </c>
      <c r="S147" s="330">
        <v>115.34</v>
      </c>
      <c r="T147" s="330">
        <v>7</v>
      </c>
      <c r="U147" s="330">
        <v>116.25</v>
      </c>
      <c r="V147" s="330">
        <v>2</v>
      </c>
      <c r="W147" s="330">
        <v>0</v>
      </c>
      <c r="X147" s="330">
        <v>0</v>
      </c>
      <c r="Y147" s="330">
        <v>0</v>
      </c>
      <c r="Z147" s="330">
        <v>0</v>
      </c>
      <c r="AA147" s="330">
        <v>0</v>
      </c>
      <c r="AB147" s="330">
        <v>0</v>
      </c>
      <c r="AC147" s="330">
        <v>0</v>
      </c>
      <c r="AD147" s="334">
        <v>27</v>
      </c>
      <c r="AE147" s="334">
        <v>0</v>
      </c>
      <c r="AF147" s="334">
        <v>0</v>
      </c>
      <c r="AG147" s="334">
        <v>0</v>
      </c>
    </row>
    <row r="148" spans="1:33" x14ac:dyDescent="0.25">
      <c r="A148" s="329" t="s">
        <v>352</v>
      </c>
      <c r="B148" s="335" t="s">
        <v>353</v>
      </c>
      <c r="C148" s="331">
        <v>13488</v>
      </c>
      <c r="D148" s="331">
        <v>261</v>
      </c>
      <c r="E148" s="331">
        <v>1362</v>
      </c>
      <c r="F148" s="331">
        <v>790</v>
      </c>
      <c r="G148" s="331">
        <v>1381</v>
      </c>
      <c r="H148" s="331">
        <v>17282</v>
      </c>
      <c r="I148" s="330">
        <v>15901</v>
      </c>
      <c r="J148" s="330">
        <v>64</v>
      </c>
      <c r="K148" s="332">
        <v>126.3</v>
      </c>
      <c r="L148" s="332">
        <v>134.76</v>
      </c>
      <c r="M148" s="332">
        <v>12.78</v>
      </c>
      <c r="N148" s="332">
        <v>135.63999999999999</v>
      </c>
      <c r="O148" s="333">
        <v>11607</v>
      </c>
      <c r="P148" s="330">
        <v>117.18</v>
      </c>
      <c r="Q148" s="330">
        <v>115.85</v>
      </c>
      <c r="R148" s="330">
        <v>67.91</v>
      </c>
      <c r="S148" s="330">
        <v>157.93</v>
      </c>
      <c r="T148" s="330">
        <v>1825</v>
      </c>
      <c r="U148" s="330">
        <v>182.2</v>
      </c>
      <c r="V148" s="330">
        <v>548</v>
      </c>
      <c r="W148" s="330">
        <v>174.73</v>
      </c>
      <c r="X148" s="330">
        <v>2</v>
      </c>
      <c r="Y148" s="330">
        <v>0</v>
      </c>
      <c r="Z148" s="330">
        <v>25</v>
      </c>
      <c r="AA148" s="330">
        <v>0</v>
      </c>
      <c r="AB148" s="330">
        <v>0</v>
      </c>
      <c r="AC148" s="330">
        <v>46</v>
      </c>
      <c r="AD148" s="334">
        <v>12474</v>
      </c>
      <c r="AE148" s="334">
        <v>16</v>
      </c>
      <c r="AF148" s="334">
        <v>29</v>
      </c>
      <c r="AG148" s="334">
        <v>45</v>
      </c>
    </row>
    <row r="149" spans="1:33" x14ac:dyDescent="0.25">
      <c r="A149" s="329" t="s">
        <v>354</v>
      </c>
      <c r="B149" s="335" t="s">
        <v>355</v>
      </c>
      <c r="C149" s="331">
        <v>10894</v>
      </c>
      <c r="D149" s="331">
        <v>142</v>
      </c>
      <c r="E149" s="331">
        <v>948</v>
      </c>
      <c r="F149" s="331">
        <v>939</v>
      </c>
      <c r="G149" s="331">
        <v>554</v>
      </c>
      <c r="H149" s="331">
        <v>13477</v>
      </c>
      <c r="I149" s="330">
        <v>12923</v>
      </c>
      <c r="J149" s="330">
        <v>49</v>
      </c>
      <c r="K149" s="332">
        <v>135.38</v>
      </c>
      <c r="L149" s="332">
        <v>143.59</v>
      </c>
      <c r="M149" s="332">
        <v>11.95</v>
      </c>
      <c r="N149" s="332">
        <v>143.04</v>
      </c>
      <c r="O149" s="333">
        <v>9659</v>
      </c>
      <c r="P149" s="330">
        <v>117.59</v>
      </c>
      <c r="Q149" s="330">
        <v>125.03</v>
      </c>
      <c r="R149" s="330">
        <v>62.75</v>
      </c>
      <c r="S149" s="330">
        <v>169.26</v>
      </c>
      <c r="T149" s="330">
        <v>1466</v>
      </c>
      <c r="U149" s="330">
        <v>206.27</v>
      </c>
      <c r="V149" s="330">
        <v>595</v>
      </c>
      <c r="W149" s="330">
        <v>204.67</v>
      </c>
      <c r="X149" s="330">
        <v>25</v>
      </c>
      <c r="Y149" s="330">
        <v>0</v>
      </c>
      <c r="Z149" s="330">
        <v>3</v>
      </c>
      <c r="AA149" s="330">
        <v>0</v>
      </c>
      <c r="AB149" s="330">
        <v>1</v>
      </c>
      <c r="AC149" s="330">
        <v>8</v>
      </c>
      <c r="AD149" s="334">
        <v>10041</v>
      </c>
      <c r="AE149" s="334">
        <v>24</v>
      </c>
      <c r="AF149" s="334">
        <v>117</v>
      </c>
      <c r="AG149" s="334">
        <v>141</v>
      </c>
    </row>
    <row r="150" spans="1:33" x14ac:dyDescent="0.25">
      <c r="A150" s="329" t="s">
        <v>356</v>
      </c>
      <c r="B150" s="335" t="s">
        <v>357</v>
      </c>
      <c r="C150" s="331">
        <v>8319</v>
      </c>
      <c r="D150" s="331">
        <v>0</v>
      </c>
      <c r="E150" s="331">
        <v>412</v>
      </c>
      <c r="F150" s="331">
        <v>940</v>
      </c>
      <c r="G150" s="331">
        <v>202</v>
      </c>
      <c r="H150" s="331">
        <v>9873</v>
      </c>
      <c r="I150" s="330">
        <v>9671</v>
      </c>
      <c r="J150" s="330">
        <v>3</v>
      </c>
      <c r="K150" s="332">
        <v>84.31</v>
      </c>
      <c r="L150" s="332">
        <v>84.44</v>
      </c>
      <c r="M150" s="332">
        <v>2.91</v>
      </c>
      <c r="N150" s="332">
        <v>85.18</v>
      </c>
      <c r="O150" s="333">
        <v>7655</v>
      </c>
      <c r="P150" s="330">
        <v>85.87</v>
      </c>
      <c r="Q150" s="330">
        <v>79.94</v>
      </c>
      <c r="R150" s="330">
        <v>35.130000000000003</v>
      </c>
      <c r="S150" s="330">
        <v>114.64</v>
      </c>
      <c r="T150" s="330">
        <v>1341</v>
      </c>
      <c r="U150" s="330">
        <v>101.07</v>
      </c>
      <c r="V150" s="330">
        <v>608</v>
      </c>
      <c r="W150" s="330">
        <v>95.89</v>
      </c>
      <c r="X150" s="330">
        <v>10</v>
      </c>
      <c r="Y150" s="330">
        <v>0</v>
      </c>
      <c r="Z150" s="330">
        <v>31</v>
      </c>
      <c r="AA150" s="330">
        <v>0</v>
      </c>
      <c r="AB150" s="330">
        <v>6</v>
      </c>
      <c r="AC150" s="330">
        <v>9</v>
      </c>
      <c r="AD150" s="334">
        <v>8311</v>
      </c>
      <c r="AE150" s="334">
        <v>43</v>
      </c>
      <c r="AF150" s="334">
        <v>87</v>
      </c>
      <c r="AG150" s="334">
        <v>130</v>
      </c>
    </row>
    <row r="151" spans="1:33" x14ac:dyDescent="0.25">
      <c r="A151" s="329" t="s">
        <v>358</v>
      </c>
      <c r="B151" s="335" t="s">
        <v>359</v>
      </c>
      <c r="C151" s="331">
        <v>7073</v>
      </c>
      <c r="D151" s="331">
        <v>0</v>
      </c>
      <c r="E151" s="331">
        <v>876</v>
      </c>
      <c r="F151" s="331">
        <v>1104</v>
      </c>
      <c r="G151" s="331">
        <v>307</v>
      </c>
      <c r="H151" s="331">
        <v>9360</v>
      </c>
      <c r="I151" s="330">
        <v>9053</v>
      </c>
      <c r="J151" s="330">
        <v>1</v>
      </c>
      <c r="K151" s="332">
        <v>82.05</v>
      </c>
      <c r="L151" s="332">
        <v>80.72</v>
      </c>
      <c r="M151" s="332">
        <v>7.09</v>
      </c>
      <c r="N151" s="332">
        <v>87.57</v>
      </c>
      <c r="O151" s="333">
        <v>6159</v>
      </c>
      <c r="P151" s="330">
        <v>79.69</v>
      </c>
      <c r="Q151" s="330">
        <v>75.94</v>
      </c>
      <c r="R151" s="330">
        <v>48.26</v>
      </c>
      <c r="S151" s="330">
        <v>127</v>
      </c>
      <c r="T151" s="330">
        <v>1596</v>
      </c>
      <c r="U151" s="330">
        <v>94.96</v>
      </c>
      <c r="V151" s="330">
        <v>731</v>
      </c>
      <c r="W151" s="330">
        <v>183</v>
      </c>
      <c r="X151" s="330">
        <v>38</v>
      </c>
      <c r="Y151" s="330">
        <v>0</v>
      </c>
      <c r="Z151" s="330">
        <v>14</v>
      </c>
      <c r="AA151" s="330">
        <v>5</v>
      </c>
      <c r="AB151" s="330">
        <v>10</v>
      </c>
      <c r="AC151" s="330">
        <v>5</v>
      </c>
      <c r="AD151" s="334">
        <v>6915</v>
      </c>
      <c r="AE151" s="334">
        <v>40</v>
      </c>
      <c r="AF151" s="334">
        <v>15</v>
      </c>
      <c r="AG151" s="334">
        <v>55</v>
      </c>
    </row>
    <row r="152" spans="1:33" x14ac:dyDescent="0.25">
      <c r="A152" s="329" t="s">
        <v>360</v>
      </c>
      <c r="B152" s="335" t="s">
        <v>361</v>
      </c>
      <c r="C152" s="331">
        <v>2137</v>
      </c>
      <c r="D152" s="331">
        <v>93</v>
      </c>
      <c r="E152" s="331">
        <v>351</v>
      </c>
      <c r="F152" s="331">
        <v>219</v>
      </c>
      <c r="G152" s="331">
        <v>271</v>
      </c>
      <c r="H152" s="331">
        <v>3071</v>
      </c>
      <c r="I152" s="330">
        <v>2800</v>
      </c>
      <c r="J152" s="330">
        <v>24</v>
      </c>
      <c r="K152" s="332">
        <v>130.82</v>
      </c>
      <c r="L152" s="332">
        <v>131.66999999999999</v>
      </c>
      <c r="M152" s="332">
        <v>9.5500000000000007</v>
      </c>
      <c r="N152" s="332">
        <v>138.28</v>
      </c>
      <c r="O152" s="333">
        <v>1553</v>
      </c>
      <c r="P152" s="330">
        <v>127.1</v>
      </c>
      <c r="Q152" s="330">
        <v>104.94</v>
      </c>
      <c r="R152" s="330">
        <v>43.99</v>
      </c>
      <c r="S152" s="330">
        <v>170.73</v>
      </c>
      <c r="T152" s="330">
        <v>365</v>
      </c>
      <c r="U152" s="330">
        <v>219.6</v>
      </c>
      <c r="V152" s="330">
        <v>326</v>
      </c>
      <c r="W152" s="330">
        <v>0</v>
      </c>
      <c r="X152" s="330">
        <v>0</v>
      </c>
      <c r="Y152" s="330">
        <v>0</v>
      </c>
      <c r="Z152" s="330">
        <v>0</v>
      </c>
      <c r="AA152" s="330">
        <v>0</v>
      </c>
      <c r="AB152" s="330">
        <v>3</v>
      </c>
      <c r="AC152" s="330">
        <v>6</v>
      </c>
      <c r="AD152" s="334">
        <v>1876</v>
      </c>
      <c r="AE152" s="334">
        <v>7</v>
      </c>
      <c r="AF152" s="334">
        <v>8</v>
      </c>
      <c r="AG152" s="334">
        <v>15</v>
      </c>
    </row>
    <row r="153" spans="1:33" x14ac:dyDescent="0.25">
      <c r="A153" s="329" t="s">
        <v>362</v>
      </c>
      <c r="B153" s="335" t="s">
        <v>363</v>
      </c>
      <c r="C153" s="331">
        <v>4118</v>
      </c>
      <c r="D153" s="331">
        <v>49</v>
      </c>
      <c r="E153" s="331">
        <v>385</v>
      </c>
      <c r="F153" s="331">
        <v>1255</v>
      </c>
      <c r="G153" s="331">
        <v>298</v>
      </c>
      <c r="H153" s="331">
        <v>6105</v>
      </c>
      <c r="I153" s="330">
        <v>5807</v>
      </c>
      <c r="J153" s="330">
        <v>16</v>
      </c>
      <c r="K153" s="332">
        <v>85.27</v>
      </c>
      <c r="L153" s="332">
        <v>82.83</v>
      </c>
      <c r="M153" s="332">
        <v>4.8899999999999997</v>
      </c>
      <c r="N153" s="332">
        <v>88.87</v>
      </c>
      <c r="O153" s="333">
        <v>3527</v>
      </c>
      <c r="P153" s="330">
        <v>80</v>
      </c>
      <c r="Q153" s="330">
        <v>75.98</v>
      </c>
      <c r="R153" s="330">
        <v>33.409999999999997</v>
      </c>
      <c r="S153" s="330">
        <v>112.43</v>
      </c>
      <c r="T153" s="330">
        <v>1458</v>
      </c>
      <c r="U153" s="330">
        <v>96.12</v>
      </c>
      <c r="V153" s="330">
        <v>494</v>
      </c>
      <c r="W153" s="330">
        <v>104.26</v>
      </c>
      <c r="X153" s="330">
        <v>40</v>
      </c>
      <c r="Y153" s="330">
        <v>0</v>
      </c>
      <c r="Z153" s="330">
        <v>11</v>
      </c>
      <c r="AA153" s="330">
        <v>10</v>
      </c>
      <c r="AB153" s="330">
        <v>6</v>
      </c>
      <c r="AC153" s="330">
        <v>6</v>
      </c>
      <c r="AD153" s="334">
        <v>4109</v>
      </c>
      <c r="AE153" s="334">
        <v>23</v>
      </c>
      <c r="AF153" s="334">
        <v>24</v>
      </c>
      <c r="AG153" s="334">
        <v>47</v>
      </c>
    </row>
    <row r="154" spans="1:33" x14ac:dyDescent="0.25">
      <c r="A154" s="329" t="s">
        <v>364</v>
      </c>
      <c r="B154" s="335" t="s">
        <v>365</v>
      </c>
      <c r="C154" s="331">
        <v>16114</v>
      </c>
      <c r="D154" s="331">
        <v>9</v>
      </c>
      <c r="E154" s="331">
        <v>635</v>
      </c>
      <c r="F154" s="331">
        <v>1395</v>
      </c>
      <c r="G154" s="331">
        <v>298</v>
      </c>
      <c r="H154" s="331">
        <v>18451</v>
      </c>
      <c r="I154" s="330">
        <v>18153</v>
      </c>
      <c r="J154" s="330">
        <v>1</v>
      </c>
      <c r="K154" s="332">
        <v>84.53</v>
      </c>
      <c r="L154" s="332">
        <v>84.7</v>
      </c>
      <c r="M154" s="332">
        <v>10.81</v>
      </c>
      <c r="N154" s="332">
        <v>87.03</v>
      </c>
      <c r="O154" s="333">
        <v>14782</v>
      </c>
      <c r="P154" s="330">
        <v>85.32</v>
      </c>
      <c r="Q154" s="330">
        <v>81.73</v>
      </c>
      <c r="R154" s="330">
        <v>30.69</v>
      </c>
      <c r="S154" s="330">
        <v>111.67</v>
      </c>
      <c r="T154" s="330">
        <v>1655</v>
      </c>
      <c r="U154" s="330">
        <v>106.32</v>
      </c>
      <c r="V154" s="330">
        <v>1073</v>
      </c>
      <c r="W154" s="330">
        <v>144.61000000000001</v>
      </c>
      <c r="X154" s="330">
        <v>206</v>
      </c>
      <c r="Y154" s="330">
        <v>72</v>
      </c>
      <c r="Z154" s="330">
        <v>135</v>
      </c>
      <c r="AA154" s="330">
        <v>1</v>
      </c>
      <c r="AB154" s="330">
        <v>6</v>
      </c>
      <c r="AC154" s="330">
        <v>15</v>
      </c>
      <c r="AD154" s="334">
        <v>15864</v>
      </c>
      <c r="AE154" s="334">
        <v>302</v>
      </c>
      <c r="AF154" s="334">
        <v>27</v>
      </c>
      <c r="AG154" s="334">
        <v>329</v>
      </c>
    </row>
    <row r="155" spans="1:33" x14ac:dyDescent="0.25">
      <c r="A155" s="329" t="s">
        <v>366</v>
      </c>
      <c r="B155" s="335" t="s">
        <v>367</v>
      </c>
      <c r="C155" s="331">
        <v>20749</v>
      </c>
      <c r="D155" s="331">
        <v>67</v>
      </c>
      <c r="E155" s="331">
        <v>1907</v>
      </c>
      <c r="F155" s="331">
        <v>1452</v>
      </c>
      <c r="G155" s="331">
        <v>2174</v>
      </c>
      <c r="H155" s="331">
        <v>26349</v>
      </c>
      <c r="I155" s="330">
        <v>24175</v>
      </c>
      <c r="J155" s="330">
        <v>496</v>
      </c>
      <c r="K155" s="332">
        <v>117.9</v>
      </c>
      <c r="L155" s="332">
        <v>125.25</v>
      </c>
      <c r="M155" s="332">
        <v>12.53</v>
      </c>
      <c r="N155" s="332">
        <v>128.29</v>
      </c>
      <c r="O155" s="333">
        <v>18546</v>
      </c>
      <c r="P155" s="330">
        <v>114.12</v>
      </c>
      <c r="Q155" s="330">
        <v>111.06</v>
      </c>
      <c r="R155" s="330">
        <v>54.52</v>
      </c>
      <c r="S155" s="330">
        <v>156.61000000000001</v>
      </c>
      <c r="T155" s="330">
        <v>2955</v>
      </c>
      <c r="U155" s="330">
        <v>182.31</v>
      </c>
      <c r="V155" s="330">
        <v>1087</v>
      </c>
      <c r="W155" s="330">
        <v>209.5</v>
      </c>
      <c r="X155" s="330">
        <v>129</v>
      </c>
      <c r="Y155" s="330">
        <v>0</v>
      </c>
      <c r="Z155" s="330">
        <v>14</v>
      </c>
      <c r="AA155" s="330">
        <v>62</v>
      </c>
      <c r="AB155" s="330">
        <v>82</v>
      </c>
      <c r="AC155" s="330">
        <v>74</v>
      </c>
      <c r="AD155" s="334">
        <v>19709</v>
      </c>
      <c r="AE155" s="334">
        <v>50</v>
      </c>
      <c r="AF155" s="334">
        <v>138</v>
      </c>
      <c r="AG155" s="334">
        <v>188</v>
      </c>
    </row>
    <row r="156" spans="1:33" x14ac:dyDescent="0.25">
      <c r="A156" s="329" t="s">
        <v>368</v>
      </c>
      <c r="B156" s="335" t="s">
        <v>369</v>
      </c>
      <c r="C156" s="331">
        <v>1987</v>
      </c>
      <c r="D156" s="331">
        <v>0</v>
      </c>
      <c r="E156" s="331">
        <v>350</v>
      </c>
      <c r="F156" s="331">
        <v>486</v>
      </c>
      <c r="G156" s="331">
        <v>213</v>
      </c>
      <c r="H156" s="331">
        <v>3036</v>
      </c>
      <c r="I156" s="330">
        <v>2823</v>
      </c>
      <c r="J156" s="330">
        <v>0</v>
      </c>
      <c r="K156" s="332">
        <v>84.24</v>
      </c>
      <c r="L156" s="332">
        <v>80.53</v>
      </c>
      <c r="M156" s="332">
        <v>5.56</v>
      </c>
      <c r="N156" s="332">
        <v>88.97</v>
      </c>
      <c r="O156" s="333">
        <v>1330</v>
      </c>
      <c r="P156" s="330">
        <v>87.95</v>
      </c>
      <c r="Q156" s="330">
        <v>73.63</v>
      </c>
      <c r="R156" s="330">
        <v>53.86</v>
      </c>
      <c r="S156" s="330">
        <v>141.72999999999999</v>
      </c>
      <c r="T156" s="330">
        <v>722</v>
      </c>
      <c r="U156" s="330">
        <v>104.13</v>
      </c>
      <c r="V156" s="330">
        <v>562</v>
      </c>
      <c r="W156" s="330">
        <v>137.06</v>
      </c>
      <c r="X156" s="330">
        <v>11</v>
      </c>
      <c r="Y156" s="330">
        <v>0</v>
      </c>
      <c r="Z156" s="330">
        <v>1</v>
      </c>
      <c r="AA156" s="330">
        <v>7</v>
      </c>
      <c r="AB156" s="330">
        <v>7</v>
      </c>
      <c r="AC156" s="330">
        <v>7</v>
      </c>
      <c r="AD156" s="334">
        <v>1948</v>
      </c>
      <c r="AE156" s="334">
        <v>38</v>
      </c>
      <c r="AF156" s="334">
        <v>6</v>
      </c>
      <c r="AG156" s="334">
        <v>44</v>
      </c>
    </row>
    <row r="157" spans="1:33" x14ac:dyDescent="0.25">
      <c r="A157" s="329" t="s">
        <v>370</v>
      </c>
      <c r="B157" s="335" t="s">
        <v>371</v>
      </c>
      <c r="C157" s="331">
        <v>12970</v>
      </c>
      <c r="D157" s="331">
        <v>54</v>
      </c>
      <c r="E157" s="331">
        <v>1305</v>
      </c>
      <c r="F157" s="331">
        <v>2756</v>
      </c>
      <c r="G157" s="331">
        <v>1041</v>
      </c>
      <c r="H157" s="331">
        <v>18126</v>
      </c>
      <c r="I157" s="330">
        <v>17085</v>
      </c>
      <c r="J157" s="330">
        <v>42</v>
      </c>
      <c r="K157" s="332">
        <v>84.36</v>
      </c>
      <c r="L157" s="332">
        <v>82.38</v>
      </c>
      <c r="M157" s="332">
        <v>6.7</v>
      </c>
      <c r="N157" s="332">
        <v>88.55</v>
      </c>
      <c r="O157" s="333">
        <v>10941</v>
      </c>
      <c r="P157" s="330">
        <v>90.8</v>
      </c>
      <c r="Q157" s="330">
        <v>77.25</v>
      </c>
      <c r="R157" s="330">
        <v>45.11</v>
      </c>
      <c r="S157" s="330">
        <v>134.49</v>
      </c>
      <c r="T157" s="330">
        <v>3207</v>
      </c>
      <c r="U157" s="330">
        <v>103.71</v>
      </c>
      <c r="V157" s="330">
        <v>1171</v>
      </c>
      <c r="W157" s="330">
        <v>96.07</v>
      </c>
      <c r="X157" s="330">
        <v>20</v>
      </c>
      <c r="Y157" s="330">
        <v>83</v>
      </c>
      <c r="Z157" s="330">
        <v>11</v>
      </c>
      <c r="AA157" s="330">
        <v>17</v>
      </c>
      <c r="AB157" s="330">
        <v>36</v>
      </c>
      <c r="AC157" s="330">
        <v>53</v>
      </c>
      <c r="AD157" s="334">
        <v>12593</v>
      </c>
      <c r="AE157" s="334">
        <v>70</v>
      </c>
      <c r="AF157" s="334">
        <v>56</v>
      </c>
      <c r="AG157" s="334">
        <v>126</v>
      </c>
    </row>
    <row r="158" spans="1:33" x14ac:dyDescent="0.25">
      <c r="A158" s="329" t="s">
        <v>372</v>
      </c>
      <c r="B158" s="335" t="s">
        <v>373</v>
      </c>
      <c r="C158" s="331">
        <v>9006</v>
      </c>
      <c r="D158" s="331">
        <v>0</v>
      </c>
      <c r="E158" s="331">
        <v>907</v>
      </c>
      <c r="F158" s="331">
        <v>927</v>
      </c>
      <c r="G158" s="331">
        <v>520</v>
      </c>
      <c r="H158" s="331">
        <v>11360</v>
      </c>
      <c r="I158" s="330">
        <v>10840</v>
      </c>
      <c r="J158" s="330">
        <v>9</v>
      </c>
      <c r="K158" s="332">
        <v>84.24</v>
      </c>
      <c r="L158" s="332">
        <v>82.02</v>
      </c>
      <c r="M158" s="332">
        <v>8.3000000000000007</v>
      </c>
      <c r="N158" s="332">
        <v>89.73</v>
      </c>
      <c r="O158" s="333">
        <v>7282</v>
      </c>
      <c r="P158" s="330">
        <v>85.86</v>
      </c>
      <c r="Q158" s="330">
        <v>75.650000000000006</v>
      </c>
      <c r="R158" s="330">
        <v>47.84</v>
      </c>
      <c r="S158" s="330">
        <v>132.44</v>
      </c>
      <c r="T158" s="330">
        <v>1529</v>
      </c>
      <c r="U158" s="330">
        <v>104.23</v>
      </c>
      <c r="V158" s="330">
        <v>844</v>
      </c>
      <c r="W158" s="330">
        <v>128.77000000000001</v>
      </c>
      <c r="X158" s="330">
        <v>77</v>
      </c>
      <c r="Y158" s="330">
        <v>0</v>
      </c>
      <c r="Z158" s="330">
        <v>13</v>
      </c>
      <c r="AA158" s="330">
        <v>64</v>
      </c>
      <c r="AB158" s="330">
        <v>14</v>
      </c>
      <c r="AC158" s="330">
        <v>34</v>
      </c>
      <c r="AD158" s="334">
        <v>8291</v>
      </c>
      <c r="AE158" s="334">
        <v>45</v>
      </c>
      <c r="AF158" s="334">
        <v>40</v>
      </c>
      <c r="AG158" s="334">
        <v>85</v>
      </c>
    </row>
    <row r="159" spans="1:33" x14ac:dyDescent="0.25">
      <c r="A159" s="329" t="s">
        <v>374</v>
      </c>
      <c r="B159" s="335" t="s">
        <v>375</v>
      </c>
      <c r="C159" s="331">
        <v>1113</v>
      </c>
      <c r="D159" s="331">
        <v>0</v>
      </c>
      <c r="E159" s="331">
        <v>164</v>
      </c>
      <c r="F159" s="331">
        <v>201</v>
      </c>
      <c r="G159" s="331">
        <v>240</v>
      </c>
      <c r="H159" s="331">
        <v>1718</v>
      </c>
      <c r="I159" s="330">
        <v>1478</v>
      </c>
      <c r="J159" s="330">
        <v>1</v>
      </c>
      <c r="K159" s="332">
        <v>92.54</v>
      </c>
      <c r="L159" s="332">
        <v>91.42</v>
      </c>
      <c r="M159" s="332">
        <v>9.08</v>
      </c>
      <c r="N159" s="332">
        <v>100.61</v>
      </c>
      <c r="O159" s="333">
        <v>947</v>
      </c>
      <c r="P159" s="330">
        <v>85.42</v>
      </c>
      <c r="Q159" s="330">
        <v>79.98</v>
      </c>
      <c r="R159" s="330">
        <v>56.18</v>
      </c>
      <c r="S159" s="330">
        <v>141.06</v>
      </c>
      <c r="T159" s="330">
        <v>204</v>
      </c>
      <c r="U159" s="330">
        <v>156.09</v>
      </c>
      <c r="V159" s="330">
        <v>141</v>
      </c>
      <c r="W159" s="330">
        <v>135.30000000000001</v>
      </c>
      <c r="X159" s="330">
        <v>9</v>
      </c>
      <c r="Y159" s="330">
        <v>0</v>
      </c>
      <c r="Z159" s="330">
        <v>5</v>
      </c>
      <c r="AA159" s="330">
        <v>3</v>
      </c>
      <c r="AB159" s="330">
        <v>9</v>
      </c>
      <c r="AC159" s="330">
        <v>7</v>
      </c>
      <c r="AD159" s="334">
        <v>1099</v>
      </c>
      <c r="AE159" s="334">
        <v>5</v>
      </c>
      <c r="AF159" s="334">
        <v>0</v>
      </c>
      <c r="AG159" s="334">
        <v>5</v>
      </c>
    </row>
    <row r="160" spans="1:33" x14ac:dyDescent="0.25">
      <c r="A160" s="329" t="s">
        <v>376</v>
      </c>
      <c r="B160" s="335" t="s">
        <v>377</v>
      </c>
      <c r="C160" s="331">
        <v>20853</v>
      </c>
      <c r="D160" s="331">
        <v>183</v>
      </c>
      <c r="E160" s="331">
        <v>1295</v>
      </c>
      <c r="F160" s="331">
        <v>651</v>
      </c>
      <c r="G160" s="331">
        <v>1789</v>
      </c>
      <c r="H160" s="331">
        <v>24771</v>
      </c>
      <c r="I160" s="330">
        <v>22982</v>
      </c>
      <c r="J160" s="330">
        <v>176</v>
      </c>
      <c r="K160" s="332">
        <v>110.9</v>
      </c>
      <c r="L160" s="332">
        <v>112.35</v>
      </c>
      <c r="M160" s="332">
        <v>10.72</v>
      </c>
      <c r="N160" s="332">
        <v>117.29</v>
      </c>
      <c r="O160" s="333">
        <v>18584</v>
      </c>
      <c r="P160" s="330">
        <v>110.33</v>
      </c>
      <c r="Q160" s="330">
        <v>109.67</v>
      </c>
      <c r="R160" s="330">
        <v>69.05</v>
      </c>
      <c r="S160" s="330">
        <v>168.31</v>
      </c>
      <c r="T160" s="330">
        <v>1640</v>
      </c>
      <c r="U160" s="330">
        <v>171.67</v>
      </c>
      <c r="V160" s="330">
        <v>1286</v>
      </c>
      <c r="W160" s="330">
        <v>257.66000000000003</v>
      </c>
      <c r="X160" s="330">
        <v>126</v>
      </c>
      <c r="Y160" s="330">
        <v>1</v>
      </c>
      <c r="Z160" s="330">
        <v>43</v>
      </c>
      <c r="AA160" s="330">
        <v>14</v>
      </c>
      <c r="AB160" s="330">
        <v>96</v>
      </c>
      <c r="AC160" s="330">
        <v>17</v>
      </c>
      <c r="AD160" s="334">
        <v>19988</v>
      </c>
      <c r="AE160" s="334">
        <v>70</v>
      </c>
      <c r="AF160" s="334">
        <v>51</v>
      </c>
      <c r="AG160" s="334">
        <v>121</v>
      </c>
    </row>
    <row r="161" spans="1:33" x14ac:dyDescent="0.25">
      <c r="A161" s="329" t="s">
        <v>378</v>
      </c>
      <c r="B161" s="335" t="s">
        <v>379</v>
      </c>
      <c r="C161" s="331">
        <v>5392</v>
      </c>
      <c r="D161" s="331">
        <v>2</v>
      </c>
      <c r="E161" s="331">
        <v>129</v>
      </c>
      <c r="F161" s="331">
        <v>269</v>
      </c>
      <c r="G161" s="331">
        <v>228</v>
      </c>
      <c r="H161" s="331">
        <v>6020</v>
      </c>
      <c r="I161" s="330">
        <v>5792</v>
      </c>
      <c r="J161" s="330">
        <v>0</v>
      </c>
      <c r="K161" s="332">
        <v>88.63</v>
      </c>
      <c r="L161" s="332">
        <v>55.15</v>
      </c>
      <c r="M161" s="332">
        <v>2.81</v>
      </c>
      <c r="N161" s="332">
        <v>90.69</v>
      </c>
      <c r="O161" s="333">
        <v>4991</v>
      </c>
      <c r="P161" s="330">
        <v>97.51</v>
      </c>
      <c r="Q161" s="330">
        <v>66.25</v>
      </c>
      <c r="R161" s="330">
        <v>33.53</v>
      </c>
      <c r="S161" s="330">
        <v>130.44999999999999</v>
      </c>
      <c r="T161" s="330">
        <v>398</v>
      </c>
      <c r="U161" s="330">
        <v>110.53</v>
      </c>
      <c r="V161" s="330">
        <v>382</v>
      </c>
      <c r="W161" s="330">
        <v>0</v>
      </c>
      <c r="X161" s="330">
        <v>0</v>
      </c>
      <c r="Y161" s="330">
        <v>0</v>
      </c>
      <c r="Z161" s="330">
        <v>8</v>
      </c>
      <c r="AA161" s="330">
        <v>3</v>
      </c>
      <c r="AB161" s="330">
        <v>35</v>
      </c>
      <c r="AC161" s="330">
        <v>7</v>
      </c>
      <c r="AD161" s="334">
        <v>5390</v>
      </c>
      <c r="AE161" s="334">
        <v>25</v>
      </c>
      <c r="AF161" s="334">
        <v>45</v>
      </c>
      <c r="AG161" s="334">
        <v>70</v>
      </c>
    </row>
    <row r="162" spans="1:33" x14ac:dyDescent="0.25">
      <c r="A162" s="329" t="s">
        <v>380</v>
      </c>
      <c r="B162" s="335" t="s">
        <v>381</v>
      </c>
      <c r="C162" s="331">
        <v>1285</v>
      </c>
      <c r="D162" s="331">
        <v>0</v>
      </c>
      <c r="E162" s="331">
        <v>313</v>
      </c>
      <c r="F162" s="331">
        <v>163</v>
      </c>
      <c r="G162" s="331">
        <v>231</v>
      </c>
      <c r="H162" s="331">
        <v>1992</v>
      </c>
      <c r="I162" s="330">
        <v>1761</v>
      </c>
      <c r="J162" s="330">
        <v>1</v>
      </c>
      <c r="K162" s="332">
        <v>81.12</v>
      </c>
      <c r="L162" s="332">
        <v>79.849999999999994</v>
      </c>
      <c r="M162" s="332">
        <v>7.73</v>
      </c>
      <c r="N162" s="332">
        <v>87.25</v>
      </c>
      <c r="O162" s="333">
        <v>1018</v>
      </c>
      <c r="P162" s="330">
        <v>130.24</v>
      </c>
      <c r="Q162" s="330">
        <v>85.32</v>
      </c>
      <c r="R162" s="330">
        <v>76.41</v>
      </c>
      <c r="S162" s="330">
        <v>198.07</v>
      </c>
      <c r="T162" s="330">
        <v>267</v>
      </c>
      <c r="U162" s="330">
        <v>95.23</v>
      </c>
      <c r="V162" s="330">
        <v>160</v>
      </c>
      <c r="W162" s="330">
        <v>242.38</v>
      </c>
      <c r="X162" s="330">
        <v>31</v>
      </c>
      <c r="Y162" s="330">
        <v>22</v>
      </c>
      <c r="Z162" s="330">
        <v>0</v>
      </c>
      <c r="AA162" s="330">
        <v>0</v>
      </c>
      <c r="AB162" s="330">
        <v>19</v>
      </c>
      <c r="AC162" s="330">
        <v>6</v>
      </c>
      <c r="AD162" s="334">
        <v>1265</v>
      </c>
      <c r="AE162" s="334">
        <v>9</v>
      </c>
      <c r="AF162" s="334">
        <v>3</v>
      </c>
      <c r="AG162" s="334">
        <v>12</v>
      </c>
    </row>
    <row r="163" spans="1:33" x14ac:dyDescent="0.25">
      <c r="A163" s="329" t="s">
        <v>382</v>
      </c>
      <c r="B163" s="335" t="s">
        <v>383</v>
      </c>
      <c r="C163" s="331">
        <v>52250</v>
      </c>
      <c r="D163" s="331">
        <v>19</v>
      </c>
      <c r="E163" s="331">
        <v>2519</v>
      </c>
      <c r="F163" s="331">
        <v>3961</v>
      </c>
      <c r="G163" s="331">
        <v>724</v>
      </c>
      <c r="H163" s="331">
        <v>59473</v>
      </c>
      <c r="I163" s="330">
        <v>58749</v>
      </c>
      <c r="J163" s="330">
        <v>19</v>
      </c>
      <c r="K163" s="332">
        <v>83.93</v>
      </c>
      <c r="L163" s="332">
        <v>83.45</v>
      </c>
      <c r="M163" s="332">
        <v>8.26</v>
      </c>
      <c r="N163" s="332">
        <v>86.21</v>
      </c>
      <c r="O163" s="333">
        <v>44121</v>
      </c>
      <c r="P163" s="330">
        <v>85.22</v>
      </c>
      <c r="Q163" s="330">
        <v>77.709999999999994</v>
      </c>
      <c r="R163" s="330">
        <v>43.99</v>
      </c>
      <c r="S163" s="330">
        <v>127.7</v>
      </c>
      <c r="T163" s="330">
        <v>5278</v>
      </c>
      <c r="U163" s="330">
        <v>101.85</v>
      </c>
      <c r="V163" s="330">
        <v>5399</v>
      </c>
      <c r="W163" s="330">
        <v>126.98</v>
      </c>
      <c r="X163" s="330">
        <v>132</v>
      </c>
      <c r="Y163" s="330">
        <v>47</v>
      </c>
      <c r="Z163" s="330">
        <v>264</v>
      </c>
      <c r="AA163" s="330">
        <v>185</v>
      </c>
      <c r="AB163" s="330">
        <v>54</v>
      </c>
      <c r="AC163" s="330">
        <v>16</v>
      </c>
      <c r="AD163" s="334">
        <v>49640</v>
      </c>
      <c r="AE163" s="334">
        <v>336</v>
      </c>
      <c r="AF163" s="334">
        <v>328</v>
      </c>
      <c r="AG163" s="334">
        <v>664</v>
      </c>
    </row>
    <row r="164" spans="1:33" x14ac:dyDescent="0.25">
      <c r="A164" s="329" t="s">
        <v>384</v>
      </c>
      <c r="B164" s="335" t="s">
        <v>385</v>
      </c>
      <c r="C164" s="331">
        <v>3772</v>
      </c>
      <c r="D164" s="331">
        <v>173</v>
      </c>
      <c r="E164" s="331">
        <v>303</v>
      </c>
      <c r="F164" s="331">
        <v>330</v>
      </c>
      <c r="G164" s="331">
        <v>207</v>
      </c>
      <c r="H164" s="331">
        <v>4785</v>
      </c>
      <c r="I164" s="330">
        <v>4578</v>
      </c>
      <c r="J164" s="330">
        <v>83</v>
      </c>
      <c r="K164" s="332">
        <v>101.48</v>
      </c>
      <c r="L164" s="332">
        <v>100.47</v>
      </c>
      <c r="M164" s="332">
        <v>5.91</v>
      </c>
      <c r="N164" s="332">
        <v>105.01</v>
      </c>
      <c r="O164" s="333">
        <v>2822</v>
      </c>
      <c r="P164" s="330">
        <v>100.04</v>
      </c>
      <c r="Q164" s="330">
        <v>98.84</v>
      </c>
      <c r="R164" s="330">
        <v>41.63</v>
      </c>
      <c r="S164" s="330">
        <v>136.57</v>
      </c>
      <c r="T164" s="330">
        <v>433</v>
      </c>
      <c r="U164" s="330">
        <v>130.94999999999999</v>
      </c>
      <c r="V164" s="330">
        <v>376</v>
      </c>
      <c r="W164" s="330">
        <v>168.91</v>
      </c>
      <c r="X164" s="330">
        <v>8</v>
      </c>
      <c r="Y164" s="330">
        <v>0</v>
      </c>
      <c r="Z164" s="330">
        <v>1</v>
      </c>
      <c r="AA164" s="330">
        <v>11</v>
      </c>
      <c r="AB164" s="330">
        <v>3</v>
      </c>
      <c r="AC164" s="330">
        <v>9</v>
      </c>
      <c r="AD164" s="334">
        <v>3359</v>
      </c>
      <c r="AE164" s="334">
        <v>5</v>
      </c>
      <c r="AF164" s="334">
        <v>4</v>
      </c>
      <c r="AG164" s="334">
        <v>9</v>
      </c>
    </row>
    <row r="165" spans="1:33" x14ac:dyDescent="0.25">
      <c r="A165" s="329" t="s">
        <v>386</v>
      </c>
      <c r="B165" s="335" t="s">
        <v>387</v>
      </c>
      <c r="C165" s="331">
        <v>7726</v>
      </c>
      <c r="D165" s="331">
        <v>43</v>
      </c>
      <c r="E165" s="331">
        <v>294</v>
      </c>
      <c r="F165" s="331">
        <v>1150</v>
      </c>
      <c r="G165" s="331">
        <v>801</v>
      </c>
      <c r="H165" s="331">
        <v>10014</v>
      </c>
      <c r="I165" s="330">
        <v>9213</v>
      </c>
      <c r="J165" s="330">
        <v>48</v>
      </c>
      <c r="K165" s="332">
        <v>96.98</v>
      </c>
      <c r="L165" s="332">
        <v>95.75</v>
      </c>
      <c r="M165" s="332">
        <v>6.02</v>
      </c>
      <c r="N165" s="332">
        <v>101.53</v>
      </c>
      <c r="O165" s="333">
        <v>6110</v>
      </c>
      <c r="P165" s="330">
        <v>89.37</v>
      </c>
      <c r="Q165" s="330">
        <v>85.8</v>
      </c>
      <c r="R165" s="330">
        <v>18.170000000000002</v>
      </c>
      <c r="S165" s="330">
        <v>107.2</v>
      </c>
      <c r="T165" s="330">
        <v>1275</v>
      </c>
      <c r="U165" s="330">
        <v>159.21</v>
      </c>
      <c r="V165" s="330">
        <v>1313</v>
      </c>
      <c r="W165" s="330">
        <v>197.43</v>
      </c>
      <c r="X165" s="330">
        <v>76</v>
      </c>
      <c r="Y165" s="330">
        <v>0</v>
      </c>
      <c r="Z165" s="330">
        <v>8</v>
      </c>
      <c r="AA165" s="330">
        <v>18</v>
      </c>
      <c r="AB165" s="330">
        <v>116</v>
      </c>
      <c r="AC165" s="330">
        <v>27</v>
      </c>
      <c r="AD165" s="334">
        <v>7292</v>
      </c>
      <c r="AE165" s="334">
        <v>35</v>
      </c>
      <c r="AF165" s="334">
        <v>21</v>
      </c>
      <c r="AG165" s="334">
        <v>56</v>
      </c>
    </row>
    <row r="166" spans="1:33" x14ac:dyDescent="0.25">
      <c r="A166" s="329" t="s">
        <v>388</v>
      </c>
      <c r="B166" s="335" t="s">
        <v>389</v>
      </c>
      <c r="C166" s="331">
        <v>2178</v>
      </c>
      <c r="D166" s="331">
        <v>0</v>
      </c>
      <c r="E166" s="331">
        <v>32</v>
      </c>
      <c r="F166" s="331">
        <v>812</v>
      </c>
      <c r="G166" s="331">
        <v>64</v>
      </c>
      <c r="H166" s="331">
        <v>3086</v>
      </c>
      <c r="I166" s="330">
        <v>3022</v>
      </c>
      <c r="J166" s="330">
        <v>0</v>
      </c>
      <c r="K166" s="332">
        <v>103.39</v>
      </c>
      <c r="L166" s="332">
        <v>102.43</v>
      </c>
      <c r="M166" s="332">
        <v>4.74</v>
      </c>
      <c r="N166" s="332">
        <v>106.41</v>
      </c>
      <c r="O166" s="333">
        <v>1925</v>
      </c>
      <c r="P166" s="330">
        <v>87.45</v>
      </c>
      <c r="Q166" s="330">
        <v>87.05</v>
      </c>
      <c r="R166" s="330">
        <v>14.56</v>
      </c>
      <c r="S166" s="330">
        <v>101.34</v>
      </c>
      <c r="T166" s="330">
        <v>766</v>
      </c>
      <c r="U166" s="330">
        <v>133.69</v>
      </c>
      <c r="V166" s="330">
        <v>238</v>
      </c>
      <c r="W166" s="330">
        <v>113.92</v>
      </c>
      <c r="X166" s="330">
        <v>1</v>
      </c>
      <c r="Y166" s="330">
        <v>0</v>
      </c>
      <c r="Z166" s="330">
        <v>5</v>
      </c>
      <c r="AA166" s="330">
        <v>2</v>
      </c>
      <c r="AB166" s="330">
        <v>9</v>
      </c>
      <c r="AC166" s="330">
        <v>1</v>
      </c>
      <c r="AD166" s="334">
        <v>2178</v>
      </c>
      <c r="AE166" s="334">
        <v>7</v>
      </c>
      <c r="AF166" s="334">
        <v>7</v>
      </c>
      <c r="AG166" s="334">
        <v>14</v>
      </c>
    </row>
    <row r="167" spans="1:33" x14ac:dyDescent="0.25">
      <c r="A167" s="329" t="s">
        <v>390</v>
      </c>
      <c r="B167" s="335" t="s">
        <v>391</v>
      </c>
      <c r="C167" s="331">
        <v>4207</v>
      </c>
      <c r="D167" s="331">
        <v>0</v>
      </c>
      <c r="E167" s="331">
        <v>67</v>
      </c>
      <c r="F167" s="331">
        <v>594</v>
      </c>
      <c r="G167" s="331">
        <v>326</v>
      </c>
      <c r="H167" s="331">
        <v>5194</v>
      </c>
      <c r="I167" s="330">
        <v>4868</v>
      </c>
      <c r="J167" s="330">
        <v>2</v>
      </c>
      <c r="K167" s="332">
        <v>96.55</v>
      </c>
      <c r="L167" s="332">
        <v>96.24</v>
      </c>
      <c r="M167" s="332">
        <v>3.61</v>
      </c>
      <c r="N167" s="332">
        <v>99.84</v>
      </c>
      <c r="O167" s="333">
        <v>3837</v>
      </c>
      <c r="P167" s="330">
        <v>90.41</v>
      </c>
      <c r="Q167" s="330">
        <v>92.25</v>
      </c>
      <c r="R167" s="330">
        <v>27.3</v>
      </c>
      <c r="S167" s="330">
        <v>117.58</v>
      </c>
      <c r="T167" s="330">
        <v>601</v>
      </c>
      <c r="U167" s="330">
        <v>112.85</v>
      </c>
      <c r="V167" s="330">
        <v>296</v>
      </c>
      <c r="W167" s="330">
        <v>152.38999999999999</v>
      </c>
      <c r="X167" s="330">
        <v>60</v>
      </c>
      <c r="Y167" s="330">
        <v>44</v>
      </c>
      <c r="Z167" s="330">
        <v>7</v>
      </c>
      <c r="AA167" s="330">
        <v>0</v>
      </c>
      <c r="AB167" s="330">
        <v>12</v>
      </c>
      <c r="AC167" s="330">
        <v>7</v>
      </c>
      <c r="AD167" s="334">
        <v>4206</v>
      </c>
      <c r="AE167" s="334">
        <v>23</v>
      </c>
      <c r="AF167" s="334">
        <v>10</v>
      </c>
      <c r="AG167" s="334">
        <v>33</v>
      </c>
    </row>
    <row r="168" spans="1:33" x14ac:dyDescent="0.25">
      <c r="A168" s="329" t="s">
        <v>392</v>
      </c>
      <c r="B168" s="335" t="s">
        <v>393</v>
      </c>
      <c r="C168" s="331">
        <v>46322</v>
      </c>
      <c r="D168" s="331">
        <v>151</v>
      </c>
      <c r="E168" s="331">
        <v>1562</v>
      </c>
      <c r="F168" s="331">
        <v>3225</v>
      </c>
      <c r="G168" s="331">
        <v>1197</v>
      </c>
      <c r="H168" s="331">
        <v>52457</v>
      </c>
      <c r="I168" s="330">
        <v>51260</v>
      </c>
      <c r="J168" s="330">
        <v>48</v>
      </c>
      <c r="K168" s="332">
        <v>82</v>
      </c>
      <c r="L168" s="332">
        <v>82.47</v>
      </c>
      <c r="M168" s="332">
        <v>4.57</v>
      </c>
      <c r="N168" s="332">
        <v>83.68</v>
      </c>
      <c r="O168" s="333">
        <v>43061</v>
      </c>
      <c r="P168" s="330">
        <v>79.72</v>
      </c>
      <c r="Q168" s="330">
        <v>73.98</v>
      </c>
      <c r="R168" s="330">
        <v>38.22</v>
      </c>
      <c r="S168" s="330">
        <v>115.76</v>
      </c>
      <c r="T168" s="330">
        <v>4542</v>
      </c>
      <c r="U168" s="330">
        <v>108.15</v>
      </c>
      <c r="V168" s="330">
        <v>2667</v>
      </c>
      <c r="W168" s="330">
        <v>116.5</v>
      </c>
      <c r="X168" s="330">
        <v>2</v>
      </c>
      <c r="Y168" s="330">
        <v>21</v>
      </c>
      <c r="Z168" s="330">
        <v>263</v>
      </c>
      <c r="AA168" s="330">
        <v>40</v>
      </c>
      <c r="AB168" s="330">
        <v>60</v>
      </c>
      <c r="AC168" s="330">
        <v>39</v>
      </c>
      <c r="AD168" s="334">
        <v>45807</v>
      </c>
      <c r="AE168" s="334">
        <v>160</v>
      </c>
      <c r="AF168" s="334">
        <v>141</v>
      </c>
      <c r="AG168" s="334">
        <v>301</v>
      </c>
    </row>
    <row r="169" spans="1:33" x14ac:dyDescent="0.25">
      <c r="A169" s="329" t="s">
        <v>394</v>
      </c>
      <c r="B169" s="335" t="s">
        <v>395</v>
      </c>
      <c r="C169" s="331">
        <v>1713</v>
      </c>
      <c r="D169" s="331">
        <v>0</v>
      </c>
      <c r="E169" s="331">
        <v>385</v>
      </c>
      <c r="F169" s="331">
        <v>234</v>
      </c>
      <c r="G169" s="331">
        <v>125</v>
      </c>
      <c r="H169" s="331">
        <v>2457</v>
      </c>
      <c r="I169" s="330">
        <v>2332</v>
      </c>
      <c r="J169" s="330">
        <v>0</v>
      </c>
      <c r="K169" s="332">
        <v>82.12</v>
      </c>
      <c r="L169" s="332">
        <v>79.98</v>
      </c>
      <c r="M169" s="332">
        <v>5.87</v>
      </c>
      <c r="N169" s="332">
        <v>85.18</v>
      </c>
      <c r="O169" s="333">
        <v>1547</v>
      </c>
      <c r="P169" s="330">
        <v>100.47</v>
      </c>
      <c r="Q169" s="330">
        <v>75.239999999999995</v>
      </c>
      <c r="R169" s="330">
        <v>67.73</v>
      </c>
      <c r="S169" s="330">
        <v>164.01</v>
      </c>
      <c r="T169" s="330">
        <v>421</v>
      </c>
      <c r="U169" s="330">
        <v>92.41</v>
      </c>
      <c r="V169" s="330">
        <v>61</v>
      </c>
      <c r="W169" s="330">
        <v>0</v>
      </c>
      <c r="X169" s="330">
        <v>0</v>
      </c>
      <c r="Y169" s="330">
        <v>15</v>
      </c>
      <c r="Z169" s="330">
        <v>0</v>
      </c>
      <c r="AA169" s="330">
        <v>16</v>
      </c>
      <c r="AB169" s="330">
        <v>10</v>
      </c>
      <c r="AC169" s="330">
        <v>0</v>
      </c>
      <c r="AD169" s="334">
        <v>1699</v>
      </c>
      <c r="AE169" s="334">
        <v>7</v>
      </c>
      <c r="AF169" s="334">
        <v>9</v>
      </c>
      <c r="AG169" s="334">
        <v>16</v>
      </c>
    </row>
    <row r="170" spans="1:33" x14ac:dyDescent="0.25">
      <c r="A170" s="329" t="s">
        <v>396</v>
      </c>
      <c r="B170" s="335" t="s">
        <v>397</v>
      </c>
      <c r="C170" s="331">
        <v>4058</v>
      </c>
      <c r="D170" s="331">
        <v>0</v>
      </c>
      <c r="E170" s="331">
        <v>409</v>
      </c>
      <c r="F170" s="331">
        <v>715</v>
      </c>
      <c r="G170" s="331">
        <v>1105</v>
      </c>
      <c r="H170" s="331">
        <v>6287</v>
      </c>
      <c r="I170" s="330">
        <v>5182</v>
      </c>
      <c r="J170" s="330">
        <v>6</v>
      </c>
      <c r="K170" s="332">
        <v>102.15</v>
      </c>
      <c r="L170" s="332">
        <v>96.8</v>
      </c>
      <c r="M170" s="332">
        <v>7.51</v>
      </c>
      <c r="N170" s="332">
        <v>108.03</v>
      </c>
      <c r="O170" s="333">
        <v>3033</v>
      </c>
      <c r="P170" s="330">
        <v>91.85</v>
      </c>
      <c r="Q170" s="330">
        <v>86.91</v>
      </c>
      <c r="R170" s="330">
        <v>40.53</v>
      </c>
      <c r="S170" s="330">
        <v>132.06</v>
      </c>
      <c r="T170" s="330">
        <v>882</v>
      </c>
      <c r="U170" s="330">
        <v>127.64</v>
      </c>
      <c r="V170" s="330">
        <v>658</v>
      </c>
      <c r="W170" s="330">
        <v>177.19</v>
      </c>
      <c r="X170" s="330">
        <v>61</v>
      </c>
      <c r="Y170" s="330">
        <v>0</v>
      </c>
      <c r="Z170" s="330">
        <v>2</v>
      </c>
      <c r="AA170" s="330">
        <v>8</v>
      </c>
      <c r="AB170" s="330">
        <v>15</v>
      </c>
      <c r="AC170" s="330">
        <v>22</v>
      </c>
      <c r="AD170" s="334">
        <v>3666</v>
      </c>
      <c r="AE170" s="334">
        <v>14</v>
      </c>
      <c r="AF170" s="334">
        <v>6</v>
      </c>
      <c r="AG170" s="334">
        <v>20</v>
      </c>
    </row>
    <row r="171" spans="1:33" x14ac:dyDescent="0.25">
      <c r="A171" s="329" t="s">
        <v>398</v>
      </c>
      <c r="B171" s="335" t="s">
        <v>399</v>
      </c>
      <c r="C171" s="331">
        <v>541</v>
      </c>
      <c r="D171" s="331">
        <v>0</v>
      </c>
      <c r="E171" s="331">
        <v>66</v>
      </c>
      <c r="F171" s="331">
        <v>76</v>
      </c>
      <c r="G171" s="331">
        <v>165</v>
      </c>
      <c r="H171" s="331">
        <v>848</v>
      </c>
      <c r="I171" s="330">
        <v>683</v>
      </c>
      <c r="J171" s="330">
        <v>0</v>
      </c>
      <c r="K171" s="332">
        <v>92.38</v>
      </c>
      <c r="L171" s="332">
        <v>89.01</v>
      </c>
      <c r="M171" s="332">
        <v>2.2000000000000002</v>
      </c>
      <c r="N171" s="332">
        <v>93.95</v>
      </c>
      <c r="O171" s="333">
        <v>421</v>
      </c>
      <c r="P171" s="330">
        <v>79.69</v>
      </c>
      <c r="Q171" s="330">
        <v>75.510000000000005</v>
      </c>
      <c r="R171" s="330">
        <v>62.67</v>
      </c>
      <c r="S171" s="330">
        <v>141.91999999999999</v>
      </c>
      <c r="T171" s="330">
        <v>142</v>
      </c>
      <c r="U171" s="330">
        <v>101.98</v>
      </c>
      <c r="V171" s="330">
        <v>102</v>
      </c>
      <c r="W171" s="330">
        <v>0</v>
      </c>
      <c r="X171" s="330">
        <v>0</v>
      </c>
      <c r="Y171" s="330">
        <v>0</v>
      </c>
      <c r="Z171" s="330">
        <v>0</v>
      </c>
      <c r="AA171" s="330">
        <v>0</v>
      </c>
      <c r="AB171" s="330">
        <v>11</v>
      </c>
      <c r="AC171" s="330">
        <v>1</v>
      </c>
      <c r="AD171" s="334">
        <v>540</v>
      </c>
      <c r="AE171" s="334">
        <v>1</v>
      </c>
      <c r="AF171" s="334">
        <v>1</v>
      </c>
      <c r="AG171" s="334">
        <v>2</v>
      </c>
    </row>
    <row r="172" spans="1:33" x14ac:dyDescent="0.25">
      <c r="A172" s="329" t="s">
        <v>400</v>
      </c>
      <c r="B172" s="335" t="s">
        <v>401</v>
      </c>
      <c r="C172" s="331">
        <v>5083</v>
      </c>
      <c r="D172" s="331">
        <v>0</v>
      </c>
      <c r="E172" s="331">
        <v>401</v>
      </c>
      <c r="F172" s="331">
        <v>915</v>
      </c>
      <c r="G172" s="331">
        <v>406</v>
      </c>
      <c r="H172" s="331">
        <v>6805</v>
      </c>
      <c r="I172" s="330">
        <v>6399</v>
      </c>
      <c r="J172" s="330">
        <v>0</v>
      </c>
      <c r="K172" s="332">
        <v>93.39</v>
      </c>
      <c r="L172" s="332">
        <v>92.83</v>
      </c>
      <c r="M172" s="332">
        <v>3.37</v>
      </c>
      <c r="N172" s="332">
        <v>95.17</v>
      </c>
      <c r="O172" s="333">
        <v>4226</v>
      </c>
      <c r="P172" s="330">
        <v>85.62</v>
      </c>
      <c r="Q172" s="330">
        <v>83.98</v>
      </c>
      <c r="R172" s="330">
        <v>25.98</v>
      </c>
      <c r="S172" s="330">
        <v>110.73</v>
      </c>
      <c r="T172" s="330">
        <v>1139</v>
      </c>
      <c r="U172" s="330">
        <v>114.88</v>
      </c>
      <c r="V172" s="330">
        <v>724</v>
      </c>
      <c r="W172" s="330">
        <v>110.68</v>
      </c>
      <c r="X172" s="330">
        <v>31</v>
      </c>
      <c r="Y172" s="330">
        <v>0</v>
      </c>
      <c r="Z172" s="330">
        <v>13</v>
      </c>
      <c r="AA172" s="330">
        <v>12</v>
      </c>
      <c r="AB172" s="330">
        <v>25</v>
      </c>
      <c r="AC172" s="330">
        <v>11</v>
      </c>
      <c r="AD172" s="334">
        <v>4958</v>
      </c>
      <c r="AE172" s="334">
        <v>10</v>
      </c>
      <c r="AF172" s="334">
        <v>11</v>
      </c>
      <c r="AG172" s="334">
        <v>21</v>
      </c>
    </row>
    <row r="173" spans="1:33" x14ac:dyDescent="0.25">
      <c r="A173" s="329" t="s">
        <v>402</v>
      </c>
      <c r="B173" s="335" t="s">
        <v>403</v>
      </c>
      <c r="C173" s="331">
        <v>10197</v>
      </c>
      <c r="D173" s="331">
        <v>21</v>
      </c>
      <c r="E173" s="331">
        <v>410</v>
      </c>
      <c r="F173" s="331">
        <v>806</v>
      </c>
      <c r="G173" s="331">
        <v>719</v>
      </c>
      <c r="H173" s="331">
        <v>12153</v>
      </c>
      <c r="I173" s="330">
        <v>11434</v>
      </c>
      <c r="J173" s="330">
        <v>122</v>
      </c>
      <c r="K173" s="332">
        <v>113.85</v>
      </c>
      <c r="L173" s="332">
        <v>120.4</v>
      </c>
      <c r="M173" s="332">
        <v>9</v>
      </c>
      <c r="N173" s="332">
        <v>116.62</v>
      </c>
      <c r="O173" s="333">
        <v>8847</v>
      </c>
      <c r="P173" s="330">
        <v>106.01</v>
      </c>
      <c r="Q173" s="330">
        <v>102.67</v>
      </c>
      <c r="R173" s="330">
        <v>39.03</v>
      </c>
      <c r="S173" s="330">
        <v>135.06</v>
      </c>
      <c r="T173" s="330">
        <v>919</v>
      </c>
      <c r="U173" s="330">
        <v>150.49</v>
      </c>
      <c r="V173" s="330">
        <v>1217</v>
      </c>
      <c r="W173" s="330">
        <v>255.89</v>
      </c>
      <c r="X173" s="330">
        <v>33</v>
      </c>
      <c r="Y173" s="330">
        <v>0</v>
      </c>
      <c r="Z173" s="330">
        <v>1</v>
      </c>
      <c r="AA173" s="330">
        <v>8</v>
      </c>
      <c r="AB173" s="330">
        <v>23</v>
      </c>
      <c r="AC173" s="330">
        <v>12</v>
      </c>
      <c r="AD173" s="334">
        <v>10113</v>
      </c>
      <c r="AE173" s="334">
        <v>9</v>
      </c>
      <c r="AF173" s="334">
        <v>28</v>
      </c>
      <c r="AG173" s="334">
        <v>37</v>
      </c>
    </row>
    <row r="174" spans="1:33" x14ac:dyDescent="0.25">
      <c r="A174" s="329" t="s">
        <v>404</v>
      </c>
      <c r="B174" s="335" t="s">
        <v>405</v>
      </c>
      <c r="C174" s="331">
        <v>1077</v>
      </c>
      <c r="D174" s="331">
        <v>0</v>
      </c>
      <c r="E174" s="331">
        <v>38</v>
      </c>
      <c r="F174" s="331">
        <v>281</v>
      </c>
      <c r="G174" s="331">
        <v>221</v>
      </c>
      <c r="H174" s="331">
        <v>1617</v>
      </c>
      <c r="I174" s="330">
        <v>1396</v>
      </c>
      <c r="J174" s="330">
        <v>0</v>
      </c>
      <c r="K174" s="332">
        <v>88.67</v>
      </c>
      <c r="L174" s="332">
        <v>85</v>
      </c>
      <c r="M174" s="332">
        <v>7.77</v>
      </c>
      <c r="N174" s="332">
        <v>95.19</v>
      </c>
      <c r="O174" s="333">
        <v>797</v>
      </c>
      <c r="P174" s="330">
        <v>81.5</v>
      </c>
      <c r="Q174" s="330">
        <v>76.180000000000007</v>
      </c>
      <c r="R174" s="330">
        <v>40.15</v>
      </c>
      <c r="S174" s="330">
        <v>120.87</v>
      </c>
      <c r="T174" s="330">
        <v>153</v>
      </c>
      <c r="U174" s="330">
        <v>120.93</v>
      </c>
      <c r="V174" s="330">
        <v>188</v>
      </c>
      <c r="W174" s="330">
        <v>0</v>
      </c>
      <c r="X174" s="330">
        <v>0</v>
      </c>
      <c r="Y174" s="330">
        <v>0</v>
      </c>
      <c r="Z174" s="330">
        <v>0</v>
      </c>
      <c r="AA174" s="330">
        <v>3</v>
      </c>
      <c r="AB174" s="330">
        <v>0</v>
      </c>
      <c r="AC174" s="330">
        <v>7</v>
      </c>
      <c r="AD174" s="334">
        <v>964</v>
      </c>
      <c r="AE174" s="334">
        <v>3</v>
      </c>
      <c r="AF174" s="334">
        <v>7</v>
      </c>
      <c r="AG174" s="334">
        <v>10</v>
      </c>
    </row>
    <row r="175" spans="1:33" x14ac:dyDescent="0.25">
      <c r="A175" s="329" t="s">
        <v>406</v>
      </c>
      <c r="B175" s="335" t="s">
        <v>407</v>
      </c>
      <c r="C175" s="331">
        <v>1313</v>
      </c>
      <c r="D175" s="331">
        <v>0</v>
      </c>
      <c r="E175" s="331">
        <v>109</v>
      </c>
      <c r="F175" s="331">
        <v>210</v>
      </c>
      <c r="G175" s="331">
        <v>302</v>
      </c>
      <c r="H175" s="331">
        <v>1934</v>
      </c>
      <c r="I175" s="330">
        <v>1632</v>
      </c>
      <c r="J175" s="330">
        <v>0</v>
      </c>
      <c r="K175" s="332">
        <v>93.82</v>
      </c>
      <c r="L175" s="332">
        <v>93.64</v>
      </c>
      <c r="M175" s="332">
        <v>3.76</v>
      </c>
      <c r="N175" s="332">
        <v>96.29</v>
      </c>
      <c r="O175" s="333">
        <v>897</v>
      </c>
      <c r="P175" s="330">
        <v>85.7</v>
      </c>
      <c r="Q175" s="330">
        <v>79.08</v>
      </c>
      <c r="R175" s="330">
        <v>30.86</v>
      </c>
      <c r="S175" s="330">
        <v>114.76</v>
      </c>
      <c r="T175" s="330">
        <v>291</v>
      </c>
      <c r="U175" s="330">
        <v>112.65</v>
      </c>
      <c r="V175" s="330">
        <v>388</v>
      </c>
      <c r="W175" s="330">
        <v>115.63</v>
      </c>
      <c r="X175" s="330">
        <v>1</v>
      </c>
      <c r="Y175" s="330">
        <v>0</v>
      </c>
      <c r="Z175" s="330">
        <v>0</v>
      </c>
      <c r="AA175" s="330">
        <v>0</v>
      </c>
      <c r="AB175" s="330">
        <v>14</v>
      </c>
      <c r="AC175" s="330">
        <v>5</v>
      </c>
      <c r="AD175" s="334">
        <v>1304</v>
      </c>
      <c r="AE175" s="334">
        <v>27</v>
      </c>
      <c r="AF175" s="334">
        <v>5</v>
      </c>
      <c r="AG175" s="334">
        <v>32</v>
      </c>
    </row>
    <row r="176" spans="1:33" x14ac:dyDescent="0.25">
      <c r="A176" s="329" t="s">
        <v>408</v>
      </c>
      <c r="B176" s="335" t="s">
        <v>409</v>
      </c>
      <c r="C176" s="331">
        <v>5741</v>
      </c>
      <c r="D176" s="331">
        <v>3</v>
      </c>
      <c r="E176" s="331">
        <v>161</v>
      </c>
      <c r="F176" s="331">
        <v>791</v>
      </c>
      <c r="G176" s="331">
        <v>677</v>
      </c>
      <c r="H176" s="331">
        <v>7373</v>
      </c>
      <c r="I176" s="330">
        <v>6696</v>
      </c>
      <c r="J176" s="330">
        <v>24</v>
      </c>
      <c r="K176" s="332">
        <v>117.08</v>
      </c>
      <c r="L176" s="332">
        <v>116.05</v>
      </c>
      <c r="M176" s="332">
        <v>6.07</v>
      </c>
      <c r="N176" s="332">
        <v>121.66</v>
      </c>
      <c r="O176" s="333">
        <v>4146</v>
      </c>
      <c r="P176" s="330">
        <v>108.78</v>
      </c>
      <c r="Q176" s="330">
        <v>100.6</v>
      </c>
      <c r="R176" s="330">
        <v>47.69</v>
      </c>
      <c r="S176" s="330">
        <v>151.85</v>
      </c>
      <c r="T176" s="330">
        <v>858</v>
      </c>
      <c r="U176" s="330">
        <v>160.22</v>
      </c>
      <c r="V176" s="330">
        <v>1244</v>
      </c>
      <c r="W176" s="330">
        <v>0</v>
      </c>
      <c r="X176" s="330">
        <v>0</v>
      </c>
      <c r="Y176" s="330">
        <v>0</v>
      </c>
      <c r="Z176" s="330">
        <v>1</v>
      </c>
      <c r="AA176" s="330">
        <v>1</v>
      </c>
      <c r="AB176" s="330">
        <v>35</v>
      </c>
      <c r="AC176" s="330">
        <v>27</v>
      </c>
      <c r="AD176" s="334">
        <v>5440</v>
      </c>
      <c r="AE176" s="334">
        <v>13</v>
      </c>
      <c r="AF176" s="334">
        <v>0</v>
      </c>
      <c r="AG176" s="334">
        <v>13</v>
      </c>
    </row>
    <row r="177" spans="1:33" x14ac:dyDescent="0.25">
      <c r="A177" s="329" t="s">
        <v>410</v>
      </c>
      <c r="B177" s="335" t="s">
        <v>411</v>
      </c>
      <c r="C177" s="331">
        <v>13122</v>
      </c>
      <c r="D177" s="331">
        <v>4</v>
      </c>
      <c r="E177" s="331">
        <v>539</v>
      </c>
      <c r="F177" s="331">
        <v>1481</v>
      </c>
      <c r="G177" s="331">
        <v>246</v>
      </c>
      <c r="H177" s="331">
        <v>15392</v>
      </c>
      <c r="I177" s="330">
        <v>15146</v>
      </c>
      <c r="J177" s="330">
        <v>18</v>
      </c>
      <c r="K177" s="332">
        <v>86.12</v>
      </c>
      <c r="L177" s="332">
        <v>85.59</v>
      </c>
      <c r="M177" s="332">
        <v>7.86</v>
      </c>
      <c r="N177" s="332">
        <v>88.58</v>
      </c>
      <c r="O177" s="333">
        <v>12474</v>
      </c>
      <c r="P177" s="330">
        <v>86</v>
      </c>
      <c r="Q177" s="330">
        <v>80.28</v>
      </c>
      <c r="R177" s="330">
        <v>51.81</v>
      </c>
      <c r="S177" s="330">
        <v>123.47</v>
      </c>
      <c r="T177" s="330">
        <v>1903</v>
      </c>
      <c r="U177" s="330">
        <v>93.8</v>
      </c>
      <c r="V177" s="330">
        <v>511</v>
      </c>
      <c r="W177" s="330">
        <v>158.61000000000001</v>
      </c>
      <c r="X177" s="330">
        <v>99</v>
      </c>
      <c r="Y177" s="330">
        <v>0</v>
      </c>
      <c r="Z177" s="330">
        <v>52</v>
      </c>
      <c r="AA177" s="330">
        <v>10</v>
      </c>
      <c r="AB177" s="330">
        <v>1</v>
      </c>
      <c r="AC177" s="330">
        <v>0</v>
      </c>
      <c r="AD177" s="334">
        <v>13092</v>
      </c>
      <c r="AE177" s="334">
        <v>176</v>
      </c>
      <c r="AF177" s="334">
        <v>48</v>
      </c>
      <c r="AG177" s="334">
        <v>224</v>
      </c>
    </row>
    <row r="178" spans="1:33" x14ac:dyDescent="0.25">
      <c r="A178" s="329" t="s">
        <v>412</v>
      </c>
      <c r="B178" s="335" t="s">
        <v>413</v>
      </c>
      <c r="C178" s="331">
        <v>8152</v>
      </c>
      <c r="D178" s="331">
        <v>0</v>
      </c>
      <c r="E178" s="331">
        <v>593</v>
      </c>
      <c r="F178" s="331">
        <v>587</v>
      </c>
      <c r="G178" s="331">
        <v>5280</v>
      </c>
      <c r="H178" s="331">
        <v>14612</v>
      </c>
      <c r="I178" s="330">
        <v>9332</v>
      </c>
      <c r="J178" s="330">
        <v>40</v>
      </c>
      <c r="K178" s="332">
        <v>100.26</v>
      </c>
      <c r="L178" s="332">
        <v>97.22</v>
      </c>
      <c r="M178" s="332">
        <v>6.38</v>
      </c>
      <c r="N178" s="332">
        <v>104.52</v>
      </c>
      <c r="O178" s="333">
        <v>6308</v>
      </c>
      <c r="P178" s="330">
        <v>103.7</v>
      </c>
      <c r="Q178" s="330">
        <v>98.52</v>
      </c>
      <c r="R178" s="330">
        <v>40.86</v>
      </c>
      <c r="S178" s="330">
        <v>143.35</v>
      </c>
      <c r="T178" s="330">
        <v>878</v>
      </c>
      <c r="U178" s="330">
        <v>134.81</v>
      </c>
      <c r="V178" s="330">
        <v>1013</v>
      </c>
      <c r="W178" s="330">
        <v>0</v>
      </c>
      <c r="X178" s="330">
        <v>0</v>
      </c>
      <c r="Y178" s="330">
        <v>0</v>
      </c>
      <c r="Z178" s="330">
        <v>2</v>
      </c>
      <c r="AA178" s="330">
        <v>3</v>
      </c>
      <c r="AB178" s="330">
        <v>125</v>
      </c>
      <c r="AC178" s="330">
        <v>44</v>
      </c>
      <c r="AD178" s="334">
        <v>7939</v>
      </c>
      <c r="AE178" s="334">
        <v>30</v>
      </c>
      <c r="AF178" s="334">
        <v>21</v>
      </c>
      <c r="AG178" s="334">
        <v>51</v>
      </c>
    </row>
    <row r="179" spans="1:33" x14ac:dyDescent="0.25">
      <c r="A179" s="329" t="s">
        <v>414</v>
      </c>
      <c r="B179" s="335" t="s">
        <v>415</v>
      </c>
      <c r="C179" s="331">
        <v>3534</v>
      </c>
      <c r="D179" s="331">
        <v>19</v>
      </c>
      <c r="E179" s="331">
        <v>224</v>
      </c>
      <c r="F179" s="331">
        <v>660</v>
      </c>
      <c r="G179" s="331">
        <v>295</v>
      </c>
      <c r="H179" s="331">
        <v>4732</v>
      </c>
      <c r="I179" s="330">
        <v>4437</v>
      </c>
      <c r="J179" s="330">
        <v>0</v>
      </c>
      <c r="K179" s="332">
        <v>113.84</v>
      </c>
      <c r="L179" s="332">
        <v>118.78</v>
      </c>
      <c r="M179" s="332">
        <v>11.98</v>
      </c>
      <c r="N179" s="332">
        <v>115.47</v>
      </c>
      <c r="O179" s="333">
        <v>3055</v>
      </c>
      <c r="P179" s="330">
        <v>100.57</v>
      </c>
      <c r="Q179" s="330">
        <v>98.39</v>
      </c>
      <c r="R179" s="330">
        <v>49.37</v>
      </c>
      <c r="S179" s="330">
        <v>113.45</v>
      </c>
      <c r="T179" s="330">
        <v>713</v>
      </c>
      <c r="U179" s="330">
        <v>154.31</v>
      </c>
      <c r="V179" s="330">
        <v>445</v>
      </c>
      <c r="W179" s="330">
        <v>0</v>
      </c>
      <c r="X179" s="330">
        <v>0</v>
      </c>
      <c r="Y179" s="330">
        <v>0</v>
      </c>
      <c r="Z179" s="330">
        <v>0</v>
      </c>
      <c r="AA179" s="330">
        <v>0</v>
      </c>
      <c r="AB179" s="330">
        <v>7</v>
      </c>
      <c r="AC179" s="330">
        <v>1</v>
      </c>
      <c r="AD179" s="334">
        <v>3501</v>
      </c>
      <c r="AE179" s="334">
        <v>3</v>
      </c>
      <c r="AF179" s="334">
        <v>1</v>
      </c>
      <c r="AG179" s="334">
        <v>4</v>
      </c>
    </row>
    <row r="180" spans="1:33" x14ac:dyDescent="0.25">
      <c r="A180" s="329" t="s">
        <v>416</v>
      </c>
      <c r="B180" s="335" t="s">
        <v>417</v>
      </c>
      <c r="C180" s="331">
        <v>2796</v>
      </c>
      <c r="D180" s="331">
        <v>8</v>
      </c>
      <c r="E180" s="331">
        <v>284</v>
      </c>
      <c r="F180" s="331">
        <v>330</v>
      </c>
      <c r="G180" s="331">
        <v>341</v>
      </c>
      <c r="H180" s="331">
        <v>3759</v>
      </c>
      <c r="I180" s="330">
        <v>3418</v>
      </c>
      <c r="J180" s="330">
        <v>0</v>
      </c>
      <c r="K180" s="332">
        <v>113.03</v>
      </c>
      <c r="L180" s="332">
        <v>112.07</v>
      </c>
      <c r="M180" s="332">
        <v>4.51</v>
      </c>
      <c r="N180" s="332">
        <v>116.41</v>
      </c>
      <c r="O180" s="333">
        <v>2387</v>
      </c>
      <c r="P180" s="330">
        <v>95.97</v>
      </c>
      <c r="Q180" s="330">
        <v>94.93</v>
      </c>
      <c r="R180" s="330">
        <v>29.33</v>
      </c>
      <c r="S180" s="330">
        <v>124.86</v>
      </c>
      <c r="T180" s="330">
        <v>472</v>
      </c>
      <c r="U180" s="330">
        <v>142.78</v>
      </c>
      <c r="V180" s="330">
        <v>240</v>
      </c>
      <c r="W180" s="330">
        <v>136.97999999999999</v>
      </c>
      <c r="X180" s="330">
        <v>3</v>
      </c>
      <c r="Y180" s="330">
        <v>9</v>
      </c>
      <c r="Z180" s="330">
        <v>0</v>
      </c>
      <c r="AA180" s="330">
        <v>0</v>
      </c>
      <c r="AB180" s="330">
        <v>10</v>
      </c>
      <c r="AC180" s="330">
        <v>5</v>
      </c>
      <c r="AD180" s="334">
        <v>2704</v>
      </c>
      <c r="AE180" s="334">
        <v>10</v>
      </c>
      <c r="AF180" s="334">
        <v>5</v>
      </c>
      <c r="AG180" s="334">
        <v>15</v>
      </c>
    </row>
    <row r="181" spans="1:33" x14ac:dyDescent="0.25">
      <c r="A181" s="329" t="s">
        <v>418</v>
      </c>
      <c r="B181" s="335" t="s">
        <v>419</v>
      </c>
      <c r="C181" s="331">
        <v>1758</v>
      </c>
      <c r="D181" s="331">
        <v>11</v>
      </c>
      <c r="E181" s="331">
        <v>312</v>
      </c>
      <c r="F181" s="331">
        <v>365</v>
      </c>
      <c r="G181" s="331">
        <v>277</v>
      </c>
      <c r="H181" s="331">
        <v>2723</v>
      </c>
      <c r="I181" s="330">
        <v>2446</v>
      </c>
      <c r="J181" s="330">
        <v>2</v>
      </c>
      <c r="K181" s="332">
        <v>87.15</v>
      </c>
      <c r="L181" s="332">
        <v>83.13</v>
      </c>
      <c r="M181" s="332">
        <v>4.17</v>
      </c>
      <c r="N181" s="332">
        <v>89.46</v>
      </c>
      <c r="O181" s="333">
        <v>1494</v>
      </c>
      <c r="P181" s="330">
        <v>103.21</v>
      </c>
      <c r="Q181" s="330">
        <v>79.16</v>
      </c>
      <c r="R181" s="330">
        <v>52.2</v>
      </c>
      <c r="S181" s="330">
        <v>153.96</v>
      </c>
      <c r="T181" s="330">
        <v>540</v>
      </c>
      <c r="U181" s="330">
        <v>93.38</v>
      </c>
      <c r="V181" s="330">
        <v>207</v>
      </c>
      <c r="W181" s="330">
        <v>0</v>
      </c>
      <c r="X181" s="330">
        <v>0</v>
      </c>
      <c r="Y181" s="330">
        <v>0</v>
      </c>
      <c r="Z181" s="330">
        <v>0</v>
      </c>
      <c r="AA181" s="330">
        <v>19</v>
      </c>
      <c r="AB181" s="330">
        <v>38</v>
      </c>
      <c r="AC181" s="330">
        <v>13</v>
      </c>
      <c r="AD181" s="334">
        <v>1758</v>
      </c>
      <c r="AE181" s="334">
        <v>17</v>
      </c>
      <c r="AF181" s="334">
        <v>25</v>
      </c>
      <c r="AG181" s="334">
        <v>42</v>
      </c>
    </row>
    <row r="182" spans="1:33" x14ac:dyDescent="0.25">
      <c r="A182" s="329" t="s">
        <v>420</v>
      </c>
      <c r="B182" s="335" t="s">
        <v>421</v>
      </c>
      <c r="C182" s="331">
        <v>7229</v>
      </c>
      <c r="D182" s="331">
        <v>234</v>
      </c>
      <c r="E182" s="331">
        <v>1225</v>
      </c>
      <c r="F182" s="331">
        <v>1547</v>
      </c>
      <c r="G182" s="331">
        <v>312</v>
      </c>
      <c r="H182" s="331">
        <v>10547</v>
      </c>
      <c r="I182" s="330">
        <v>10235</v>
      </c>
      <c r="J182" s="330">
        <v>62</v>
      </c>
      <c r="K182" s="332">
        <v>78.459999999999994</v>
      </c>
      <c r="L182" s="332">
        <v>76.489999999999995</v>
      </c>
      <c r="M182" s="332">
        <v>9.61</v>
      </c>
      <c r="N182" s="332">
        <v>86.4</v>
      </c>
      <c r="O182" s="333">
        <v>5818</v>
      </c>
      <c r="P182" s="330">
        <v>85.35</v>
      </c>
      <c r="Q182" s="330">
        <v>74.319999999999993</v>
      </c>
      <c r="R182" s="330">
        <v>57.57</v>
      </c>
      <c r="S182" s="330">
        <v>141.24</v>
      </c>
      <c r="T182" s="330">
        <v>2127</v>
      </c>
      <c r="U182" s="330">
        <v>99.8</v>
      </c>
      <c r="V182" s="330">
        <v>1033</v>
      </c>
      <c r="W182" s="330">
        <v>202.14</v>
      </c>
      <c r="X182" s="330">
        <v>333</v>
      </c>
      <c r="Y182" s="330">
        <v>0</v>
      </c>
      <c r="Z182" s="330">
        <v>10</v>
      </c>
      <c r="AA182" s="330">
        <v>9</v>
      </c>
      <c r="AB182" s="330">
        <v>35</v>
      </c>
      <c r="AC182" s="330">
        <v>4</v>
      </c>
      <c r="AD182" s="334">
        <v>6709</v>
      </c>
      <c r="AE182" s="334">
        <v>86</v>
      </c>
      <c r="AF182" s="334">
        <v>43</v>
      </c>
      <c r="AG182" s="334">
        <v>129</v>
      </c>
    </row>
    <row r="183" spans="1:33" x14ac:dyDescent="0.25">
      <c r="A183" s="329" t="s">
        <v>422</v>
      </c>
      <c r="B183" s="335" t="s">
        <v>423</v>
      </c>
      <c r="C183" s="331">
        <v>8900</v>
      </c>
      <c r="D183" s="331">
        <v>10</v>
      </c>
      <c r="E183" s="331">
        <v>119</v>
      </c>
      <c r="F183" s="331">
        <v>874</v>
      </c>
      <c r="G183" s="331">
        <v>230</v>
      </c>
      <c r="H183" s="331">
        <v>10133</v>
      </c>
      <c r="I183" s="330">
        <v>9903</v>
      </c>
      <c r="J183" s="330">
        <v>0</v>
      </c>
      <c r="K183" s="332">
        <v>77.040000000000006</v>
      </c>
      <c r="L183" s="332">
        <v>77.44</v>
      </c>
      <c r="M183" s="332">
        <v>6.76</v>
      </c>
      <c r="N183" s="332">
        <v>77.7</v>
      </c>
      <c r="O183" s="333">
        <v>8380</v>
      </c>
      <c r="P183" s="330">
        <v>76.099999999999994</v>
      </c>
      <c r="Q183" s="330">
        <v>74.64</v>
      </c>
      <c r="R183" s="330">
        <v>31.34</v>
      </c>
      <c r="S183" s="330">
        <v>84.09</v>
      </c>
      <c r="T183" s="330">
        <v>816</v>
      </c>
      <c r="U183" s="330">
        <v>91.97</v>
      </c>
      <c r="V183" s="330">
        <v>488</v>
      </c>
      <c r="W183" s="330">
        <v>196.19</v>
      </c>
      <c r="X183" s="330">
        <v>94</v>
      </c>
      <c r="Y183" s="330">
        <v>0</v>
      </c>
      <c r="Z183" s="330">
        <v>39</v>
      </c>
      <c r="AA183" s="330">
        <v>43</v>
      </c>
      <c r="AB183" s="330">
        <v>16</v>
      </c>
      <c r="AC183" s="330">
        <v>2</v>
      </c>
      <c r="AD183" s="334">
        <v>8900</v>
      </c>
      <c r="AE183" s="334">
        <v>11</v>
      </c>
      <c r="AF183" s="334">
        <v>50</v>
      </c>
      <c r="AG183" s="334">
        <v>61</v>
      </c>
    </row>
    <row r="184" spans="1:33" x14ac:dyDescent="0.25">
      <c r="A184" s="329" t="s">
        <v>424</v>
      </c>
      <c r="B184" s="335" t="s">
        <v>425</v>
      </c>
      <c r="C184" s="331">
        <v>12545</v>
      </c>
      <c r="D184" s="331">
        <v>19</v>
      </c>
      <c r="E184" s="331">
        <v>1003</v>
      </c>
      <c r="F184" s="331">
        <v>830</v>
      </c>
      <c r="G184" s="331">
        <v>2213</v>
      </c>
      <c r="H184" s="331">
        <v>16610</v>
      </c>
      <c r="I184" s="330">
        <v>14397</v>
      </c>
      <c r="J184" s="330">
        <v>304</v>
      </c>
      <c r="K184" s="332">
        <v>141.22</v>
      </c>
      <c r="L184" s="332">
        <v>116.36</v>
      </c>
      <c r="M184" s="332">
        <v>10.68</v>
      </c>
      <c r="N184" s="332">
        <v>146.33000000000001</v>
      </c>
      <c r="O184" s="333">
        <v>10383</v>
      </c>
      <c r="P184" s="330">
        <v>105.21</v>
      </c>
      <c r="Q184" s="330">
        <v>101.7</v>
      </c>
      <c r="R184" s="330">
        <v>69.84</v>
      </c>
      <c r="S184" s="330">
        <v>166.12</v>
      </c>
      <c r="T184" s="330">
        <v>1596</v>
      </c>
      <c r="U184" s="330">
        <v>185.39</v>
      </c>
      <c r="V184" s="330">
        <v>820</v>
      </c>
      <c r="W184" s="330">
        <v>220.86</v>
      </c>
      <c r="X184" s="330">
        <v>38</v>
      </c>
      <c r="Y184" s="330">
        <v>15</v>
      </c>
      <c r="Z184" s="330">
        <v>5</v>
      </c>
      <c r="AA184" s="330">
        <v>6</v>
      </c>
      <c r="AB184" s="330">
        <v>170</v>
      </c>
      <c r="AC184" s="330">
        <v>44</v>
      </c>
      <c r="AD184" s="334">
        <v>11669</v>
      </c>
      <c r="AE184" s="334">
        <v>51</v>
      </c>
      <c r="AF184" s="334">
        <v>44</v>
      </c>
      <c r="AG184" s="334">
        <v>95</v>
      </c>
    </row>
    <row r="185" spans="1:33" x14ac:dyDescent="0.25">
      <c r="A185" s="329" t="s">
        <v>426</v>
      </c>
      <c r="B185" s="335" t="s">
        <v>427</v>
      </c>
      <c r="C185" s="331">
        <v>3755</v>
      </c>
      <c r="D185" s="331">
        <v>0</v>
      </c>
      <c r="E185" s="331">
        <v>78</v>
      </c>
      <c r="F185" s="331">
        <v>765</v>
      </c>
      <c r="G185" s="331">
        <v>264</v>
      </c>
      <c r="H185" s="331">
        <v>4862</v>
      </c>
      <c r="I185" s="330">
        <v>4598</v>
      </c>
      <c r="J185" s="330">
        <v>4</v>
      </c>
      <c r="K185" s="332">
        <v>84.81</v>
      </c>
      <c r="L185" s="332">
        <v>84.1</v>
      </c>
      <c r="M185" s="332">
        <v>3.34</v>
      </c>
      <c r="N185" s="332">
        <v>86.9</v>
      </c>
      <c r="O185" s="333">
        <v>3268</v>
      </c>
      <c r="P185" s="330">
        <v>84.45</v>
      </c>
      <c r="Q185" s="330">
        <v>74.91</v>
      </c>
      <c r="R185" s="330">
        <v>21.05</v>
      </c>
      <c r="S185" s="330">
        <v>104.99</v>
      </c>
      <c r="T185" s="330">
        <v>788</v>
      </c>
      <c r="U185" s="330">
        <v>114.76</v>
      </c>
      <c r="V185" s="330">
        <v>458</v>
      </c>
      <c r="W185" s="330">
        <v>0</v>
      </c>
      <c r="X185" s="330">
        <v>0</v>
      </c>
      <c r="Y185" s="330">
        <v>18</v>
      </c>
      <c r="Z185" s="330">
        <v>11</v>
      </c>
      <c r="AA185" s="330">
        <v>3</v>
      </c>
      <c r="AB185" s="330">
        <v>17</v>
      </c>
      <c r="AC185" s="330">
        <v>7</v>
      </c>
      <c r="AD185" s="334">
        <v>3755</v>
      </c>
      <c r="AE185" s="334">
        <v>4</v>
      </c>
      <c r="AF185" s="334">
        <v>67</v>
      </c>
      <c r="AG185" s="334">
        <v>71</v>
      </c>
    </row>
    <row r="186" spans="1:33" x14ac:dyDescent="0.25">
      <c r="A186" s="329" t="s">
        <v>428</v>
      </c>
      <c r="B186" s="335" t="s">
        <v>429</v>
      </c>
      <c r="C186" s="331">
        <v>769</v>
      </c>
      <c r="D186" s="331">
        <v>0</v>
      </c>
      <c r="E186" s="331">
        <v>69</v>
      </c>
      <c r="F186" s="331">
        <v>143</v>
      </c>
      <c r="G186" s="331">
        <v>110</v>
      </c>
      <c r="H186" s="331">
        <v>1091</v>
      </c>
      <c r="I186" s="330">
        <v>981</v>
      </c>
      <c r="J186" s="330">
        <v>1</v>
      </c>
      <c r="K186" s="332">
        <v>89.95</v>
      </c>
      <c r="L186" s="332">
        <v>89.18</v>
      </c>
      <c r="M186" s="332">
        <v>4.41</v>
      </c>
      <c r="N186" s="332">
        <v>92.17</v>
      </c>
      <c r="O186" s="333">
        <v>585</v>
      </c>
      <c r="P186" s="330">
        <v>92.79</v>
      </c>
      <c r="Q186" s="330">
        <v>85.79</v>
      </c>
      <c r="R186" s="330">
        <v>24.21</v>
      </c>
      <c r="S186" s="330">
        <v>111.5</v>
      </c>
      <c r="T186" s="330">
        <v>207</v>
      </c>
      <c r="U186" s="330">
        <v>100.26</v>
      </c>
      <c r="V186" s="330">
        <v>155</v>
      </c>
      <c r="W186" s="330">
        <v>0</v>
      </c>
      <c r="X186" s="330">
        <v>0</v>
      </c>
      <c r="Y186" s="330">
        <v>0</v>
      </c>
      <c r="Z186" s="330">
        <v>0</v>
      </c>
      <c r="AA186" s="330">
        <v>0</v>
      </c>
      <c r="AB186" s="330">
        <v>4</v>
      </c>
      <c r="AC186" s="330">
        <v>1</v>
      </c>
      <c r="AD186" s="334">
        <v>672</v>
      </c>
      <c r="AE186" s="334">
        <v>8</v>
      </c>
      <c r="AF186" s="334">
        <v>0</v>
      </c>
      <c r="AG186" s="334">
        <v>8</v>
      </c>
    </row>
    <row r="187" spans="1:33" x14ac:dyDescent="0.25">
      <c r="A187" s="329" t="s">
        <v>430</v>
      </c>
      <c r="B187" s="335" t="s">
        <v>431</v>
      </c>
      <c r="C187" s="331">
        <v>8555</v>
      </c>
      <c r="D187" s="331">
        <v>0</v>
      </c>
      <c r="E187" s="331">
        <v>386</v>
      </c>
      <c r="F187" s="331">
        <v>1295</v>
      </c>
      <c r="G187" s="331">
        <v>206</v>
      </c>
      <c r="H187" s="331">
        <v>10442</v>
      </c>
      <c r="I187" s="330">
        <v>10236</v>
      </c>
      <c r="J187" s="330">
        <v>0</v>
      </c>
      <c r="K187" s="332">
        <v>78.05</v>
      </c>
      <c r="L187" s="332">
        <v>77.42</v>
      </c>
      <c r="M187" s="332">
        <v>2.08</v>
      </c>
      <c r="N187" s="332">
        <v>79.849999999999994</v>
      </c>
      <c r="O187" s="333">
        <v>8513</v>
      </c>
      <c r="P187" s="330">
        <v>85.25</v>
      </c>
      <c r="Q187" s="330">
        <v>68.930000000000007</v>
      </c>
      <c r="R187" s="330">
        <v>25.76</v>
      </c>
      <c r="S187" s="330">
        <v>107.49</v>
      </c>
      <c r="T187" s="330">
        <v>1515</v>
      </c>
      <c r="U187" s="330">
        <v>91.37</v>
      </c>
      <c r="V187" s="330">
        <v>26</v>
      </c>
      <c r="W187" s="330">
        <v>0</v>
      </c>
      <c r="X187" s="330">
        <v>0</v>
      </c>
      <c r="Y187" s="330">
        <v>0</v>
      </c>
      <c r="Z187" s="330">
        <v>22</v>
      </c>
      <c r="AA187" s="330">
        <v>11</v>
      </c>
      <c r="AB187" s="330">
        <v>12</v>
      </c>
      <c r="AC187" s="330">
        <v>1</v>
      </c>
      <c r="AD187" s="334">
        <v>8553</v>
      </c>
      <c r="AE187" s="334">
        <v>147</v>
      </c>
      <c r="AF187" s="334">
        <v>646</v>
      </c>
      <c r="AG187" s="334">
        <v>793</v>
      </c>
    </row>
    <row r="188" spans="1:33" x14ac:dyDescent="0.25">
      <c r="A188" s="329" t="s">
        <v>432</v>
      </c>
      <c r="B188" s="335" t="s">
        <v>433</v>
      </c>
      <c r="C188" s="331">
        <v>9508</v>
      </c>
      <c r="D188" s="331">
        <v>0</v>
      </c>
      <c r="E188" s="331">
        <v>263</v>
      </c>
      <c r="F188" s="331">
        <v>965</v>
      </c>
      <c r="G188" s="331">
        <v>482</v>
      </c>
      <c r="H188" s="331">
        <v>11218</v>
      </c>
      <c r="I188" s="330">
        <v>10736</v>
      </c>
      <c r="J188" s="330">
        <v>486</v>
      </c>
      <c r="K188" s="332">
        <v>108.86</v>
      </c>
      <c r="L188" s="332">
        <v>115.68</v>
      </c>
      <c r="M188" s="332">
        <v>5.07</v>
      </c>
      <c r="N188" s="332">
        <v>110.38</v>
      </c>
      <c r="O188" s="333">
        <v>9288</v>
      </c>
      <c r="P188" s="330">
        <v>93.47</v>
      </c>
      <c r="Q188" s="330">
        <v>95.75</v>
      </c>
      <c r="R188" s="330">
        <v>26.03</v>
      </c>
      <c r="S188" s="330">
        <v>118.94</v>
      </c>
      <c r="T188" s="330">
        <v>1124</v>
      </c>
      <c r="U188" s="330">
        <v>136.19999999999999</v>
      </c>
      <c r="V188" s="330">
        <v>228</v>
      </c>
      <c r="W188" s="330">
        <v>0</v>
      </c>
      <c r="X188" s="330">
        <v>0</v>
      </c>
      <c r="Y188" s="330">
        <v>2</v>
      </c>
      <c r="Z188" s="330">
        <v>23</v>
      </c>
      <c r="AA188" s="330">
        <v>1</v>
      </c>
      <c r="AB188" s="330">
        <v>55</v>
      </c>
      <c r="AC188" s="330">
        <v>9</v>
      </c>
      <c r="AD188" s="334">
        <v>9457</v>
      </c>
      <c r="AE188" s="334">
        <v>39</v>
      </c>
      <c r="AF188" s="334">
        <v>23</v>
      </c>
      <c r="AG188" s="334">
        <v>62</v>
      </c>
    </row>
    <row r="189" spans="1:33" x14ac:dyDescent="0.25">
      <c r="A189" s="329" t="s">
        <v>434</v>
      </c>
      <c r="B189" s="335" t="s">
        <v>435</v>
      </c>
      <c r="C189" s="331">
        <v>1017</v>
      </c>
      <c r="D189" s="331">
        <v>0</v>
      </c>
      <c r="E189" s="331">
        <v>91</v>
      </c>
      <c r="F189" s="331">
        <v>152</v>
      </c>
      <c r="G189" s="331">
        <v>291</v>
      </c>
      <c r="H189" s="331">
        <v>1551</v>
      </c>
      <c r="I189" s="330">
        <v>1260</v>
      </c>
      <c r="J189" s="330">
        <v>0</v>
      </c>
      <c r="K189" s="332">
        <v>87.84</v>
      </c>
      <c r="L189" s="332">
        <v>86.17</v>
      </c>
      <c r="M189" s="332">
        <v>4.16</v>
      </c>
      <c r="N189" s="332">
        <v>91.21</v>
      </c>
      <c r="O189" s="333">
        <v>753</v>
      </c>
      <c r="P189" s="330">
        <v>102.87</v>
      </c>
      <c r="Q189" s="330">
        <v>86.15</v>
      </c>
      <c r="R189" s="330">
        <v>44.39</v>
      </c>
      <c r="S189" s="330">
        <v>141.99</v>
      </c>
      <c r="T189" s="330">
        <v>219</v>
      </c>
      <c r="U189" s="330">
        <v>97.68</v>
      </c>
      <c r="V189" s="330">
        <v>177</v>
      </c>
      <c r="W189" s="330">
        <v>113.43</v>
      </c>
      <c r="X189" s="330">
        <v>1</v>
      </c>
      <c r="Y189" s="330">
        <v>53</v>
      </c>
      <c r="Z189" s="330">
        <v>0</v>
      </c>
      <c r="AA189" s="330">
        <v>0</v>
      </c>
      <c r="AB189" s="330">
        <v>22</v>
      </c>
      <c r="AC189" s="330">
        <v>5</v>
      </c>
      <c r="AD189" s="334">
        <v>960</v>
      </c>
      <c r="AE189" s="334">
        <v>3</v>
      </c>
      <c r="AF189" s="334">
        <v>3</v>
      </c>
      <c r="AG189" s="334">
        <v>6</v>
      </c>
    </row>
    <row r="190" spans="1:33" x14ac:dyDescent="0.25">
      <c r="A190" s="329" t="s">
        <v>436</v>
      </c>
      <c r="B190" s="335" t="s">
        <v>437</v>
      </c>
      <c r="C190" s="331">
        <v>10842</v>
      </c>
      <c r="D190" s="331">
        <v>0</v>
      </c>
      <c r="E190" s="331">
        <v>167</v>
      </c>
      <c r="F190" s="331">
        <v>317</v>
      </c>
      <c r="G190" s="331">
        <v>74</v>
      </c>
      <c r="H190" s="331">
        <v>11400</v>
      </c>
      <c r="I190" s="330">
        <v>11326</v>
      </c>
      <c r="J190" s="330">
        <v>0</v>
      </c>
      <c r="K190" s="332">
        <v>79.94</v>
      </c>
      <c r="L190" s="332">
        <v>79.760000000000005</v>
      </c>
      <c r="M190" s="332">
        <v>3.07</v>
      </c>
      <c r="N190" s="332">
        <v>81.290000000000006</v>
      </c>
      <c r="O190" s="333">
        <v>10432</v>
      </c>
      <c r="P190" s="330">
        <v>95.67</v>
      </c>
      <c r="Q190" s="330">
        <v>80.11</v>
      </c>
      <c r="R190" s="330">
        <v>51.11</v>
      </c>
      <c r="S190" s="330">
        <v>143.6</v>
      </c>
      <c r="T190" s="330">
        <v>433</v>
      </c>
      <c r="U190" s="330">
        <v>93.16</v>
      </c>
      <c r="V190" s="330">
        <v>348</v>
      </c>
      <c r="W190" s="330">
        <v>219.65</v>
      </c>
      <c r="X190" s="330">
        <v>30</v>
      </c>
      <c r="Y190" s="330">
        <v>0</v>
      </c>
      <c r="Z190" s="330">
        <v>33</v>
      </c>
      <c r="AA190" s="330">
        <v>4</v>
      </c>
      <c r="AB190" s="330">
        <v>5</v>
      </c>
      <c r="AC190" s="330">
        <v>0</v>
      </c>
      <c r="AD190" s="334">
        <v>10802</v>
      </c>
      <c r="AE190" s="334">
        <v>152</v>
      </c>
      <c r="AF190" s="334">
        <v>17</v>
      </c>
      <c r="AG190" s="334">
        <v>169</v>
      </c>
    </row>
    <row r="191" spans="1:33" x14ac:dyDescent="0.25">
      <c r="A191" s="329" t="s">
        <v>438</v>
      </c>
      <c r="B191" s="335" t="s">
        <v>439</v>
      </c>
      <c r="C191" s="331">
        <v>5947</v>
      </c>
      <c r="D191" s="331">
        <v>0</v>
      </c>
      <c r="E191" s="331">
        <v>161</v>
      </c>
      <c r="F191" s="331">
        <v>188</v>
      </c>
      <c r="G191" s="331">
        <v>140</v>
      </c>
      <c r="H191" s="331">
        <v>6436</v>
      </c>
      <c r="I191" s="330">
        <v>6296</v>
      </c>
      <c r="J191" s="330">
        <v>1</v>
      </c>
      <c r="K191" s="332">
        <v>87.41</v>
      </c>
      <c r="L191" s="332">
        <v>86.13</v>
      </c>
      <c r="M191" s="332">
        <v>2.99</v>
      </c>
      <c r="N191" s="332">
        <v>89.52</v>
      </c>
      <c r="O191" s="333">
        <v>5389</v>
      </c>
      <c r="P191" s="330">
        <v>96.55</v>
      </c>
      <c r="Q191" s="330">
        <v>82.99</v>
      </c>
      <c r="R191" s="330">
        <v>37.51</v>
      </c>
      <c r="S191" s="330">
        <v>127.18</v>
      </c>
      <c r="T191" s="330">
        <v>349</v>
      </c>
      <c r="U191" s="330">
        <v>103.65</v>
      </c>
      <c r="V191" s="330">
        <v>549</v>
      </c>
      <c r="W191" s="330">
        <v>0</v>
      </c>
      <c r="X191" s="330">
        <v>0</v>
      </c>
      <c r="Y191" s="330">
        <v>0</v>
      </c>
      <c r="Z191" s="330">
        <v>23</v>
      </c>
      <c r="AA191" s="330">
        <v>56</v>
      </c>
      <c r="AB191" s="330">
        <v>8</v>
      </c>
      <c r="AC191" s="330">
        <v>2</v>
      </c>
      <c r="AD191" s="334">
        <v>5934</v>
      </c>
      <c r="AE191" s="334">
        <v>16</v>
      </c>
      <c r="AF191" s="334">
        <v>51</v>
      </c>
      <c r="AG191" s="334">
        <v>67</v>
      </c>
    </row>
    <row r="192" spans="1:33" ht="14.5" x14ac:dyDescent="0.35">
      <c r="A192" s="336" t="s">
        <v>799</v>
      </c>
      <c r="B192" s="336" t="s">
        <v>797</v>
      </c>
      <c r="C192" s="330">
        <v>13500</v>
      </c>
      <c r="D192" s="330">
        <v>259</v>
      </c>
      <c r="E192" s="330">
        <v>663</v>
      </c>
      <c r="F192" s="330">
        <v>1006</v>
      </c>
      <c r="G192" s="330">
        <v>1269</v>
      </c>
      <c r="H192" s="330">
        <v>16697</v>
      </c>
      <c r="I192" s="330">
        <v>15428</v>
      </c>
      <c r="J192" s="330">
        <v>9</v>
      </c>
      <c r="K192" s="330">
        <v>90.1</v>
      </c>
      <c r="L192" s="330">
        <v>89.3</v>
      </c>
      <c r="M192" s="330">
        <v>5.38</v>
      </c>
      <c r="N192" s="330">
        <v>92.66</v>
      </c>
      <c r="O192" s="330">
        <v>11273</v>
      </c>
      <c r="P192" s="330">
        <v>88.22</v>
      </c>
      <c r="Q192" s="330">
        <v>81.59</v>
      </c>
      <c r="R192" s="330">
        <v>40.03</v>
      </c>
      <c r="S192" s="330">
        <v>126.77</v>
      </c>
      <c r="T192" s="330">
        <v>1560</v>
      </c>
      <c r="U192" s="330">
        <v>104.79</v>
      </c>
      <c r="V192" s="330">
        <v>1296</v>
      </c>
      <c r="W192" s="330">
        <v>163.59</v>
      </c>
      <c r="X192" s="330">
        <v>7</v>
      </c>
      <c r="Y192" s="330">
        <v>0</v>
      </c>
      <c r="Z192" s="330">
        <v>36</v>
      </c>
      <c r="AA192" s="330">
        <v>8</v>
      </c>
      <c r="AB192" s="330">
        <v>167</v>
      </c>
      <c r="AC192" s="330">
        <v>31</v>
      </c>
      <c r="AD192" s="330">
        <v>12775</v>
      </c>
      <c r="AE192" s="330">
        <v>46</v>
      </c>
      <c r="AF192" s="330">
        <v>64</v>
      </c>
      <c r="AG192" s="330">
        <v>110</v>
      </c>
    </row>
    <row r="193" spans="1:33" x14ac:dyDescent="0.25">
      <c r="A193" s="329" t="s">
        <v>440</v>
      </c>
      <c r="B193" s="335" t="s">
        <v>441</v>
      </c>
      <c r="C193" s="331">
        <v>8293</v>
      </c>
      <c r="D193" s="331">
        <v>74</v>
      </c>
      <c r="E193" s="331">
        <v>429</v>
      </c>
      <c r="F193" s="331">
        <v>634</v>
      </c>
      <c r="G193" s="331">
        <v>459</v>
      </c>
      <c r="H193" s="331">
        <v>9889</v>
      </c>
      <c r="I193" s="330">
        <v>9430</v>
      </c>
      <c r="J193" s="330">
        <v>88</v>
      </c>
      <c r="K193" s="332">
        <v>94.33</v>
      </c>
      <c r="L193" s="332">
        <v>90.7</v>
      </c>
      <c r="M193" s="332">
        <v>6.25</v>
      </c>
      <c r="N193" s="332">
        <v>98.09</v>
      </c>
      <c r="O193" s="333">
        <v>7332</v>
      </c>
      <c r="P193" s="330">
        <v>103.23</v>
      </c>
      <c r="Q193" s="330">
        <v>89.95</v>
      </c>
      <c r="R193" s="330">
        <v>50.99</v>
      </c>
      <c r="S193" s="330">
        <v>153.77000000000001</v>
      </c>
      <c r="T193" s="330">
        <v>906</v>
      </c>
      <c r="U193" s="330">
        <v>125.63</v>
      </c>
      <c r="V193" s="330">
        <v>836</v>
      </c>
      <c r="W193" s="330">
        <v>158.87</v>
      </c>
      <c r="X193" s="330">
        <v>76</v>
      </c>
      <c r="Y193" s="330">
        <v>0</v>
      </c>
      <c r="Z193" s="330">
        <v>18</v>
      </c>
      <c r="AA193" s="330">
        <v>6</v>
      </c>
      <c r="AB193" s="330">
        <v>28</v>
      </c>
      <c r="AC193" s="330">
        <v>7</v>
      </c>
      <c r="AD193" s="334">
        <v>8171</v>
      </c>
      <c r="AE193" s="334">
        <v>33</v>
      </c>
      <c r="AF193" s="334">
        <v>17</v>
      </c>
      <c r="AG193" s="334">
        <v>50</v>
      </c>
    </row>
    <row r="194" spans="1:33" x14ac:dyDescent="0.25">
      <c r="A194" s="329" t="s">
        <v>442</v>
      </c>
      <c r="B194" s="335" t="s">
        <v>443</v>
      </c>
      <c r="C194" s="331">
        <v>4129</v>
      </c>
      <c r="D194" s="331">
        <v>55</v>
      </c>
      <c r="E194" s="331">
        <v>483</v>
      </c>
      <c r="F194" s="331">
        <v>1271</v>
      </c>
      <c r="G194" s="331">
        <v>305</v>
      </c>
      <c r="H194" s="331">
        <v>6243</v>
      </c>
      <c r="I194" s="330">
        <v>5938</v>
      </c>
      <c r="J194" s="330">
        <v>0</v>
      </c>
      <c r="K194" s="332">
        <v>81.93</v>
      </c>
      <c r="L194" s="332">
        <v>78.47</v>
      </c>
      <c r="M194" s="332">
        <v>8.33</v>
      </c>
      <c r="N194" s="332">
        <v>88.61</v>
      </c>
      <c r="O194" s="333">
        <v>3267</v>
      </c>
      <c r="P194" s="330">
        <v>88.21</v>
      </c>
      <c r="Q194" s="330">
        <v>77.75</v>
      </c>
      <c r="R194" s="330">
        <v>44.38</v>
      </c>
      <c r="S194" s="330">
        <v>132.03</v>
      </c>
      <c r="T194" s="330">
        <v>1492</v>
      </c>
      <c r="U194" s="330">
        <v>97.81</v>
      </c>
      <c r="V194" s="330">
        <v>710</v>
      </c>
      <c r="W194" s="330">
        <v>158.76</v>
      </c>
      <c r="X194" s="330">
        <v>116</v>
      </c>
      <c r="Y194" s="330">
        <v>0</v>
      </c>
      <c r="Z194" s="330">
        <v>4</v>
      </c>
      <c r="AA194" s="330">
        <v>17</v>
      </c>
      <c r="AB194" s="330">
        <v>14</v>
      </c>
      <c r="AC194" s="330">
        <v>2</v>
      </c>
      <c r="AD194" s="334">
        <v>3944</v>
      </c>
      <c r="AE194" s="334">
        <v>45</v>
      </c>
      <c r="AF194" s="334">
        <v>6</v>
      </c>
      <c r="AG194" s="334">
        <v>51</v>
      </c>
    </row>
    <row r="195" spans="1:33" x14ac:dyDescent="0.25">
      <c r="A195" s="329" t="s">
        <v>444</v>
      </c>
      <c r="B195" s="335" t="s">
        <v>445</v>
      </c>
      <c r="C195" s="331">
        <v>1033</v>
      </c>
      <c r="D195" s="331">
        <v>0</v>
      </c>
      <c r="E195" s="331">
        <v>12</v>
      </c>
      <c r="F195" s="331">
        <v>149</v>
      </c>
      <c r="G195" s="331">
        <v>190</v>
      </c>
      <c r="H195" s="331">
        <v>1384</v>
      </c>
      <c r="I195" s="330">
        <v>1194</v>
      </c>
      <c r="J195" s="330">
        <v>0</v>
      </c>
      <c r="K195" s="332">
        <v>97.96</v>
      </c>
      <c r="L195" s="332">
        <v>97.37</v>
      </c>
      <c r="M195" s="332">
        <v>5.14</v>
      </c>
      <c r="N195" s="332">
        <v>100.88</v>
      </c>
      <c r="O195" s="333">
        <v>851</v>
      </c>
      <c r="P195" s="330">
        <v>92.14</v>
      </c>
      <c r="Q195" s="330">
        <v>85.59</v>
      </c>
      <c r="R195" s="330">
        <v>45.69</v>
      </c>
      <c r="S195" s="330">
        <v>133.26</v>
      </c>
      <c r="T195" s="330">
        <v>60</v>
      </c>
      <c r="U195" s="330">
        <v>110.47</v>
      </c>
      <c r="V195" s="330">
        <v>181</v>
      </c>
      <c r="W195" s="330">
        <v>0</v>
      </c>
      <c r="X195" s="330">
        <v>0</v>
      </c>
      <c r="Y195" s="330">
        <v>0</v>
      </c>
      <c r="Z195" s="330">
        <v>1</v>
      </c>
      <c r="AA195" s="330">
        <v>4</v>
      </c>
      <c r="AB195" s="330">
        <v>4</v>
      </c>
      <c r="AC195" s="330">
        <v>5</v>
      </c>
      <c r="AD195" s="334">
        <v>1033</v>
      </c>
      <c r="AE195" s="334">
        <v>6</v>
      </c>
      <c r="AF195" s="334">
        <v>1</v>
      </c>
      <c r="AG195" s="334">
        <v>7</v>
      </c>
    </row>
    <row r="196" spans="1:33" x14ac:dyDescent="0.25">
      <c r="A196" s="329" t="s">
        <v>446</v>
      </c>
      <c r="B196" s="335" t="s">
        <v>447</v>
      </c>
      <c r="C196" s="331">
        <v>1766</v>
      </c>
      <c r="D196" s="331">
        <v>0</v>
      </c>
      <c r="E196" s="331">
        <v>64</v>
      </c>
      <c r="F196" s="331">
        <v>203</v>
      </c>
      <c r="G196" s="331">
        <v>418</v>
      </c>
      <c r="H196" s="331">
        <v>2451</v>
      </c>
      <c r="I196" s="330">
        <v>2033</v>
      </c>
      <c r="J196" s="330">
        <v>0</v>
      </c>
      <c r="K196" s="332">
        <v>87.98</v>
      </c>
      <c r="L196" s="332">
        <v>87.53</v>
      </c>
      <c r="M196" s="332">
        <v>5.75</v>
      </c>
      <c r="N196" s="332">
        <v>92.48</v>
      </c>
      <c r="O196" s="333">
        <v>1340</v>
      </c>
      <c r="P196" s="330">
        <v>89.48</v>
      </c>
      <c r="Q196" s="330">
        <v>91.47</v>
      </c>
      <c r="R196" s="330">
        <v>39.69</v>
      </c>
      <c r="S196" s="330">
        <v>125.5</v>
      </c>
      <c r="T196" s="330">
        <v>260</v>
      </c>
      <c r="U196" s="330">
        <v>97.89</v>
      </c>
      <c r="V196" s="330">
        <v>407</v>
      </c>
      <c r="W196" s="330">
        <v>0</v>
      </c>
      <c r="X196" s="330">
        <v>0</v>
      </c>
      <c r="Y196" s="330">
        <v>0</v>
      </c>
      <c r="Z196" s="330">
        <v>2</v>
      </c>
      <c r="AA196" s="330">
        <v>3</v>
      </c>
      <c r="AB196" s="330">
        <v>34</v>
      </c>
      <c r="AC196" s="330">
        <v>10</v>
      </c>
      <c r="AD196" s="334">
        <v>1766</v>
      </c>
      <c r="AE196" s="334">
        <v>16</v>
      </c>
      <c r="AF196" s="334">
        <v>2</v>
      </c>
      <c r="AG196" s="334">
        <v>18</v>
      </c>
    </row>
    <row r="197" spans="1:33" x14ac:dyDescent="0.25">
      <c r="A197" s="329" t="s">
        <v>448</v>
      </c>
      <c r="B197" s="335" t="s">
        <v>449</v>
      </c>
      <c r="C197" s="331">
        <v>14739</v>
      </c>
      <c r="D197" s="331">
        <v>59</v>
      </c>
      <c r="E197" s="331">
        <v>328</v>
      </c>
      <c r="F197" s="331">
        <v>2538</v>
      </c>
      <c r="G197" s="331">
        <v>385</v>
      </c>
      <c r="H197" s="331">
        <v>18049</v>
      </c>
      <c r="I197" s="330">
        <v>17664</v>
      </c>
      <c r="J197" s="330">
        <v>18</v>
      </c>
      <c r="K197" s="332">
        <v>75.38</v>
      </c>
      <c r="L197" s="332">
        <v>72.930000000000007</v>
      </c>
      <c r="M197" s="332">
        <v>3.48</v>
      </c>
      <c r="N197" s="332">
        <v>77.09</v>
      </c>
      <c r="O197" s="333">
        <v>13495</v>
      </c>
      <c r="P197" s="330">
        <v>74.459999999999994</v>
      </c>
      <c r="Q197" s="330">
        <v>67.260000000000005</v>
      </c>
      <c r="R197" s="330">
        <v>25.4</v>
      </c>
      <c r="S197" s="330">
        <v>98.48</v>
      </c>
      <c r="T197" s="330">
        <v>2761</v>
      </c>
      <c r="U197" s="330">
        <v>97.02</v>
      </c>
      <c r="V197" s="330">
        <v>1066</v>
      </c>
      <c r="W197" s="330">
        <v>123.49</v>
      </c>
      <c r="X197" s="330">
        <v>52</v>
      </c>
      <c r="Y197" s="330">
        <v>0</v>
      </c>
      <c r="Z197" s="330">
        <v>14</v>
      </c>
      <c r="AA197" s="330">
        <v>18</v>
      </c>
      <c r="AB197" s="330">
        <v>50</v>
      </c>
      <c r="AC197" s="330">
        <v>10</v>
      </c>
      <c r="AD197" s="334">
        <v>14527</v>
      </c>
      <c r="AE197" s="334">
        <v>148</v>
      </c>
      <c r="AF197" s="334">
        <v>42</v>
      </c>
      <c r="AG197" s="334">
        <v>190</v>
      </c>
    </row>
    <row r="198" spans="1:33" x14ac:dyDescent="0.25">
      <c r="A198" s="329" t="s">
        <v>450</v>
      </c>
      <c r="B198" s="335" t="s">
        <v>451</v>
      </c>
      <c r="C198" s="331">
        <v>3837</v>
      </c>
      <c r="D198" s="331">
        <v>0</v>
      </c>
      <c r="E198" s="331">
        <v>506</v>
      </c>
      <c r="F198" s="331">
        <v>1137</v>
      </c>
      <c r="G198" s="331">
        <v>280</v>
      </c>
      <c r="H198" s="331">
        <v>5760</v>
      </c>
      <c r="I198" s="330">
        <v>5480</v>
      </c>
      <c r="J198" s="330">
        <v>1</v>
      </c>
      <c r="K198" s="332">
        <v>89.57</v>
      </c>
      <c r="L198" s="332">
        <v>88.04</v>
      </c>
      <c r="M198" s="332">
        <v>6.14</v>
      </c>
      <c r="N198" s="332">
        <v>94.17</v>
      </c>
      <c r="O198" s="333">
        <v>3489</v>
      </c>
      <c r="P198" s="330">
        <v>87.67</v>
      </c>
      <c r="Q198" s="330">
        <v>83.11</v>
      </c>
      <c r="R198" s="330">
        <v>42.67</v>
      </c>
      <c r="S198" s="330">
        <v>125.85</v>
      </c>
      <c r="T198" s="330">
        <v>989</v>
      </c>
      <c r="U198" s="330">
        <v>105.27</v>
      </c>
      <c r="V198" s="330">
        <v>276</v>
      </c>
      <c r="W198" s="330">
        <v>0</v>
      </c>
      <c r="X198" s="330">
        <v>0</v>
      </c>
      <c r="Y198" s="330">
        <v>0</v>
      </c>
      <c r="Z198" s="330">
        <v>1</v>
      </c>
      <c r="AA198" s="330">
        <v>2</v>
      </c>
      <c r="AB198" s="330">
        <v>6</v>
      </c>
      <c r="AC198" s="330">
        <v>12</v>
      </c>
      <c r="AD198" s="334">
        <v>3820</v>
      </c>
      <c r="AE198" s="334">
        <v>12</v>
      </c>
      <c r="AF198" s="334">
        <v>15</v>
      </c>
      <c r="AG198" s="334">
        <v>27</v>
      </c>
    </row>
    <row r="199" spans="1:33" x14ac:dyDescent="0.25">
      <c r="A199" s="329" t="s">
        <v>452</v>
      </c>
      <c r="B199" s="335" t="s">
        <v>453</v>
      </c>
      <c r="C199" s="331">
        <v>6616</v>
      </c>
      <c r="D199" s="331">
        <v>0</v>
      </c>
      <c r="E199" s="331">
        <v>1173</v>
      </c>
      <c r="F199" s="331">
        <v>2364</v>
      </c>
      <c r="G199" s="331">
        <v>313</v>
      </c>
      <c r="H199" s="331">
        <v>10466</v>
      </c>
      <c r="I199" s="330">
        <v>10153</v>
      </c>
      <c r="J199" s="330">
        <v>65</v>
      </c>
      <c r="K199" s="332">
        <v>85.23</v>
      </c>
      <c r="L199" s="332">
        <v>82.91</v>
      </c>
      <c r="M199" s="332">
        <v>6.05</v>
      </c>
      <c r="N199" s="332">
        <v>89.09</v>
      </c>
      <c r="O199" s="333">
        <v>5668</v>
      </c>
      <c r="P199" s="330">
        <v>82.29</v>
      </c>
      <c r="Q199" s="330">
        <v>77.489999999999995</v>
      </c>
      <c r="R199" s="330">
        <v>62.58</v>
      </c>
      <c r="S199" s="330">
        <v>140.82</v>
      </c>
      <c r="T199" s="330">
        <v>2968</v>
      </c>
      <c r="U199" s="330">
        <v>99.6</v>
      </c>
      <c r="V199" s="330">
        <v>442</v>
      </c>
      <c r="W199" s="330">
        <v>170.24</v>
      </c>
      <c r="X199" s="330">
        <v>177</v>
      </c>
      <c r="Y199" s="330">
        <v>1</v>
      </c>
      <c r="Z199" s="330">
        <v>2</v>
      </c>
      <c r="AA199" s="330">
        <v>58</v>
      </c>
      <c r="AB199" s="330">
        <v>15</v>
      </c>
      <c r="AC199" s="330">
        <v>27</v>
      </c>
      <c r="AD199" s="334">
        <v>6508</v>
      </c>
      <c r="AE199" s="334">
        <v>35</v>
      </c>
      <c r="AF199" s="334">
        <v>28</v>
      </c>
      <c r="AG199" s="334">
        <v>63</v>
      </c>
    </row>
    <row r="200" spans="1:33" x14ac:dyDescent="0.25">
      <c r="A200" s="329" t="s">
        <v>454</v>
      </c>
      <c r="B200" s="335" t="s">
        <v>455</v>
      </c>
      <c r="C200" s="331">
        <v>2035</v>
      </c>
      <c r="D200" s="331">
        <v>0</v>
      </c>
      <c r="E200" s="331">
        <v>255</v>
      </c>
      <c r="F200" s="331">
        <v>337</v>
      </c>
      <c r="G200" s="331">
        <v>295</v>
      </c>
      <c r="H200" s="331">
        <v>2922</v>
      </c>
      <c r="I200" s="330">
        <v>2627</v>
      </c>
      <c r="J200" s="330">
        <v>8</v>
      </c>
      <c r="K200" s="332">
        <v>96.21</v>
      </c>
      <c r="L200" s="332">
        <v>86.99</v>
      </c>
      <c r="M200" s="332">
        <v>6.64</v>
      </c>
      <c r="N200" s="332">
        <v>101.61</v>
      </c>
      <c r="O200" s="333">
        <v>1681</v>
      </c>
      <c r="P200" s="330">
        <v>107.65</v>
      </c>
      <c r="Q200" s="330">
        <v>80.95</v>
      </c>
      <c r="R200" s="330">
        <v>51.95</v>
      </c>
      <c r="S200" s="330">
        <v>157.72</v>
      </c>
      <c r="T200" s="330">
        <v>443</v>
      </c>
      <c r="U200" s="330">
        <v>112.89</v>
      </c>
      <c r="V200" s="330">
        <v>316</v>
      </c>
      <c r="W200" s="330">
        <v>180.46</v>
      </c>
      <c r="X200" s="330">
        <v>60</v>
      </c>
      <c r="Y200" s="330">
        <v>0</v>
      </c>
      <c r="Z200" s="330">
        <v>1</v>
      </c>
      <c r="AA200" s="330">
        <v>1</v>
      </c>
      <c r="AB200" s="330">
        <v>16</v>
      </c>
      <c r="AC200" s="330">
        <v>2</v>
      </c>
      <c r="AD200" s="334">
        <v>2028</v>
      </c>
      <c r="AE200" s="334">
        <v>14</v>
      </c>
      <c r="AF200" s="334">
        <v>9</v>
      </c>
      <c r="AG200" s="334">
        <v>23</v>
      </c>
    </row>
    <row r="201" spans="1:33" x14ac:dyDescent="0.25">
      <c r="A201" s="329" t="s">
        <v>456</v>
      </c>
      <c r="B201" s="335" t="s">
        <v>457</v>
      </c>
      <c r="C201" s="331">
        <v>480</v>
      </c>
      <c r="D201" s="331">
        <v>0</v>
      </c>
      <c r="E201" s="331">
        <v>59</v>
      </c>
      <c r="F201" s="331">
        <v>94</v>
      </c>
      <c r="G201" s="331">
        <v>115</v>
      </c>
      <c r="H201" s="331">
        <v>748</v>
      </c>
      <c r="I201" s="330">
        <v>633</v>
      </c>
      <c r="J201" s="330">
        <v>1</v>
      </c>
      <c r="K201" s="332">
        <v>91.79</v>
      </c>
      <c r="L201" s="332">
        <v>89.71</v>
      </c>
      <c r="M201" s="332">
        <v>4.75</v>
      </c>
      <c r="N201" s="332">
        <v>94.44</v>
      </c>
      <c r="O201" s="333">
        <v>280</v>
      </c>
      <c r="P201" s="330">
        <v>112.1</v>
      </c>
      <c r="Q201" s="330">
        <v>76.53</v>
      </c>
      <c r="R201" s="330">
        <v>29.13</v>
      </c>
      <c r="S201" s="330">
        <v>141.24</v>
      </c>
      <c r="T201" s="330">
        <v>137</v>
      </c>
      <c r="U201" s="330">
        <v>103.89</v>
      </c>
      <c r="V201" s="330">
        <v>107</v>
      </c>
      <c r="W201" s="330">
        <v>0</v>
      </c>
      <c r="X201" s="330">
        <v>0</v>
      </c>
      <c r="Y201" s="330">
        <v>0</v>
      </c>
      <c r="Z201" s="330">
        <v>0</v>
      </c>
      <c r="AA201" s="330">
        <v>0</v>
      </c>
      <c r="AB201" s="330">
        <v>10</v>
      </c>
      <c r="AC201" s="330">
        <v>5</v>
      </c>
      <c r="AD201" s="334">
        <v>445</v>
      </c>
      <c r="AE201" s="334">
        <v>2</v>
      </c>
      <c r="AF201" s="334">
        <v>0</v>
      </c>
      <c r="AG201" s="334">
        <v>2</v>
      </c>
    </row>
    <row r="202" spans="1:33" x14ac:dyDescent="0.25">
      <c r="A202" s="329" t="s">
        <v>458</v>
      </c>
      <c r="B202" s="335" t="s">
        <v>459</v>
      </c>
      <c r="C202" s="331">
        <v>17473</v>
      </c>
      <c r="D202" s="331">
        <v>1</v>
      </c>
      <c r="E202" s="331">
        <v>556</v>
      </c>
      <c r="F202" s="331">
        <v>679</v>
      </c>
      <c r="G202" s="331">
        <v>228</v>
      </c>
      <c r="H202" s="331">
        <v>18937</v>
      </c>
      <c r="I202" s="330">
        <v>18709</v>
      </c>
      <c r="J202" s="330">
        <v>31</v>
      </c>
      <c r="K202" s="332">
        <v>77.3</v>
      </c>
      <c r="L202" s="332">
        <v>76.97</v>
      </c>
      <c r="M202" s="332">
        <v>2.4700000000000002</v>
      </c>
      <c r="N202" s="332">
        <v>78.58</v>
      </c>
      <c r="O202" s="333">
        <v>15699</v>
      </c>
      <c r="P202" s="330">
        <v>80.13</v>
      </c>
      <c r="Q202" s="330">
        <v>76.39</v>
      </c>
      <c r="R202" s="330">
        <v>32.42</v>
      </c>
      <c r="S202" s="330">
        <v>108.94</v>
      </c>
      <c r="T202" s="330">
        <v>1204</v>
      </c>
      <c r="U202" s="330">
        <v>97.43</v>
      </c>
      <c r="V202" s="330">
        <v>1323</v>
      </c>
      <c r="W202" s="330">
        <v>0</v>
      </c>
      <c r="X202" s="330">
        <v>0</v>
      </c>
      <c r="Y202" s="330">
        <v>3</v>
      </c>
      <c r="Z202" s="330">
        <v>98</v>
      </c>
      <c r="AA202" s="330">
        <v>4</v>
      </c>
      <c r="AB202" s="330">
        <v>1</v>
      </c>
      <c r="AC202" s="330">
        <v>5</v>
      </c>
      <c r="AD202" s="334">
        <v>16878</v>
      </c>
      <c r="AE202" s="334">
        <v>59</v>
      </c>
      <c r="AF202" s="334">
        <v>107</v>
      </c>
      <c r="AG202" s="334">
        <v>166</v>
      </c>
    </row>
    <row r="203" spans="1:33" x14ac:dyDescent="0.25">
      <c r="A203" s="329" t="s">
        <v>460</v>
      </c>
      <c r="B203" s="335" t="s">
        <v>461</v>
      </c>
      <c r="C203" s="331">
        <v>2948</v>
      </c>
      <c r="D203" s="331">
        <v>99</v>
      </c>
      <c r="E203" s="331">
        <v>470</v>
      </c>
      <c r="F203" s="331">
        <v>853</v>
      </c>
      <c r="G203" s="331">
        <v>633</v>
      </c>
      <c r="H203" s="331">
        <v>5003</v>
      </c>
      <c r="I203" s="330">
        <v>4370</v>
      </c>
      <c r="J203" s="330">
        <v>0</v>
      </c>
      <c r="K203" s="332">
        <v>112.7</v>
      </c>
      <c r="L203" s="332">
        <v>107.21</v>
      </c>
      <c r="M203" s="332">
        <v>7.93</v>
      </c>
      <c r="N203" s="332">
        <v>118.92</v>
      </c>
      <c r="O203" s="333">
        <v>2965</v>
      </c>
      <c r="P203" s="330">
        <v>108.47</v>
      </c>
      <c r="Q203" s="330">
        <v>95.09</v>
      </c>
      <c r="R203" s="330">
        <v>45.4</v>
      </c>
      <c r="S203" s="330">
        <v>153.22</v>
      </c>
      <c r="T203" s="330">
        <v>1270</v>
      </c>
      <c r="U203" s="330">
        <v>163.32</v>
      </c>
      <c r="V203" s="330">
        <v>61</v>
      </c>
      <c r="W203" s="330">
        <v>0</v>
      </c>
      <c r="X203" s="330">
        <v>0</v>
      </c>
      <c r="Y203" s="330">
        <v>61</v>
      </c>
      <c r="Z203" s="330">
        <v>0</v>
      </c>
      <c r="AA203" s="330">
        <v>0</v>
      </c>
      <c r="AB203" s="330">
        <v>18</v>
      </c>
      <c r="AC203" s="330">
        <v>20</v>
      </c>
      <c r="AD203" s="334">
        <v>2948</v>
      </c>
      <c r="AE203" s="334">
        <v>18</v>
      </c>
      <c r="AF203" s="334">
        <v>4</v>
      </c>
      <c r="AG203" s="334">
        <v>22</v>
      </c>
    </row>
    <row r="204" spans="1:33" x14ac:dyDescent="0.25">
      <c r="A204" s="329" t="s">
        <v>462</v>
      </c>
      <c r="B204" s="335" t="s">
        <v>463</v>
      </c>
      <c r="C204" s="331">
        <v>4206</v>
      </c>
      <c r="D204" s="331">
        <v>0</v>
      </c>
      <c r="E204" s="331">
        <v>223</v>
      </c>
      <c r="F204" s="331">
        <v>245</v>
      </c>
      <c r="G204" s="331">
        <v>6</v>
      </c>
      <c r="H204" s="331">
        <v>4680</v>
      </c>
      <c r="I204" s="330">
        <v>4674</v>
      </c>
      <c r="J204" s="330">
        <v>18</v>
      </c>
      <c r="K204" s="332">
        <v>73.97</v>
      </c>
      <c r="L204" s="332">
        <v>70.739999999999995</v>
      </c>
      <c r="M204" s="332">
        <v>1.78</v>
      </c>
      <c r="N204" s="332">
        <v>75.55</v>
      </c>
      <c r="O204" s="333">
        <v>3820</v>
      </c>
      <c r="P204" s="330">
        <v>87.44</v>
      </c>
      <c r="Q204" s="330">
        <v>71.040000000000006</v>
      </c>
      <c r="R204" s="330">
        <v>37.22</v>
      </c>
      <c r="S204" s="330">
        <v>123.48</v>
      </c>
      <c r="T204" s="330">
        <v>347</v>
      </c>
      <c r="U204" s="330">
        <v>93.52</v>
      </c>
      <c r="V204" s="330">
        <v>373</v>
      </c>
      <c r="W204" s="330">
        <v>83</v>
      </c>
      <c r="X204" s="330">
        <v>12</v>
      </c>
      <c r="Y204" s="330">
        <v>0</v>
      </c>
      <c r="Z204" s="330">
        <v>28</v>
      </c>
      <c r="AA204" s="330">
        <v>18</v>
      </c>
      <c r="AB204" s="330">
        <v>0</v>
      </c>
      <c r="AC204" s="330">
        <v>0</v>
      </c>
      <c r="AD204" s="334">
        <v>4202</v>
      </c>
      <c r="AE204" s="334">
        <v>17</v>
      </c>
      <c r="AF204" s="334">
        <v>19</v>
      </c>
      <c r="AG204" s="334">
        <v>36</v>
      </c>
    </row>
    <row r="205" spans="1:33" x14ac:dyDescent="0.25">
      <c r="A205" s="329" t="s">
        <v>464</v>
      </c>
      <c r="B205" s="335" t="s">
        <v>465</v>
      </c>
      <c r="C205" s="331">
        <v>12923</v>
      </c>
      <c r="D205" s="331">
        <v>32</v>
      </c>
      <c r="E205" s="331">
        <v>774</v>
      </c>
      <c r="F205" s="331">
        <v>2144</v>
      </c>
      <c r="G205" s="331">
        <v>898</v>
      </c>
      <c r="H205" s="331">
        <v>16771</v>
      </c>
      <c r="I205" s="330">
        <v>15873</v>
      </c>
      <c r="J205" s="330">
        <v>23</v>
      </c>
      <c r="K205" s="332">
        <v>87.21</v>
      </c>
      <c r="L205" s="332">
        <v>86.61</v>
      </c>
      <c r="M205" s="332">
        <v>4.96</v>
      </c>
      <c r="N205" s="332">
        <v>89.52</v>
      </c>
      <c r="O205" s="333">
        <v>11291</v>
      </c>
      <c r="P205" s="330">
        <v>93.77</v>
      </c>
      <c r="Q205" s="330">
        <v>89.12</v>
      </c>
      <c r="R205" s="330">
        <v>35.72</v>
      </c>
      <c r="S205" s="330">
        <v>128.11000000000001</v>
      </c>
      <c r="T205" s="330">
        <v>2665</v>
      </c>
      <c r="U205" s="330">
        <v>104.72</v>
      </c>
      <c r="V205" s="330">
        <v>1411</v>
      </c>
      <c r="W205" s="330">
        <v>191.98</v>
      </c>
      <c r="X205" s="330">
        <v>100</v>
      </c>
      <c r="Y205" s="330">
        <v>1</v>
      </c>
      <c r="Z205" s="330">
        <v>57</v>
      </c>
      <c r="AA205" s="330">
        <v>6</v>
      </c>
      <c r="AB205" s="330">
        <v>37</v>
      </c>
      <c r="AC205" s="330">
        <v>24</v>
      </c>
      <c r="AD205" s="334">
        <v>12923</v>
      </c>
      <c r="AE205" s="334">
        <v>41</v>
      </c>
      <c r="AF205" s="334">
        <v>19</v>
      </c>
      <c r="AG205" s="334">
        <v>60</v>
      </c>
    </row>
    <row r="206" spans="1:33" x14ac:dyDescent="0.25">
      <c r="A206" s="329" t="s">
        <v>466</v>
      </c>
      <c r="B206" s="335" t="s">
        <v>467</v>
      </c>
      <c r="C206" s="331">
        <v>19041</v>
      </c>
      <c r="D206" s="331">
        <v>0</v>
      </c>
      <c r="E206" s="331">
        <v>2398</v>
      </c>
      <c r="F206" s="331">
        <v>1073</v>
      </c>
      <c r="G206" s="331">
        <v>1045</v>
      </c>
      <c r="H206" s="331">
        <v>23557</v>
      </c>
      <c r="I206" s="330">
        <v>22512</v>
      </c>
      <c r="J206" s="330">
        <v>17</v>
      </c>
      <c r="K206" s="332">
        <v>76.040000000000006</v>
      </c>
      <c r="L206" s="332">
        <v>74.790000000000006</v>
      </c>
      <c r="M206" s="332">
        <v>7.04</v>
      </c>
      <c r="N206" s="332">
        <v>80.37</v>
      </c>
      <c r="O206" s="333">
        <v>15529</v>
      </c>
      <c r="P206" s="330">
        <v>72</v>
      </c>
      <c r="Q206" s="330">
        <v>70.36</v>
      </c>
      <c r="R206" s="330">
        <v>27.02</v>
      </c>
      <c r="S206" s="330">
        <v>97.65</v>
      </c>
      <c r="T206" s="330">
        <v>3093</v>
      </c>
      <c r="U206" s="330">
        <v>106.19</v>
      </c>
      <c r="V206" s="330">
        <v>3055</v>
      </c>
      <c r="W206" s="330">
        <v>98.86</v>
      </c>
      <c r="X206" s="330">
        <v>290</v>
      </c>
      <c r="Y206" s="330">
        <v>0</v>
      </c>
      <c r="Z206" s="330">
        <v>93</v>
      </c>
      <c r="AA206" s="330">
        <v>25</v>
      </c>
      <c r="AB206" s="330">
        <v>41</v>
      </c>
      <c r="AC206" s="330">
        <v>23</v>
      </c>
      <c r="AD206" s="334">
        <v>18590</v>
      </c>
      <c r="AE206" s="334">
        <v>77</v>
      </c>
      <c r="AF206" s="334">
        <v>162</v>
      </c>
      <c r="AG206" s="334">
        <v>239</v>
      </c>
    </row>
    <row r="207" spans="1:33" x14ac:dyDescent="0.25">
      <c r="A207" s="329" t="s">
        <v>468</v>
      </c>
      <c r="B207" s="335" t="s">
        <v>469</v>
      </c>
      <c r="C207" s="331">
        <v>4948</v>
      </c>
      <c r="D207" s="331">
        <v>24</v>
      </c>
      <c r="E207" s="331">
        <v>470</v>
      </c>
      <c r="F207" s="331">
        <v>873</v>
      </c>
      <c r="G207" s="331">
        <v>680</v>
      </c>
      <c r="H207" s="331">
        <v>6995</v>
      </c>
      <c r="I207" s="330">
        <v>6315</v>
      </c>
      <c r="J207" s="330">
        <v>2</v>
      </c>
      <c r="K207" s="332">
        <v>98.27</v>
      </c>
      <c r="L207" s="332">
        <v>97.47</v>
      </c>
      <c r="M207" s="332">
        <v>9.32</v>
      </c>
      <c r="N207" s="332">
        <v>105.73</v>
      </c>
      <c r="O207" s="333">
        <v>3892</v>
      </c>
      <c r="P207" s="330">
        <v>108.29</v>
      </c>
      <c r="Q207" s="330">
        <v>90.59</v>
      </c>
      <c r="R207" s="330">
        <v>36.49</v>
      </c>
      <c r="S207" s="330">
        <v>136.68</v>
      </c>
      <c r="T207" s="330">
        <v>572</v>
      </c>
      <c r="U207" s="330">
        <v>128.5</v>
      </c>
      <c r="V207" s="330">
        <v>768</v>
      </c>
      <c r="W207" s="330">
        <v>171.72</v>
      </c>
      <c r="X207" s="330">
        <v>270</v>
      </c>
      <c r="Y207" s="330">
        <v>41</v>
      </c>
      <c r="Z207" s="330">
        <v>2</v>
      </c>
      <c r="AA207" s="330">
        <v>8</v>
      </c>
      <c r="AB207" s="330">
        <v>18</v>
      </c>
      <c r="AC207" s="330">
        <v>19</v>
      </c>
      <c r="AD207" s="334">
        <v>4863</v>
      </c>
      <c r="AE207" s="334">
        <v>19</v>
      </c>
      <c r="AF207" s="334">
        <v>7</v>
      </c>
      <c r="AG207" s="334">
        <v>26</v>
      </c>
    </row>
    <row r="208" spans="1:33" x14ac:dyDescent="0.25">
      <c r="A208" s="329" t="s">
        <v>470</v>
      </c>
      <c r="B208" s="335" t="s">
        <v>471</v>
      </c>
      <c r="C208" s="331">
        <v>10124</v>
      </c>
      <c r="D208" s="331">
        <v>0</v>
      </c>
      <c r="E208" s="331">
        <v>443</v>
      </c>
      <c r="F208" s="331">
        <v>968</v>
      </c>
      <c r="G208" s="331">
        <v>324</v>
      </c>
      <c r="H208" s="331">
        <v>11859</v>
      </c>
      <c r="I208" s="330">
        <v>11535</v>
      </c>
      <c r="J208" s="330">
        <v>10</v>
      </c>
      <c r="K208" s="332">
        <v>79.05</v>
      </c>
      <c r="L208" s="332">
        <v>78.180000000000007</v>
      </c>
      <c r="M208" s="332">
        <v>6.52</v>
      </c>
      <c r="N208" s="332">
        <v>82.25</v>
      </c>
      <c r="O208" s="333">
        <v>9263</v>
      </c>
      <c r="P208" s="330">
        <v>80.64</v>
      </c>
      <c r="Q208" s="330">
        <v>71.319999999999993</v>
      </c>
      <c r="R208" s="330">
        <v>44.02</v>
      </c>
      <c r="S208" s="330">
        <v>123.1</v>
      </c>
      <c r="T208" s="330">
        <v>1351</v>
      </c>
      <c r="U208" s="330">
        <v>100.31</v>
      </c>
      <c r="V208" s="330">
        <v>827</v>
      </c>
      <c r="W208" s="330">
        <v>0</v>
      </c>
      <c r="X208" s="330">
        <v>0</v>
      </c>
      <c r="Y208" s="330">
        <v>3</v>
      </c>
      <c r="Z208" s="330">
        <v>35</v>
      </c>
      <c r="AA208" s="330">
        <v>15</v>
      </c>
      <c r="AB208" s="330">
        <v>3</v>
      </c>
      <c r="AC208" s="330">
        <v>4</v>
      </c>
      <c r="AD208" s="334">
        <v>10101</v>
      </c>
      <c r="AE208" s="334">
        <v>52</v>
      </c>
      <c r="AF208" s="334">
        <v>51</v>
      </c>
      <c r="AG208" s="334">
        <v>103</v>
      </c>
    </row>
    <row r="209" spans="1:33" x14ac:dyDescent="0.25">
      <c r="A209" s="329" t="s">
        <v>472</v>
      </c>
      <c r="B209" s="335" t="s">
        <v>473</v>
      </c>
      <c r="C209" s="331">
        <v>3781</v>
      </c>
      <c r="D209" s="331">
        <v>0</v>
      </c>
      <c r="E209" s="331">
        <v>338</v>
      </c>
      <c r="F209" s="331">
        <v>362</v>
      </c>
      <c r="G209" s="331">
        <v>887</v>
      </c>
      <c r="H209" s="331">
        <v>5368</v>
      </c>
      <c r="I209" s="330">
        <v>4481</v>
      </c>
      <c r="J209" s="330">
        <v>11</v>
      </c>
      <c r="K209" s="332">
        <v>117.81</v>
      </c>
      <c r="L209" s="332">
        <v>115.16</v>
      </c>
      <c r="M209" s="332">
        <v>9.44</v>
      </c>
      <c r="N209" s="332">
        <v>126.69</v>
      </c>
      <c r="O209" s="333">
        <v>2968</v>
      </c>
      <c r="P209" s="330">
        <v>113.39</v>
      </c>
      <c r="Q209" s="330">
        <v>101.98</v>
      </c>
      <c r="R209" s="330">
        <v>74.72</v>
      </c>
      <c r="S209" s="330">
        <v>183.7</v>
      </c>
      <c r="T209" s="330">
        <v>560</v>
      </c>
      <c r="U209" s="330">
        <v>158.88999999999999</v>
      </c>
      <c r="V209" s="330">
        <v>391</v>
      </c>
      <c r="W209" s="330">
        <v>148.37</v>
      </c>
      <c r="X209" s="330">
        <v>33</v>
      </c>
      <c r="Y209" s="330">
        <v>0</v>
      </c>
      <c r="Z209" s="330">
        <v>7</v>
      </c>
      <c r="AA209" s="330">
        <v>7</v>
      </c>
      <c r="AB209" s="330">
        <v>20</v>
      </c>
      <c r="AC209" s="330">
        <v>35</v>
      </c>
      <c r="AD209" s="334">
        <v>3610</v>
      </c>
      <c r="AE209" s="334">
        <v>3</v>
      </c>
      <c r="AF209" s="334">
        <v>4</v>
      </c>
      <c r="AG209" s="334">
        <v>7</v>
      </c>
    </row>
    <row r="210" spans="1:33" x14ac:dyDescent="0.25">
      <c r="A210" s="329" t="s">
        <v>474</v>
      </c>
      <c r="B210" s="335" t="s">
        <v>475</v>
      </c>
      <c r="C210" s="331">
        <v>3459</v>
      </c>
      <c r="D210" s="331">
        <v>0</v>
      </c>
      <c r="E210" s="331">
        <v>353</v>
      </c>
      <c r="F210" s="331">
        <v>1095</v>
      </c>
      <c r="G210" s="331">
        <v>589</v>
      </c>
      <c r="H210" s="331">
        <v>5496</v>
      </c>
      <c r="I210" s="330">
        <v>4907</v>
      </c>
      <c r="J210" s="330">
        <v>22</v>
      </c>
      <c r="K210" s="332">
        <v>130.44</v>
      </c>
      <c r="L210" s="332">
        <v>124.22</v>
      </c>
      <c r="M210" s="332">
        <v>11.01</v>
      </c>
      <c r="N210" s="332">
        <v>135.91999999999999</v>
      </c>
      <c r="O210" s="333">
        <v>2942</v>
      </c>
      <c r="P210" s="330">
        <v>104.78</v>
      </c>
      <c r="Q210" s="330">
        <v>101.5</v>
      </c>
      <c r="R210" s="330">
        <v>48.4</v>
      </c>
      <c r="S210" s="330">
        <v>145.63999999999999</v>
      </c>
      <c r="T210" s="330">
        <v>1264</v>
      </c>
      <c r="U210" s="330">
        <v>168.92</v>
      </c>
      <c r="V210" s="330">
        <v>235</v>
      </c>
      <c r="W210" s="330">
        <v>135.16999999999999</v>
      </c>
      <c r="X210" s="330">
        <v>53</v>
      </c>
      <c r="Y210" s="330">
        <v>0</v>
      </c>
      <c r="Z210" s="330">
        <v>0</v>
      </c>
      <c r="AA210" s="330">
        <v>0</v>
      </c>
      <c r="AB210" s="330">
        <v>72</v>
      </c>
      <c r="AC210" s="330">
        <v>16</v>
      </c>
      <c r="AD210" s="334">
        <v>3337</v>
      </c>
      <c r="AE210" s="334">
        <v>5</v>
      </c>
      <c r="AF210" s="334">
        <v>1</v>
      </c>
      <c r="AG210" s="334">
        <v>6</v>
      </c>
    </row>
    <row r="211" spans="1:33" x14ac:dyDescent="0.25">
      <c r="A211" s="329" t="s">
        <v>476</v>
      </c>
      <c r="B211" s="335" t="s">
        <v>477</v>
      </c>
      <c r="C211" s="331">
        <v>11360</v>
      </c>
      <c r="D211" s="331">
        <v>0</v>
      </c>
      <c r="E211" s="331">
        <v>173</v>
      </c>
      <c r="F211" s="331">
        <v>630</v>
      </c>
      <c r="G211" s="331">
        <v>247</v>
      </c>
      <c r="H211" s="331">
        <v>12410</v>
      </c>
      <c r="I211" s="330">
        <v>12163</v>
      </c>
      <c r="J211" s="330">
        <v>11</v>
      </c>
      <c r="K211" s="332">
        <v>87.47</v>
      </c>
      <c r="L211" s="332">
        <v>87.82</v>
      </c>
      <c r="M211" s="332">
        <v>5.71</v>
      </c>
      <c r="N211" s="332">
        <v>90.37</v>
      </c>
      <c r="O211" s="333">
        <v>10937</v>
      </c>
      <c r="P211" s="330">
        <v>84.31</v>
      </c>
      <c r="Q211" s="330">
        <v>79.31</v>
      </c>
      <c r="R211" s="330">
        <v>47.51</v>
      </c>
      <c r="S211" s="330">
        <v>130.19999999999999</v>
      </c>
      <c r="T211" s="330">
        <v>645</v>
      </c>
      <c r="U211" s="330">
        <v>106.28</v>
      </c>
      <c r="V211" s="330">
        <v>237</v>
      </c>
      <c r="W211" s="330">
        <v>146.21</v>
      </c>
      <c r="X211" s="330">
        <v>127</v>
      </c>
      <c r="Y211" s="330">
        <v>0</v>
      </c>
      <c r="Z211" s="330">
        <v>34</v>
      </c>
      <c r="AA211" s="330">
        <v>7</v>
      </c>
      <c r="AB211" s="330">
        <v>14</v>
      </c>
      <c r="AC211" s="330">
        <v>4</v>
      </c>
      <c r="AD211" s="334">
        <v>11360</v>
      </c>
      <c r="AE211" s="334">
        <v>72</v>
      </c>
      <c r="AF211" s="334">
        <v>87</v>
      </c>
      <c r="AG211" s="334">
        <v>159</v>
      </c>
    </row>
    <row r="212" spans="1:33" x14ac:dyDescent="0.25">
      <c r="A212" s="329" t="s">
        <v>478</v>
      </c>
      <c r="B212" s="335" t="s">
        <v>479</v>
      </c>
      <c r="C212" s="331">
        <v>1752</v>
      </c>
      <c r="D212" s="331">
        <v>0</v>
      </c>
      <c r="E212" s="331">
        <v>162</v>
      </c>
      <c r="F212" s="331">
        <v>179</v>
      </c>
      <c r="G212" s="331">
        <v>139</v>
      </c>
      <c r="H212" s="331">
        <v>2232</v>
      </c>
      <c r="I212" s="330">
        <v>2093</v>
      </c>
      <c r="J212" s="330">
        <v>0</v>
      </c>
      <c r="K212" s="332">
        <v>88.06</v>
      </c>
      <c r="L212" s="332">
        <v>80.459999999999994</v>
      </c>
      <c r="M212" s="332">
        <v>4.7</v>
      </c>
      <c r="N212" s="332">
        <v>92.07</v>
      </c>
      <c r="O212" s="333">
        <v>1320</v>
      </c>
      <c r="P212" s="330">
        <v>100.6</v>
      </c>
      <c r="Q212" s="330">
        <v>68.459999999999994</v>
      </c>
      <c r="R212" s="330">
        <v>50.49</v>
      </c>
      <c r="S212" s="330">
        <v>147.11000000000001</v>
      </c>
      <c r="T212" s="330">
        <v>241</v>
      </c>
      <c r="U212" s="330">
        <v>111.3</v>
      </c>
      <c r="V212" s="330">
        <v>198</v>
      </c>
      <c r="W212" s="330">
        <v>186.05</v>
      </c>
      <c r="X212" s="330">
        <v>43</v>
      </c>
      <c r="Y212" s="330">
        <v>0</v>
      </c>
      <c r="Z212" s="330">
        <v>0</v>
      </c>
      <c r="AA212" s="330">
        <v>5</v>
      </c>
      <c r="AB212" s="330">
        <v>0</v>
      </c>
      <c r="AC212" s="330">
        <v>7</v>
      </c>
      <c r="AD212" s="334">
        <v>1587</v>
      </c>
      <c r="AE212" s="334">
        <v>11</v>
      </c>
      <c r="AF212" s="334">
        <v>2</v>
      </c>
      <c r="AG212" s="334">
        <v>13</v>
      </c>
    </row>
    <row r="213" spans="1:33" x14ac:dyDescent="0.25">
      <c r="A213" s="329" t="s">
        <v>480</v>
      </c>
      <c r="B213" s="335" t="s">
        <v>481</v>
      </c>
      <c r="C213" s="331">
        <v>6099</v>
      </c>
      <c r="D213" s="331">
        <v>0</v>
      </c>
      <c r="E213" s="331">
        <v>319</v>
      </c>
      <c r="F213" s="331">
        <v>625</v>
      </c>
      <c r="G213" s="331">
        <v>817</v>
      </c>
      <c r="H213" s="331">
        <v>7860</v>
      </c>
      <c r="I213" s="330">
        <v>7043</v>
      </c>
      <c r="J213" s="330">
        <v>2</v>
      </c>
      <c r="K213" s="332">
        <v>118.58</v>
      </c>
      <c r="L213" s="332">
        <v>118.9</v>
      </c>
      <c r="M213" s="332">
        <v>4.76</v>
      </c>
      <c r="N213" s="332">
        <v>123.12</v>
      </c>
      <c r="O213" s="333">
        <v>5129</v>
      </c>
      <c r="P213" s="330">
        <v>108.7</v>
      </c>
      <c r="Q213" s="330">
        <v>98.32</v>
      </c>
      <c r="R213" s="330">
        <v>26.94</v>
      </c>
      <c r="S213" s="330">
        <v>133.66999999999999</v>
      </c>
      <c r="T213" s="330">
        <v>670</v>
      </c>
      <c r="U213" s="330">
        <v>147.43</v>
      </c>
      <c r="V213" s="330">
        <v>884</v>
      </c>
      <c r="W213" s="330">
        <v>216.65</v>
      </c>
      <c r="X213" s="330">
        <v>63</v>
      </c>
      <c r="Y213" s="330">
        <v>0</v>
      </c>
      <c r="Z213" s="330">
        <v>15</v>
      </c>
      <c r="AA213" s="330">
        <v>7</v>
      </c>
      <c r="AB213" s="330">
        <v>57</v>
      </c>
      <c r="AC213" s="330">
        <v>27</v>
      </c>
      <c r="AD213" s="334">
        <v>6099</v>
      </c>
      <c r="AE213" s="334">
        <v>26</v>
      </c>
      <c r="AF213" s="334">
        <v>17</v>
      </c>
      <c r="AG213" s="334">
        <v>43</v>
      </c>
    </row>
    <row r="214" spans="1:33" x14ac:dyDescent="0.25">
      <c r="A214" s="329" t="s">
        <v>482</v>
      </c>
      <c r="B214" s="335" t="s">
        <v>483</v>
      </c>
      <c r="C214" s="331">
        <v>1253</v>
      </c>
      <c r="D214" s="331">
        <v>0</v>
      </c>
      <c r="E214" s="331">
        <v>94</v>
      </c>
      <c r="F214" s="331">
        <v>743</v>
      </c>
      <c r="G214" s="331">
        <v>253</v>
      </c>
      <c r="H214" s="331">
        <v>2343</v>
      </c>
      <c r="I214" s="330">
        <v>2090</v>
      </c>
      <c r="J214" s="330">
        <v>3</v>
      </c>
      <c r="K214" s="332">
        <v>85.43</v>
      </c>
      <c r="L214" s="332">
        <v>84.76</v>
      </c>
      <c r="M214" s="332">
        <v>2.98</v>
      </c>
      <c r="N214" s="332">
        <v>87.5</v>
      </c>
      <c r="O214" s="333">
        <v>946</v>
      </c>
      <c r="P214" s="330">
        <v>73.790000000000006</v>
      </c>
      <c r="Q214" s="330">
        <v>70.44</v>
      </c>
      <c r="R214" s="330">
        <v>16.96</v>
      </c>
      <c r="S214" s="330">
        <v>90.38</v>
      </c>
      <c r="T214" s="330">
        <v>782</v>
      </c>
      <c r="U214" s="330">
        <v>105.08</v>
      </c>
      <c r="V214" s="330">
        <v>289</v>
      </c>
      <c r="W214" s="330">
        <v>123.54</v>
      </c>
      <c r="X214" s="330">
        <v>18</v>
      </c>
      <c r="Y214" s="330">
        <v>0</v>
      </c>
      <c r="Z214" s="330">
        <v>3</v>
      </c>
      <c r="AA214" s="330">
        <v>0</v>
      </c>
      <c r="AB214" s="330">
        <v>24</v>
      </c>
      <c r="AC214" s="330">
        <v>8</v>
      </c>
      <c r="AD214" s="334">
        <v>1242</v>
      </c>
      <c r="AE214" s="334">
        <v>1</v>
      </c>
      <c r="AF214" s="334">
        <v>3</v>
      </c>
      <c r="AG214" s="334">
        <v>4</v>
      </c>
    </row>
    <row r="215" spans="1:33" x14ac:dyDescent="0.25">
      <c r="A215" s="329" t="s">
        <v>484</v>
      </c>
      <c r="B215" s="335" t="s">
        <v>485</v>
      </c>
      <c r="C215" s="331">
        <v>8794</v>
      </c>
      <c r="D215" s="331">
        <v>9</v>
      </c>
      <c r="E215" s="331">
        <v>309</v>
      </c>
      <c r="F215" s="331">
        <v>824</v>
      </c>
      <c r="G215" s="331">
        <v>476</v>
      </c>
      <c r="H215" s="331">
        <v>10412</v>
      </c>
      <c r="I215" s="330">
        <v>9936</v>
      </c>
      <c r="J215" s="330">
        <v>17</v>
      </c>
      <c r="K215" s="332">
        <v>122.77</v>
      </c>
      <c r="L215" s="332">
        <v>135.51</v>
      </c>
      <c r="M215" s="332">
        <v>9.67</v>
      </c>
      <c r="N215" s="332">
        <v>129.53</v>
      </c>
      <c r="O215" s="333">
        <v>7873</v>
      </c>
      <c r="P215" s="330">
        <v>118.32</v>
      </c>
      <c r="Q215" s="330">
        <v>116.56</v>
      </c>
      <c r="R215" s="330">
        <v>28.6</v>
      </c>
      <c r="S215" s="330">
        <v>145</v>
      </c>
      <c r="T215" s="330">
        <v>1073</v>
      </c>
      <c r="U215" s="330">
        <v>198.76</v>
      </c>
      <c r="V215" s="330">
        <v>758</v>
      </c>
      <c r="W215" s="330">
        <v>205.61</v>
      </c>
      <c r="X215" s="330">
        <v>11</v>
      </c>
      <c r="Y215" s="330">
        <v>1</v>
      </c>
      <c r="Z215" s="330">
        <v>5</v>
      </c>
      <c r="AA215" s="330">
        <v>12</v>
      </c>
      <c r="AB215" s="330">
        <v>1</v>
      </c>
      <c r="AC215" s="330">
        <v>12</v>
      </c>
      <c r="AD215" s="334">
        <v>8709</v>
      </c>
      <c r="AE215" s="334">
        <v>25</v>
      </c>
      <c r="AF215" s="334">
        <v>31</v>
      </c>
      <c r="AG215" s="334">
        <v>56</v>
      </c>
    </row>
    <row r="216" spans="1:33" x14ac:dyDescent="0.25">
      <c r="A216" s="329" t="s">
        <v>486</v>
      </c>
      <c r="B216" s="335" t="s">
        <v>487</v>
      </c>
      <c r="C216" s="331">
        <v>704</v>
      </c>
      <c r="D216" s="331">
        <v>0</v>
      </c>
      <c r="E216" s="331">
        <v>120</v>
      </c>
      <c r="F216" s="331">
        <v>96</v>
      </c>
      <c r="G216" s="331">
        <v>50</v>
      </c>
      <c r="H216" s="331">
        <v>970</v>
      </c>
      <c r="I216" s="330">
        <v>920</v>
      </c>
      <c r="J216" s="330">
        <v>1</v>
      </c>
      <c r="K216" s="332">
        <v>91.71</v>
      </c>
      <c r="L216" s="332">
        <v>90.42</v>
      </c>
      <c r="M216" s="332">
        <v>4.78</v>
      </c>
      <c r="N216" s="332">
        <v>95.34</v>
      </c>
      <c r="O216" s="333">
        <v>534</v>
      </c>
      <c r="P216" s="330">
        <v>110.96</v>
      </c>
      <c r="Q216" s="330">
        <v>109.96</v>
      </c>
      <c r="R216" s="330">
        <v>132.24</v>
      </c>
      <c r="S216" s="330">
        <v>243.2</v>
      </c>
      <c r="T216" s="330">
        <v>147</v>
      </c>
      <c r="U216" s="330">
        <v>107.34</v>
      </c>
      <c r="V216" s="330">
        <v>130</v>
      </c>
      <c r="W216" s="330">
        <v>174.19</v>
      </c>
      <c r="X216" s="330">
        <v>59</v>
      </c>
      <c r="Y216" s="330">
        <v>0</v>
      </c>
      <c r="Z216" s="330">
        <v>3</v>
      </c>
      <c r="AA216" s="330">
        <v>0</v>
      </c>
      <c r="AB216" s="330">
        <v>1</v>
      </c>
      <c r="AC216" s="330">
        <v>1</v>
      </c>
      <c r="AD216" s="334">
        <v>704</v>
      </c>
      <c r="AE216" s="334">
        <v>9</v>
      </c>
      <c r="AF216" s="334">
        <v>2</v>
      </c>
      <c r="AG216" s="334">
        <v>11</v>
      </c>
    </row>
    <row r="217" spans="1:33" x14ac:dyDescent="0.25">
      <c r="A217" s="329" t="s">
        <v>488</v>
      </c>
      <c r="B217" s="335" t="s">
        <v>489</v>
      </c>
      <c r="C217" s="331">
        <v>18283</v>
      </c>
      <c r="D217" s="331">
        <v>0</v>
      </c>
      <c r="E217" s="331">
        <v>548</v>
      </c>
      <c r="F217" s="331">
        <v>2046</v>
      </c>
      <c r="G217" s="331">
        <v>208</v>
      </c>
      <c r="H217" s="331">
        <v>21085</v>
      </c>
      <c r="I217" s="330">
        <v>20877</v>
      </c>
      <c r="J217" s="330">
        <v>19</v>
      </c>
      <c r="K217" s="332">
        <v>76.209999999999994</v>
      </c>
      <c r="L217" s="332">
        <v>76.19</v>
      </c>
      <c r="M217" s="332">
        <v>4.33</v>
      </c>
      <c r="N217" s="332">
        <v>80.05</v>
      </c>
      <c r="O217" s="333">
        <v>16440</v>
      </c>
      <c r="P217" s="330">
        <v>75.3</v>
      </c>
      <c r="Q217" s="330">
        <v>71.63</v>
      </c>
      <c r="R217" s="330">
        <v>36.909999999999997</v>
      </c>
      <c r="S217" s="330">
        <v>110.62</v>
      </c>
      <c r="T217" s="330">
        <v>2442</v>
      </c>
      <c r="U217" s="330">
        <v>91.68</v>
      </c>
      <c r="V217" s="330">
        <v>1666</v>
      </c>
      <c r="W217" s="330">
        <v>0</v>
      </c>
      <c r="X217" s="330">
        <v>0</v>
      </c>
      <c r="Y217" s="330">
        <v>10</v>
      </c>
      <c r="Z217" s="330">
        <v>147</v>
      </c>
      <c r="AA217" s="330">
        <v>15</v>
      </c>
      <c r="AB217" s="330">
        <v>0</v>
      </c>
      <c r="AC217" s="330">
        <v>3</v>
      </c>
      <c r="AD217" s="334">
        <v>18161</v>
      </c>
      <c r="AE217" s="334">
        <v>196</v>
      </c>
      <c r="AF217" s="334">
        <v>121</v>
      </c>
      <c r="AG217" s="334">
        <v>317</v>
      </c>
    </row>
    <row r="218" spans="1:33" x14ac:dyDescent="0.25">
      <c r="A218" s="329" t="s">
        <v>490</v>
      </c>
      <c r="B218" s="335" t="s">
        <v>491</v>
      </c>
      <c r="C218" s="331">
        <v>2133</v>
      </c>
      <c r="D218" s="331">
        <v>0</v>
      </c>
      <c r="E218" s="331">
        <v>52</v>
      </c>
      <c r="F218" s="331">
        <v>697</v>
      </c>
      <c r="G218" s="331">
        <v>102</v>
      </c>
      <c r="H218" s="331">
        <v>2984</v>
      </c>
      <c r="I218" s="330">
        <v>2882</v>
      </c>
      <c r="J218" s="330">
        <v>8</v>
      </c>
      <c r="K218" s="332">
        <v>100.12</v>
      </c>
      <c r="L218" s="332">
        <v>100.47</v>
      </c>
      <c r="M218" s="332">
        <v>7.68</v>
      </c>
      <c r="N218" s="332">
        <v>103.8</v>
      </c>
      <c r="O218" s="333">
        <v>1767</v>
      </c>
      <c r="P218" s="330">
        <v>87.38</v>
      </c>
      <c r="Q218" s="330">
        <v>87.68</v>
      </c>
      <c r="R218" s="330">
        <v>40.549999999999997</v>
      </c>
      <c r="S218" s="330">
        <v>127.61</v>
      </c>
      <c r="T218" s="330">
        <v>745</v>
      </c>
      <c r="U218" s="330">
        <v>139.41999999999999</v>
      </c>
      <c r="V218" s="330">
        <v>372</v>
      </c>
      <c r="W218" s="330">
        <v>0</v>
      </c>
      <c r="X218" s="330">
        <v>0</v>
      </c>
      <c r="Y218" s="330">
        <v>0</v>
      </c>
      <c r="Z218" s="330">
        <v>5</v>
      </c>
      <c r="AA218" s="330">
        <v>1</v>
      </c>
      <c r="AB218" s="330">
        <v>12</v>
      </c>
      <c r="AC218" s="330">
        <v>0</v>
      </c>
      <c r="AD218" s="334">
        <v>2133</v>
      </c>
      <c r="AE218" s="334">
        <v>3</v>
      </c>
      <c r="AF218" s="334">
        <v>7</v>
      </c>
      <c r="AG218" s="334">
        <v>10</v>
      </c>
    </row>
    <row r="219" spans="1:33" x14ac:dyDescent="0.25">
      <c r="A219" s="329" t="s">
        <v>492</v>
      </c>
      <c r="B219" s="335" t="s">
        <v>493</v>
      </c>
      <c r="C219" s="331">
        <v>4226</v>
      </c>
      <c r="D219" s="331">
        <v>0</v>
      </c>
      <c r="E219" s="331">
        <v>74</v>
      </c>
      <c r="F219" s="331">
        <v>358</v>
      </c>
      <c r="G219" s="331">
        <v>48</v>
      </c>
      <c r="H219" s="331">
        <v>4706</v>
      </c>
      <c r="I219" s="330">
        <v>4658</v>
      </c>
      <c r="J219" s="330">
        <v>0</v>
      </c>
      <c r="K219" s="332">
        <v>74.17</v>
      </c>
      <c r="L219" s="332">
        <v>71.84</v>
      </c>
      <c r="M219" s="332">
        <v>4.53</v>
      </c>
      <c r="N219" s="332">
        <v>74.67</v>
      </c>
      <c r="O219" s="333">
        <v>3768</v>
      </c>
      <c r="P219" s="330">
        <v>85.36</v>
      </c>
      <c r="Q219" s="330">
        <v>81.66</v>
      </c>
      <c r="R219" s="330">
        <v>36.03</v>
      </c>
      <c r="S219" s="330">
        <v>119.55</v>
      </c>
      <c r="T219" s="330">
        <v>392</v>
      </c>
      <c r="U219" s="330">
        <v>91.47</v>
      </c>
      <c r="V219" s="330">
        <v>452</v>
      </c>
      <c r="W219" s="330">
        <v>0</v>
      </c>
      <c r="X219" s="330">
        <v>0</v>
      </c>
      <c r="Y219" s="330">
        <v>1</v>
      </c>
      <c r="Z219" s="330">
        <v>25</v>
      </c>
      <c r="AA219" s="330">
        <v>2</v>
      </c>
      <c r="AB219" s="330">
        <v>8</v>
      </c>
      <c r="AC219" s="330">
        <v>0</v>
      </c>
      <c r="AD219" s="334">
        <v>4225</v>
      </c>
      <c r="AE219" s="334">
        <v>19</v>
      </c>
      <c r="AF219" s="334">
        <v>15</v>
      </c>
      <c r="AG219" s="334">
        <v>34</v>
      </c>
    </row>
    <row r="220" spans="1:33" x14ac:dyDescent="0.25">
      <c r="A220" s="329" t="s">
        <v>494</v>
      </c>
      <c r="B220" s="335" t="s">
        <v>495</v>
      </c>
      <c r="C220" s="331">
        <v>3665</v>
      </c>
      <c r="D220" s="331">
        <v>0</v>
      </c>
      <c r="E220" s="331">
        <v>64</v>
      </c>
      <c r="F220" s="331">
        <v>573</v>
      </c>
      <c r="G220" s="331">
        <v>205</v>
      </c>
      <c r="H220" s="331">
        <v>4507</v>
      </c>
      <c r="I220" s="330">
        <v>4302</v>
      </c>
      <c r="J220" s="330">
        <v>13</v>
      </c>
      <c r="K220" s="332">
        <v>96.41</v>
      </c>
      <c r="L220" s="332">
        <v>95.97</v>
      </c>
      <c r="M220" s="332">
        <v>3.37</v>
      </c>
      <c r="N220" s="332">
        <v>99.24</v>
      </c>
      <c r="O220" s="333">
        <v>3220</v>
      </c>
      <c r="P220" s="330">
        <v>91.09</v>
      </c>
      <c r="Q220" s="330">
        <v>89.37</v>
      </c>
      <c r="R220" s="330">
        <v>38.56</v>
      </c>
      <c r="S220" s="330">
        <v>129.66</v>
      </c>
      <c r="T220" s="330">
        <v>543</v>
      </c>
      <c r="U220" s="330">
        <v>118.27</v>
      </c>
      <c r="V220" s="330">
        <v>442</v>
      </c>
      <c r="W220" s="330">
        <v>79.349999999999994</v>
      </c>
      <c r="X220" s="330">
        <v>6</v>
      </c>
      <c r="Y220" s="330">
        <v>0</v>
      </c>
      <c r="Z220" s="330">
        <v>3</v>
      </c>
      <c r="AA220" s="330">
        <v>0</v>
      </c>
      <c r="AB220" s="330">
        <v>24</v>
      </c>
      <c r="AC220" s="330">
        <v>11</v>
      </c>
      <c r="AD220" s="334">
        <v>3638</v>
      </c>
      <c r="AE220" s="334">
        <v>11</v>
      </c>
      <c r="AF220" s="334">
        <v>18</v>
      </c>
      <c r="AG220" s="334">
        <v>29</v>
      </c>
    </row>
    <row r="221" spans="1:33" x14ac:dyDescent="0.25">
      <c r="A221" s="329" t="s">
        <v>496</v>
      </c>
      <c r="B221" s="335" t="s">
        <v>497</v>
      </c>
      <c r="C221" s="331">
        <v>3427</v>
      </c>
      <c r="D221" s="331">
        <v>0</v>
      </c>
      <c r="E221" s="331">
        <v>390</v>
      </c>
      <c r="F221" s="331">
        <v>859</v>
      </c>
      <c r="G221" s="331">
        <v>309</v>
      </c>
      <c r="H221" s="331">
        <v>4985</v>
      </c>
      <c r="I221" s="330">
        <v>4676</v>
      </c>
      <c r="J221" s="330">
        <v>1</v>
      </c>
      <c r="K221" s="332">
        <v>81.3</v>
      </c>
      <c r="L221" s="332">
        <v>79.87</v>
      </c>
      <c r="M221" s="332">
        <v>7.66</v>
      </c>
      <c r="N221" s="332">
        <v>85</v>
      </c>
      <c r="O221" s="333">
        <v>2920</v>
      </c>
      <c r="P221" s="330">
        <v>84.97</v>
      </c>
      <c r="Q221" s="330">
        <v>75.97</v>
      </c>
      <c r="R221" s="330">
        <v>37.03</v>
      </c>
      <c r="S221" s="330">
        <v>118.25</v>
      </c>
      <c r="T221" s="330">
        <v>1223</v>
      </c>
      <c r="U221" s="330">
        <v>96.92</v>
      </c>
      <c r="V221" s="330">
        <v>389</v>
      </c>
      <c r="W221" s="330">
        <v>91.54</v>
      </c>
      <c r="X221" s="330">
        <v>10</v>
      </c>
      <c r="Y221" s="330">
        <v>1</v>
      </c>
      <c r="Z221" s="330">
        <v>0</v>
      </c>
      <c r="AA221" s="330">
        <v>25</v>
      </c>
      <c r="AB221" s="330">
        <v>12</v>
      </c>
      <c r="AC221" s="330">
        <v>12</v>
      </c>
      <c r="AD221" s="334">
        <v>3391</v>
      </c>
      <c r="AE221" s="334">
        <v>42</v>
      </c>
      <c r="AF221" s="334">
        <v>90</v>
      </c>
      <c r="AG221" s="334">
        <v>132</v>
      </c>
    </row>
    <row r="222" spans="1:33" x14ac:dyDescent="0.25">
      <c r="A222" s="329" t="s">
        <v>498</v>
      </c>
      <c r="B222" s="335" t="s">
        <v>499</v>
      </c>
      <c r="C222" s="331">
        <v>2252</v>
      </c>
      <c r="D222" s="331">
        <v>0</v>
      </c>
      <c r="E222" s="331">
        <v>44</v>
      </c>
      <c r="F222" s="331">
        <v>227</v>
      </c>
      <c r="G222" s="331">
        <v>469</v>
      </c>
      <c r="H222" s="331">
        <v>2992</v>
      </c>
      <c r="I222" s="330">
        <v>2523</v>
      </c>
      <c r="J222" s="330">
        <v>16</v>
      </c>
      <c r="K222" s="332">
        <v>99.66</v>
      </c>
      <c r="L222" s="332">
        <v>97.64</v>
      </c>
      <c r="M222" s="332">
        <v>5.67</v>
      </c>
      <c r="N222" s="332">
        <v>103.72</v>
      </c>
      <c r="O222" s="333">
        <v>2045</v>
      </c>
      <c r="P222" s="330">
        <v>84.78</v>
      </c>
      <c r="Q222" s="330">
        <v>85.21</v>
      </c>
      <c r="R222" s="330">
        <v>27.75</v>
      </c>
      <c r="S222" s="330">
        <v>110.52</v>
      </c>
      <c r="T222" s="330">
        <v>166</v>
      </c>
      <c r="U222" s="330">
        <v>112.61</v>
      </c>
      <c r="V222" s="330">
        <v>168</v>
      </c>
      <c r="W222" s="330">
        <v>187.85</v>
      </c>
      <c r="X222" s="330">
        <v>72</v>
      </c>
      <c r="Y222" s="330">
        <v>0</v>
      </c>
      <c r="Z222" s="330">
        <v>3</v>
      </c>
      <c r="AA222" s="330">
        <v>10</v>
      </c>
      <c r="AB222" s="330">
        <v>4</v>
      </c>
      <c r="AC222" s="330">
        <v>13</v>
      </c>
      <c r="AD222" s="334">
        <v>2215</v>
      </c>
      <c r="AE222" s="334">
        <v>10</v>
      </c>
      <c r="AF222" s="334">
        <v>11</v>
      </c>
      <c r="AG222" s="334">
        <v>21</v>
      </c>
    </row>
    <row r="223" spans="1:33" x14ac:dyDescent="0.25">
      <c r="A223" s="329" t="s">
        <v>500</v>
      </c>
      <c r="B223" s="335" t="s">
        <v>501</v>
      </c>
      <c r="C223" s="331">
        <v>1396</v>
      </c>
      <c r="D223" s="331">
        <v>378</v>
      </c>
      <c r="E223" s="331">
        <v>77</v>
      </c>
      <c r="F223" s="331">
        <v>239</v>
      </c>
      <c r="G223" s="331">
        <v>362</v>
      </c>
      <c r="H223" s="331">
        <v>2452</v>
      </c>
      <c r="I223" s="330">
        <v>2090</v>
      </c>
      <c r="J223" s="330">
        <v>11</v>
      </c>
      <c r="K223" s="332">
        <v>120.41</v>
      </c>
      <c r="L223" s="332">
        <v>115.37</v>
      </c>
      <c r="M223" s="332">
        <v>9.5</v>
      </c>
      <c r="N223" s="332">
        <v>128.47</v>
      </c>
      <c r="O223" s="333">
        <v>928</v>
      </c>
      <c r="P223" s="330">
        <v>118.15</v>
      </c>
      <c r="Q223" s="330">
        <v>107.82</v>
      </c>
      <c r="R223" s="330">
        <v>22.6</v>
      </c>
      <c r="S223" s="330">
        <v>139.12</v>
      </c>
      <c r="T223" s="330">
        <v>276</v>
      </c>
      <c r="U223" s="330">
        <v>196.78</v>
      </c>
      <c r="V223" s="330">
        <v>202</v>
      </c>
      <c r="W223" s="330">
        <v>137.07</v>
      </c>
      <c r="X223" s="330">
        <v>33</v>
      </c>
      <c r="Y223" s="330">
        <v>0</v>
      </c>
      <c r="Z223" s="330">
        <v>0</v>
      </c>
      <c r="AA223" s="330">
        <v>33</v>
      </c>
      <c r="AB223" s="330">
        <v>35</v>
      </c>
      <c r="AC223" s="330">
        <v>3</v>
      </c>
      <c r="AD223" s="334">
        <v>1336</v>
      </c>
      <c r="AE223" s="334">
        <v>36</v>
      </c>
      <c r="AF223" s="334">
        <v>1</v>
      </c>
      <c r="AG223" s="334">
        <v>37</v>
      </c>
    </row>
    <row r="224" spans="1:33" x14ac:dyDescent="0.25">
      <c r="A224" s="329" t="s">
        <v>502</v>
      </c>
      <c r="B224" s="335" t="s">
        <v>503</v>
      </c>
      <c r="C224" s="331">
        <v>2731</v>
      </c>
      <c r="D224" s="331">
        <v>0</v>
      </c>
      <c r="E224" s="331">
        <v>93</v>
      </c>
      <c r="F224" s="331">
        <v>1394</v>
      </c>
      <c r="G224" s="331">
        <v>324</v>
      </c>
      <c r="H224" s="331">
        <v>4542</v>
      </c>
      <c r="I224" s="330">
        <v>4218</v>
      </c>
      <c r="J224" s="330">
        <v>44</v>
      </c>
      <c r="K224" s="332">
        <v>95.24</v>
      </c>
      <c r="L224" s="332">
        <v>98.81</v>
      </c>
      <c r="M224" s="332">
        <v>4</v>
      </c>
      <c r="N224" s="332">
        <v>96.78</v>
      </c>
      <c r="O224" s="333">
        <v>2576</v>
      </c>
      <c r="P224" s="330">
        <v>93.12</v>
      </c>
      <c r="Q224" s="330">
        <v>92.79</v>
      </c>
      <c r="R224" s="330">
        <v>15.24</v>
      </c>
      <c r="S224" s="330">
        <v>105.42</v>
      </c>
      <c r="T224" s="330">
        <v>1470</v>
      </c>
      <c r="U224" s="330">
        <v>106.89</v>
      </c>
      <c r="V224" s="330">
        <v>149</v>
      </c>
      <c r="W224" s="330">
        <v>154.51</v>
      </c>
      <c r="X224" s="330">
        <v>5</v>
      </c>
      <c r="Y224" s="330">
        <v>0</v>
      </c>
      <c r="Z224" s="330">
        <v>13</v>
      </c>
      <c r="AA224" s="330">
        <v>0</v>
      </c>
      <c r="AB224" s="330">
        <v>35</v>
      </c>
      <c r="AC224" s="330">
        <v>12</v>
      </c>
      <c r="AD224" s="334">
        <v>2721</v>
      </c>
      <c r="AE224" s="334">
        <v>5</v>
      </c>
      <c r="AF224" s="334">
        <v>10</v>
      </c>
      <c r="AG224" s="334">
        <v>15</v>
      </c>
    </row>
    <row r="225" spans="1:33" x14ac:dyDescent="0.25">
      <c r="A225" s="329" t="s">
        <v>504</v>
      </c>
      <c r="B225" s="335" t="s">
        <v>505</v>
      </c>
      <c r="C225" s="331">
        <v>5503</v>
      </c>
      <c r="D225" s="331">
        <v>6</v>
      </c>
      <c r="E225" s="331">
        <v>185</v>
      </c>
      <c r="F225" s="331">
        <v>722</v>
      </c>
      <c r="G225" s="331">
        <v>597</v>
      </c>
      <c r="H225" s="331">
        <v>7013</v>
      </c>
      <c r="I225" s="330">
        <v>6416</v>
      </c>
      <c r="J225" s="330">
        <v>61</v>
      </c>
      <c r="K225" s="332">
        <v>111.6</v>
      </c>
      <c r="L225" s="332">
        <v>111.08</v>
      </c>
      <c r="M225" s="332">
        <v>8.44</v>
      </c>
      <c r="N225" s="332">
        <v>116.46</v>
      </c>
      <c r="O225" s="333">
        <v>4474</v>
      </c>
      <c r="P225" s="330">
        <v>96.04</v>
      </c>
      <c r="Q225" s="330">
        <v>93.29</v>
      </c>
      <c r="R225" s="330">
        <v>42.92</v>
      </c>
      <c r="S225" s="330">
        <v>137.41</v>
      </c>
      <c r="T225" s="330">
        <v>884</v>
      </c>
      <c r="U225" s="330">
        <v>152.63999999999999</v>
      </c>
      <c r="V225" s="330">
        <v>881</v>
      </c>
      <c r="W225" s="330">
        <v>134.38999999999999</v>
      </c>
      <c r="X225" s="330">
        <v>14</v>
      </c>
      <c r="Y225" s="330">
        <v>0</v>
      </c>
      <c r="Z225" s="330">
        <v>4</v>
      </c>
      <c r="AA225" s="330">
        <v>0</v>
      </c>
      <c r="AB225" s="330">
        <v>47</v>
      </c>
      <c r="AC225" s="330">
        <v>19</v>
      </c>
      <c r="AD225" s="334">
        <v>5389</v>
      </c>
      <c r="AE225" s="334">
        <v>62</v>
      </c>
      <c r="AF225" s="334">
        <v>104</v>
      </c>
      <c r="AG225" s="334">
        <v>166</v>
      </c>
    </row>
    <row r="226" spans="1:33" x14ac:dyDescent="0.25">
      <c r="A226" s="329" t="s">
        <v>506</v>
      </c>
      <c r="B226" s="335" t="s">
        <v>507</v>
      </c>
      <c r="C226" s="331">
        <v>1482</v>
      </c>
      <c r="D226" s="331">
        <v>0</v>
      </c>
      <c r="E226" s="331">
        <v>32</v>
      </c>
      <c r="F226" s="331">
        <v>287</v>
      </c>
      <c r="G226" s="331">
        <v>159</v>
      </c>
      <c r="H226" s="331">
        <v>1960</v>
      </c>
      <c r="I226" s="330">
        <v>1801</v>
      </c>
      <c r="J226" s="330">
        <v>5</v>
      </c>
      <c r="K226" s="332">
        <v>89.74</v>
      </c>
      <c r="L226" s="332">
        <v>89.16</v>
      </c>
      <c r="M226" s="332">
        <v>5.3</v>
      </c>
      <c r="N226" s="332">
        <v>91.73</v>
      </c>
      <c r="O226" s="333">
        <v>1282</v>
      </c>
      <c r="P226" s="330">
        <v>85.7</v>
      </c>
      <c r="Q226" s="330">
        <v>81.39</v>
      </c>
      <c r="R226" s="330">
        <v>28.55</v>
      </c>
      <c r="S226" s="330">
        <v>106.49</v>
      </c>
      <c r="T226" s="330">
        <v>217</v>
      </c>
      <c r="U226" s="330">
        <v>110.53</v>
      </c>
      <c r="V226" s="330">
        <v>168</v>
      </c>
      <c r="W226" s="330">
        <v>0</v>
      </c>
      <c r="X226" s="330">
        <v>0</v>
      </c>
      <c r="Y226" s="330">
        <v>0</v>
      </c>
      <c r="Z226" s="330">
        <v>2</v>
      </c>
      <c r="AA226" s="330">
        <v>0</v>
      </c>
      <c r="AB226" s="330">
        <v>2</v>
      </c>
      <c r="AC226" s="330">
        <v>6</v>
      </c>
      <c r="AD226" s="334">
        <v>1468</v>
      </c>
      <c r="AE226" s="334">
        <v>8</v>
      </c>
      <c r="AF226" s="334">
        <v>1</v>
      </c>
      <c r="AG226" s="334">
        <v>9</v>
      </c>
    </row>
    <row r="227" spans="1:33" x14ac:dyDescent="0.25">
      <c r="A227" s="329" t="s">
        <v>508</v>
      </c>
      <c r="B227" s="335" t="s">
        <v>509</v>
      </c>
      <c r="C227" s="331">
        <v>3033</v>
      </c>
      <c r="D227" s="331">
        <v>3</v>
      </c>
      <c r="E227" s="331">
        <v>45</v>
      </c>
      <c r="F227" s="331">
        <v>125</v>
      </c>
      <c r="G227" s="331">
        <v>32</v>
      </c>
      <c r="H227" s="331">
        <v>3238</v>
      </c>
      <c r="I227" s="330">
        <v>3206</v>
      </c>
      <c r="J227" s="330">
        <v>5</v>
      </c>
      <c r="K227" s="332">
        <v>90.16</v>
      </c>
      <c r="L227" s="332">
        <v>86.32</v>
      </c>
      <c r="M227" s="332">
        <v>5.82</v>
      </c>
      <c r="N227" s="332">
        <v>92.66</v>
      </c>
      <c r="O227" s="333">
        <v>2012</v>
      </c>
      <c r="P227" s="330">
        <v>80.83</v>
      </c>
      <c r="Q227" s="330">
        <v>72.36</v>
      </c>
      <c r="R227" s="330">
        <v>55.49</v>
      </c>
      <c r="S227" s="330">
        <v>128.38999999999999</v>
      </c>
      <c r="T227" s="330">
        <v>154</v>
      </c>
      <c r="U227" s="330">
        <v>97.83</v>
      </c>
      <c r="V227" s="330">
        <v>916</v>
      </c>
      <c r="W227" s="330">
        <v>0</v>
      </c>
      <c r="X227" s="330">
        <v>0</v>
      </c>
      <c r="Y227" s="330">
        <v>0</v>
      </c>
      <c r="Z227" s="330">
        <v>5</v>
      </c>
      <c r="AA227" s="330">
        <v>1</v>
      </c>
      <c r="AB227" s="330">
        <v>0</v>
      </c>
      <c r="AC227" s="330">
        <v>1</v>
      </c>
      <c r="AD227" s="334">
        <v>3015</v>
      </c>
      <c r="AE227" s="334">
        <v>14</v>
      </c>
      <c r="AF227" s="334">
        <v>9</v>
      </c>
      <c r="AG227" s="334">
        <v>23</v>
      </c>
    </row>
    <row r="228" spans="1:33" x14ac:dyDescent="0.25">
      <c r="A228" s="329" t="s">
        <v>510</v>
      </c>
      <c r="B228" s="335" t="s">
        <v>511</v>
      </c>
      <c r="C228" s="331">
        <v>27125</v>
      </c>
      <c r="D228" s="331">
        <v>0</v>
      </c>
      <c r="E228" s="331">
        <v>1567</v>
      </c>
      <c r="F228" s="331">
        <v>1326</v>
      </c>
      <c r="G228" s="331">
        <v>327</v>
      </c>
      <c r="H228" s="331">
        <v>30345</v>
      </c>
      <c r="I228" s="330">
        <v>30018</v>
      </c>
      <c r="J228" s="330">
        <v>794</v>
      </c>
      <c r="K228" s="332">
        <v>78.510000000000005</v>
      </c>
      <c r="L228" s="332">
        <v>78.569999999999993</v>
      </c>
      <c r="M228" s="332">
        <v>7.67</v>
      </c>
      <c r="N228" s="332">
        <v>82.03</v>
      </c>
      <c r="O228" s="333">
        <v>25044</v>
      </c>
      <c r="P228" s="330">
        <v>80.849999999999994</v>
      </c>
      <c r="Q228" s="330">
        <v>73.13</v>
      </c>
      <c r="R228" s="330">
        <v>33.44</v>
      </c>
      <c r="S228" s="330">
        <v>111.73</v>
      </c>
      <c r="T228" s="330">
        <v>2632</v>
      </c>
      <c r="U228" s="330">
        <v>108.3</v>
      </c>
      <c r="V228" s="330">
        <v>1877</v>
      </c>
      <c r="W228" s="330">
        <v>154.1</v>
      </c>
      <c r="X228" s="330">
        <v>65</v>
      </c>
      <c r="Y228" s="330">
        <v>17</v>
      </c>
      <c r="Z228" s="330">
        <v>203</v>
      </c>
      <c r="AA228" s="330">
        <v>8</v>
      </c>
      <c r="AB228" s="330">
        <v>76</v>
      </c>
      <c r="AC228" s="330">
        <v>10</v>
      </c>
      <c r="AD228" s="334">
        <v>27017</v>
      </c>
      <c r="AE228" s="334">
        <v>92</v>
      </c>
      <c r="AF228" s="334">
        <v>303</v>
      </c>
      <c r="AG228" s="334">
        <v>395</v>
      </c>
    </row>
    <row r="229" spans="1:33" x14ac:dyDescent="0.25">
      <c r="A229" s="329" t="s">
        <v>512</v>
      </c>
      <c r="B229" s="335" t="s">
        <v>513</v>
      </c>
      <c r="C229" s="331">
        <v>5666</v>
      </c>
      <c r="D229" s="331">
        <v>68</v>
      </c>
      <c r="E229" s="331">
        <v>459</v>
      </c>
      <c r="F229" s="331">
        <v>1113</v>
      </c>
      <c r="G229" s="331">
        <v>561</v>
      </c>
      <c r="H229" s="331">
        <v>7867</v>
      </c>
      <c r="I229" s="330">
        <v>7306</v>
      </c>
      <c r="J229" s="330">
        <v>1</v>
      </c>
      <c r="K229" s="332">
        <v>89.96</v>
      </c>
      <c r="L229" s="332">
        <v>88.23</v>
      </c>
      <c r="M229" s="332">
        <v>6.7</v>
      </c>
      <c r="N229" s="332">
        <v>95.13</v>
      </c>
      <c r="O229" s="333">
        <v>4492</v>
      </c>
      <c r="P229" s="330">
        <v>88.33</v>
      </c>
      <c r="Q229" s="330">
        <v>82.92</v>
      </c>
      <c r="R229" s="330">
        <v>43.98</v>
      </c>
      <c r="S229" s="330">
        <v>130.09</v>
      </c>
      <c r="T229" s="330">
        <v>1190</v>
      </c>
      <c r="U229" s="330">
        <v>110.45</v>
      </c>
      <c r="V229" s="330">
        <v>669</v>
      </c>
      <c r="W229" s="330">
        <v>188.64</v>
      </c>
      <c r="X229" s="330">
        <v>287</v>
      </c>
      <c r="Y229" s="330">
        <v>0</v>
      </c>
      <c r="Z229" s="330">
        <v>1</v>
      </c>
      <c r="AA229" s="330">
        <v>5</v>
      </c>
      <c r="AB229" s="330">
        <v>0</v>
      </c>
      <c r="AC229" s="330">
        <v>19</v>
      </c>
      <c r="AD229" s="334">
        <v>5434</v>
      </c>
      <c r="AE229" s="334">
        <v>30</v>
      </c>
      <c r="AF229" s="334">
        <v>24</v>
      </c>
      <c r="AG229" s="334">
        <v>54</v>
      </c>
    </row>
    <row r="230" spans="1:33" x14ac:dyDescent="0.25">
      <c r="A230" s="329" t="s">
        <v>514</v>
      </c>
      <c r="B230" s="335" t="s">
        <v>515</v>
      </c>
      <c r="C230" s="331">
        <v>6049</v>
      </c>
      <c r="D230" s="331">
        <v>18</v>
      </c>
      <c r="E230" s="331">
        <v>118</v>
      </c>
      <c r="F230" s="331">
        <v>602</v>
      </c>
      <c r="G230" s="331">
        <v>268</v>
      </c>
      <c r="H230" s="331">
        <v>7055</v>
      </c>
      <c r="I230" s="330">
        <v>6787</v>
      </c>
      <c r="J230" s="330">
        <v>46</v>
      </c>
      <c r="K230" s="332">
        <v>84.36</v>
      </c>
      <c r="L230" s="332">
        <v>83.81</v>
      </c>
      <c r="M230" s="332">
        <v>3.42</v>
      </c>
      <c r="N230" s="332">
        <v>85.69</v>
      </c>
      <c r="O230" s="333">
        <v>5469</v>
      </c>
      <c r="P230" s="330">
        <v>86.4</v>
      </c>
      <c r="Q230" s="330">
        <v>83.37</v>
      </c>
      <c r="R230" s="330">
        <v>30.51</v>
      </c>
      <c r="S230" s="330">
        <v>115.81</v>
      </c>
      <c r="T230" s="330">
        <v>584</v>
      </c>
      <c r="U230" s="330">
        <v>103.03</v>
      </c>
      <c r="V230" s="330">
        <v>569</v>
      </c>
      <c r="W230" s="330">
        <v>158.32</v>
      </c>
      <c r="X230" s="330">
        <v>63</v>
      </c>
      <c r="Y230" s="330">
        <v>0</v>
      </c>
      <c r="Z230" s="330">
        <v>15</v>
      </c>
      <c r="AA230" s="330">
        <v>4</v>
      </c>
      <c r="AB230" s="330">
        <v>17</v>
      </c>
      <c r="AC230" s="330">
        <v>8</v>
      </c>
      <c r="AD230" s="334">
        <v>6006</v>
      </c>
      <c r="AE230" s="334">
        <v>46</v>
      </c>
      <c r="AF230" s="334">
        <v>9</v>
      </c>
      <c r="AG230" s="334">
        <v>55</v>
      </c>
    </row>
    <row r="231" spans="1:33" x14ac:dyDescent="0.25">
      <c r="A231" s="329" t="s">
        <v>516</v>
      </c>
      <c r="B231" s="335" t="s">
        <v>517</v>
      </c>
      <c r="C231" s="331">
        <v>2810</v>
      </c>
      <c r="D231" s="331">
        <v>4</v>
      </c>
      <c r="E231" s="331">
        <v>283</v>
      </c>
      <c r="F231" s="331">
        <v>102</v>
      </c>
      <c r="G231" s="331">
        <v>229</v>
      </c>
      <c r="H231" s="331">
        <v>3428</v>
      </c>
      <c r="I231" s="330">
        <v>3199</v>
      </c>
      <c r="J231" s="330">
        <v>0</v>
      </c>
      <c r="K231" s="332">
        <v>92.42</v>
      </c>
      <c r="L231" s="332">
        <v>89.59</v>
      </c>
      <c r="M231" s="332">
        <v>4.5999999999999996</v>
      </c>
      <c r="N231" s="332">
        <v>96.39</v>
      </c>
      <c r="O231" s="333">
        <v>1545</v>
      </c>
      <c r="P231" s="330">
        <v>75.13</v>
      </c>
      <c r="Q231" s="330">
        <v>72.98</v>
      </c>
      <c r="R231" s="330">
        <v>50.22</v>
      </c>
      <c r="S231" s="330">
        <v>122.87</v>
      </c>
      <c r="T231" s="330">
        <v>223</v>
      </c>
      <c r="U231" s="330">
        <v>113.24</v>
      </c>
      <c r="V231" s="330">
        <v>516</v>
      </c>
      <c r="W231" s="330">
        <v>0</v>
      </c>
      <c r="X231" s="330">
        <v>0</v>
      </c>
      <c r="Y231" s="330">
        <v>0</v>
      </c>
      <c r="Z231" s="330">
        <v>3</v>
      </c>
      <c r="AA231" s="330">
        <v>8</v>
      </c>
      <c r="AB231" s="330">
        <v>11</v>
      </c>
      <c r="AC231" s="330">
        <v>5</v>
      </c>
      <c r="AD231" s="334">
        <v>2004</v>
      </c>
      <c r="AE231" s="334">
        <v>9</v>
      </c>
      <c r="AF231" s="334">
        <v>5</v>
      </c>
      <c r="AG231" s="334">
        <v>14</v>
      </c>
    </row>
    <row r="232" spans="1:33" x14ac:dyDescent="0.25">
      <c r="A232" s="329" t="s">
        <v>518</v>
      </c>
      <c r="B232" s="335" t="s">
        <v>519</v>
      </c>
      <c r="C232" s="331">
        <v>15385</v>
      </c>
      <c r="D232" s="331">
        <v>8</v>
      </c>
      <c r="E232" s="331">
        <v>1610</v>
      </c>
      <c r="F232" s="331">
        <v>1648</v>
      </c>
      <c r="G232" s="331">
        <v>495</v>
      </c>
      <c r="H232" s="331">
        <v>19146</v>
      </c>
      <c r="I232" s="330">
        <v>18651</v>
      </c>
      <c r="J232" s="330">
        <v>8</v>
      </c>
      <c r="K232" s="332">
        <v>87.18</v>
      </c>
      <c r="L232" s="332">
        <v>84.2</v>
      </c>
      <c r="M232" s="332">
        <v>9.14</v>
      </c>
      <c r="N232" s="332">
        <v>90.6</v>
      </c>
      <c r="O232" s="333">
        <v>13834</v>
      </c>
      <c r="P232" s="330">
        <v>81.41</v>
      </c>
      <c r="Q232" s="330">
        <v>76.650000000000006</v>
      </c>
      <c r="R232" s="330">
        <v>32.82</v>
      </c>
      <c r="S232" s="330">
        <v>113.96</v>
      </c>
      <c r="T232" s="330">
        <v>2779</v>
      </c>
      <c r="U232" s="330">
        <v>98.76</v>
      </c>
      <c r="V232" s="330">
        <v>939</v>
      </c>
      <c r="W232" s="330">
        <v>123.2</v>
      </c>
      <c r="X232" s="330">
        <v>12</v>
      </c>
      <c r="Y232" s="330">
        <v>386</v>
      </c>
      <c r="Z232" s="330">
        <v>80</v>
      </c>
      <c r="AA232" s="330">
        <v>94</v>
      </c>
      <c r="AB232" s="330">
        <v>2</v>
      </c>
      <c r="AC232" s="330">
        <v>6</v>
      </c>
      <c r="AD232" s="334">
        <v>14837</v>
      </c>
      <c r="AE232" s="334">
        <v>118</v>
      </c>
      <c r="AF232" s="334">
        <v>54</v>
      </c>
      <c r="AG232" s="334">
        <v>172</v>
      </c>
    </row>
    <row r="233" spans="1:33" x14ac:dyDescent="0.25">
      <c r="A233" s="329" t="s">
        <v>520</v>
      </c>
      <c r="B233" s="335" t="s">
        <v>521</v>
      </c>
      <c r="C233" s="331">
        <v>1489</v>
      </c>
      <c r="D233" s="331">
        <v>0</v>
      </c>
      <c r="E233" s="331">
        <v>43</v>
      </c>
      <c r="F233" s="331">
        <v>194</v>
      </c>
      <c r="G233" s="331">
        <v>222</v>
      </c>
      <c r="H233" s="331">
        <v>1948</v>
      </c>
      <c r="I233" s="330">
        <v>1726</v>
      </c>
      <c r="J233" s="330">
        <v>2</v>
      </c>
      <c r="K233" s="332">
        <v>91.68</v>
      </c>
      <c r="L233" s="332">
        <v>87.97</v>
      </c>
      <c r="M233" s="332">
        <v>6.44</v>
      </c>
      <c r="N233" s="332">
        <v>96.09</v>
      </c>
      <c r="O233" s="333">
        <v>1152</v>
      </c>
      <c r="P233" s="330">
        <v>103.48</v>
      </c>
      <c r="Q233" s="330">
        <v>93.6</v>
      </c>
      <c r="R233" s="330">
        <v>54.15</v>
      </c>
      <c r="S233" s="330">
        <v>156.46</v>
      </c>
      <c r="T233" s="330">
        <v>232</v>
      </c>
      <c r="U233" s="330">
        <v>101.4</v>
      </c>
      <c r="V233" s="330">
        <v>181</v>
      </c>
      <c r="W233" s="330">
        <v>0</v>
      </c>
      <c r="X233" s="330">
        <v>0</v>
      </c>
      <c r="Y233" s="330">
        <v>0</v>
      </c>
      <c r="Z233" s="330">
        <v>4</v>
      </c>
      <c r="AA233" s="330">
        <v>2</v>
      </c>
      <c r="AB233" s="330">
        <v>23</v>
      </c>
      <c r="AC233" s="330">
        <v>1</v>
      </c>
      <c r="AD233" s="334">
        <v>1469</v>
      </c>
      <c r="AE233" s="334">
        <v>15</v>
      </c>
      <c r="AF233" s="334">
        <v>4</v>
      </c>
      <c r="AG233" s="334">
        <v>19</v>
      </c>
    </row>
    <row r="234" spans="1:33" x14ac:dyDescent="0.25">
      <c r="A234" s="329" t="s">
        <v>522</v>
      </c>
      <c r="B234" s="335" t="s">
        <v>523</v>
      </c>
      <c r="C234" s="331">
        <v>5338</v>
      </c>
      <c r="D234" s="331">
        <v>0</v>
      </c>
      <c r="E234" s="331">
        <v>96</v>
      </c>
      <c r="F234" s="331">
        <v>1131</v>
      </c>
      <c r="G234" s="331">
        <v>737</v>
      </c>
      <c r="H234" s="331">
        <v>7302</v>
      </c>
      <c r="I234" s="330">
        <v>6565</v>
      </c>
      <c r="J234" s="330">
        <v>98</v>
      </c>
      <c r="K234" s="332">
        <v>107.69</v>
      </c>
      <c r="L234" s="332">
        <v>104.28</v>
      </c>
      <c r="M234" s="332">
        <v>3.9</v>
      </c>
      <c r="N234" s="332">
        <v>110.16</v>
      </c>
      <c r="O234" s="333">
        <v>5096</v>
      </c>
      <c r="P234" s="330">
        <v>91.8</v>
      </c>
      <c r="Q234" s="330">
        <v>88.47</v>
      </c>
      <c r="R234" s="330">
        <v>21.75</v>
      </c>
      <c r="S234" s="330">
        <v>112.93</v>
      </c>
      <c r="T234" s="330">
        <v>991</v>
      </c>
      <c r="U234" s="330">
        <v>150.4</v>
      </c>
      <c r="V234" s="330">
        <v>184</v>
      </c>
      <c r="W234" s="330">
        <v>141.07</v>
      </c>
      <c r="X234" s="330">
        <v>76</v>
      </c>
      <c r="Y234" s="330">
        <v>0</v>
      </c>
      <c r="Z234" s="330">
        <v>3</v>
      </c>
      <c r="AA234" s="330">
        <v>0</v>
      </c>
      <c r="AB234" s="330">
        <v>7</v>
      </c>
      <c r="AC234" s="330">
        <v>10</v>
      </c>
      <c r="AD234" s="334">
        <v>5306</v>
      </c>
      <c r="AE234" s="334">
        <v>22</v>
      </c>
      <c r="AF234" s="334">
        <v>3</v>
      </c>
      <c r="AG234" s="334">
        <v>25</v>
      </c>
    </row>
    <row r="235" spans="1:33" x14ac:dyDescent="0.25">
      <c r="A235" s="329" t="s">
        <v>524</v>
      </c>
      <c r="B235" s="335" t="s">
        <v>525</v>
      </c>
      <c r="C235" s="331">
        <v>15407</v>
      </c>
      <c r="D235" s="331">
        <v>56</v>
      </c>
      <c r="E235" s="331">
        <v>1353</v>
      </c>
      <c r="F235" s="331">
        <v>1038</v>
      </c>
      <c r="G235" s="331">
        <v>477</v>
      </c>
      <c r="H235" s="331">
        <v>18331</v>
      </c>
      <c r="I235" s="330">
        <v>17854</v>
      </c>
      <c r="J235" s="330">
        <v>7</v>
      </c>
      <c r="K235" s="332">
        <v>80.150000000000006</v>
      </c>
      <c r="L235" s="332">
        <v>78.36</v>
      </c>
      <c r="M235" s="332">
        <v>7.7</v>
      </c>
      <c r="N235" s="332">
        <v>82.68</v>
      </c>
      <c r="O235" s="333">
        <v>13375</v>
      </c>
      <c r="P235" s="330">
        <v>88.06</v>
      </c>
      <c r="Q235" s="330">
        <v>80.7</v>
      </c>
      <c r="R235" s="330">
        <v>57.68</v>
      </c>
      <c r="S235" s="330">
        <v>137.38999999999999</v>
      </c>
      <c r="T235" s="330">
        <v>2156</v>
      </c>
      <c r="U235" s="330">
        <v>95.82</v>
      </c>
      <c r="V235" s="330">
        <v>1831</v>
      </c>
      <c r="W235" s="330">
        <v>100.61</v>
      </c>
      <c r="X235" s="330">
        <v>9</v>
      </c>
      <c r="Y235" s="330">
        <v>25</v>
      </c>
      <c r="Z235" s="330">
        <v>53</v>
      </c>
      <c r="AA235" s="330">
        <v>15</v>
      </c>
      <c r="AB235" s="330">
        <v>8</v>
      </c>
      <c r="AC235" s="330">
        <v>14</v>
      </c>
      <c r="AD235" s="334">
        <v>15325</v>
      </c>
      <c r="AE235" s="334">
        <v>88</v>
      </c>
      <c r="AF235" s="334">
        <v>40</v>
      </c>
      <c r="AG235" s="334">
        <v>128</v>
      </c>
    </row>
    <row r="236" spans="1:33" x14ac:dyDescent="0.25">
      <c r="A236" s="329" t="s">
        <v>526</v>
      </c>
      <c r="B236" s="335" t="s">
        <v>527</v>
      </c>
      <c r="C236" s="331">
        <v>12512</v>
      </c>
      <c r="D236" s="331">
        <v>25</v>
      </c>
      <c r="E236" s="331">
        <v>386</v>
      </c>
      <c r="F236" s="331">
        <v>1615</v>
      </c>
      <c r="G236" s="331">
        <v>762</v>
      </c>
      <c r="H236" s="331">
        <v>15300</v>
      </c>
      <c r="I236" s="330">
        <v>14538</v>
      </c>
      <c r="J236" s="330">
        <v>3</v>
      </c>
      <c r="K236" s="332">
        <v>88.4</v>
      </c>
      <c r="L236" s="332">
        <v>84.86</v>
      </c>
      <c r="M236" s="332">
        <v>3.53</v>
      </c>
      <c r="N236" s="332">
        <v>90.25</v>
      </c>
      <c r="O236" s="333">
        <v>10232</v>
      </c>
      <c r="P236" s="330">
        <v>82.74</v>
      </c>
      <c r="Q236" s="330">
        <v>80.33</v>
      </c>
      <c r="R236" s="330">
        <v>21.4</v>
      </c>
      <c r="S236" s="330">
        <v>103.17</v>
      </c>
      <c r="T236" s="330">
        <v>1646</v>
      </c>
      <c r="U236" s="330">
        <v>106.26</v>
      </c>
      <c r="V236" s="330">
        <v>1600</v>
      </c>
      <c r="W236" s="330">
        <v>172.74</v>
      </c>
      <c r="X236" s="330">
        <v>291</v>
      </c>
      <c r="Y236" s="330">
        <v>14</v>
      </c>
      <c r="Z236" s="330">
        <v>39</v>
      </c>
      <c r="AA236" s="330">
        <v>19</v>
      </c>
      <c r="AB236" s="330">
        <v>40</v>
      </c>
      <c r="AC236" s="330">
        <v>15</v>
      </c>
      <c r="AD236" s="334">
        <v>12058</v>
      </c>
      <c r="AE236" s="334">
        <v>85</v>
      </c>
      <c r="AF236" s="334">
        <v>95</v>
      </c>
      <c r="AG236" s="334">
        <v>180</v>
      </c>
    </row>
    <row r="237" spans="1:33" x14ac:dyDescent="0.25">
      <c r="A237" s="329" t="s">
        <v>528</v>
      </c>
      <c r="B237" s="335" t="s">
        <v>529</v>
      </c>
      <c r="C237" s="331">
        <v>3575</v>
      </c>
      <c r="D237" s="331">
        <v>29</v>
      </c>
      <c r="E237" s="331">
        <v>340</v>
      </c>
      <c r="F237" s="331">
        <v>229</v>
      </c>
      <c r="G237" s="331">
        <v>471</v>
      </c>
      <c r="H237" s="331">
        <v>4644</v>
      </c>
      <c r="I237" s="330">
        <v>4173</v>
      </c>
      <c r="J237" s="330">
        <v>0</v>
      </c>
      <c r="K237" s="332">
        <v>121.71</v>
      </c>
      <c r="L237" s="332">
        <v>119.2</v>
      </c>
      <c r="M237" s="332">
        <v>7.01</v>
      </c>
      <c r="N237" s="332">
        <v>127.9</v>
      </c>
      <c r="O237" s="333">
        <v>3156</v>
      </c>
      <c r="P237" s="330">
        <v>117.09</v>
      </c>
      <c r="Q237" s="330">
        <v>98.71</v>
      </c>
      <c r="R237" s="330">
        <v>57.74</v>
      </c>
      <c r="S237" s="330">
        <v>164.23</v>
      </c>
      <c r="T237" s="330">
        <v>490</v>
      </c>
      <c r="U237" s="330">
        <v>148.84</v>
      </c>
      <c r="V237" s="330">
        <v>178</v>
      </c>
      <c r="W237" s="330">
        <v>0</v>
      </c>
      <c r="X237" s="330">
        <v>0</v>
      </c>
      <c r="Y237" s="330">
        <v>169</v>
      </c>
      <c r="Z237" s="330">
        <v>1</v>
      </c>
      <c r="AA237" s="330">
        <v>23</v>
      </c>
      <c r="AB237" s="330">
        <v>10</v>
      </c>
      <c r="AC237" s="330">
        <v>17</v>
      </c>
      <c r="AD237" s="334">
        <v>3403</v>
      </c>
      <c r="AE237" s="334">
        <v>10</v>
      </c>
      <c r="AF237" s="334">
        <v>9</v>
      </c>
      <c r="AG237" s="334">
        <v>19</v>
      </c>
    </row>
    <row r="238" spans="1:33" x14ac:dyDescent="0.25">
      <c r="A238" s="329" t="s">
        <v>530</v>
      </c>
      <c r="B238" s="335" t="s">
        <v>531</v>
      </c>
      <c r="C238" s="331">
        <v>2351</v>
      </c>
      <c r="D238" s="331">
        <v>0</v>
      </c>
      <c r="E238" s="331">
        <v>238</v>
      </c>
      <c r="F238" s="331">
        <v>599</v>
      </c>
      <c r="G238" s="331">
        <v>495</v>
      </c>
      <c r="H238" s="331">
        <v>3683</v>
      </c>
      <c r="I238" s="330">
        <v>3188</v>
      </c>
      <c r="J238" s="330">
        <v>0</v>
      </c>
      <c r="K238" s="332">
        <v>102.26</v>
      </c>
      <c r="L238" s="332">
        <v>87.5</v>
      </c>
      <c r="M238" s="332">
        <v>5.05</v>
      </c>
      <c r="N238" s="332">
        <v>106.16</v>
      </c>
      <c r="O238" s="333">
        <v>1867</v>
      </c>
      <c r="P238" s="330">
        <v>91.9</v>
      </c>
      <c r="Q238" s="330">
        <v>80.75</v>
      </c>
      <c r="R238" s="330">
        <v>58.66</v>
      </c>
      <c r="S238" s="330">
        <v>149.29</v>
      </c>
      <c r="T238" s="330">
        <v>465</v>
      </c>
      <c r="U238" s="330">
        <v>110.13</v>
      </c>
      <c r="V238" s="330">
        <v>445</v>
      </c>
      <c r="W238" s="330">
        <v>141.35</v>
      </c>
      <c r="X238" s="330">
        <v>78</v>
      </c>
      <c r="Y238" s="330">
        <v>5</v>
      </c>
      <c r="Z238" s="330">
        <v>3</v>
      </c>
      <c r="AA238" s="330">
        <v>0</v>
      </c>
      <c r="AB238" s="330">
        <v>18</v>
      </c>
      <c r="AC238" s="330">
        <v>15</v>
      </c>
      <c r="AD238" s="334">
        <v>2343</v>
      </c>
      <c r="AE238" s="334">
        <v>3</v>
      </c>
      <c r="AF238" s="334">
        <v>4</v>
      </c>
      <c r="AG238" s="334">
        <v>7</v>
      </c>
    </row>
    <row r="239" spans="1:33" x14ac:dyDescent="0.25">
      <c r="A239" s="329" t="s">
        <v>532</v>
      </c>
      <c r="B239" s="335" t="s">
        <v>533</v>
      </c>
      <c r="C239" s="330">
        <v>4070</v>
      </c>
      <c r="D239" s="330">
        <v>0</v>
      </c>
      <c r="E239" s="330">
        <v>331</v>
      </c>
      <c r="F239" s="330">
        <v>797</v>
      </c>
      <c r="G239" s="330">
        <v>474</v>
      </c>
      <c r="H239" s="330">
        <v>5672</v>
      </c>
      <c r="I239" s="330">
        <v>5198</v>
      </c>
      <c r="J239" s="330">
        <v>7</v>
      </c>
      <c r="K239" s="330">
        <v>96.29</v>
      </c>
      <c r="L239" s="332">
        <v>94.86</v>
      </c>
      <c r="M239" s="332">
        <v>4.38</v>
      </c>
      <c r="N239" s="332">
        <v>99.87</v>
      </c>
      <c r="O239" s="333">
        <v>3284</v>
      </c>
      <c r="P239" s="330">
        <v>92.26</v>
      </c>
      <c r="Q239" s="330">
        <v>38.229999999999997</v>
      </c>
      <c r="R239" s="330">
        <v>35.64</v>
      </c>
      <c r="S239" s="330">
        <v>127.73</v>
      </c>
      <c r="T239" s="330">
        <v>1005</v>
      </c>
      <c r="U239" s="330">
        <v>113.2</v>
      </c>
      <c r="V239" s="330">
        <v>379</v>
      </c>
      <c r="W239" s="330">
        <v>0</v>
      </c>
      <c r="X239" s="330">
        <v>0</v>
      </c>
      <c r="Y239" s="330">
        <v>8</v>
      </c>
      <c r="Z239" s="330">
        <v>8</v>
      </c>
      <c r="AA239" s="330">
        <v>14</v>
      </c>
      <c r="AB239" s="330">
        <v>29</v>
      </c>
      <c r="AC239" s="330">
        <v>11</v>
      </c>
      <c r="AD239" s="330">
        <v>3672</v>
      </c>
      <c r="AE239" s="330">
        <v>7</v>
      </c>
      <c r="AF239" s="330">
        <v>9</v>
      </c>
      <c r="AG239" s="330">
        <v>16</v>
      </c>
    </row>
    <row r="240" spans="1:33" x14ac:dyDescent="0.25">
      <c r="A240" s="329" t="s">
        <v>534</v>
      </c>
      <c r="B240" s="335" t="s">
        <v>535</v>
      </c>
      <c r="C240" s="331">
        <v>3197</v>
      </c>
      <c r="D240" s="331">
        <v>0</v>
      </c>
      <c r="E240" s="331">
        <v>393</v>
      </c>
      <c r="F240" s="331">
        <v>181</v>
      </c>
      <c r="G240" s="331">
        <v>1130</v>
      </c>
      <c r="H240" s="331">
        <v>4901</v>
      </c>
      <c r="I240" s="330">
        <v>3771</v>
      </c>
      <c r="J240" s="330">
        <v>10</v>
      </c>
      <c r="K240" s="332">
        <v>111.82</v>
      </c>
      <c r="L240" s="332">
        <v>112.3</v>
      </c>
      <c r="M240" s="332">
        <v>3.25</v>
      </c>
      <c r="N240" s="332">
        <v>114</v>
      </c>
      <c r="O240" s="333">
        <v>2328</v>
      </c>
      <c r="P240" s="330">
        <v>96.52</v>
      </c>
      <c r="Q240" s="330">
        <v>97.27</v>
      </c>
      <c r="R240" s="330">
        <v>42.41</v>
      </c>
      <c r="S240" s="330">
        <v>131.06</v>
      </c>
      <c r="T240" s="330">
        <v>264</v>
      </c>
      <c r="U240" s="330">
        <v>144.4</v>
      </c>
      <c r="V240" s="330">
        <v>449</v>
      </c>
      <c r="W240" s="330">
        <v>162.72</v>
      </c>
      <c r="X240" s="330">
        <v>79</v>
      </c>
      <c r="Y240" s="330">
        <v>0</v>
      </c>
      <c r="Z240" s="330">
        <v>1</v>
      </c>
      <c r="AA240" s="330">
        <v>2</v>
      </c>
      <c r="AB240" s="330">
        <v>50</v>
      </c>
      <c r="AC240" s="330">
        <v>34</v>
      </c>
      <c r="AD240" s="334">
        <v>2921</v>
      </c>
      <c r="AE240" s="334">
        <v>29</v>
      </c>
      <c r="AF240" s="334">
        <v>5</v>
      </c>
      <c r="AG240" s="334">
        <v>34</v>
      </c>
    </row>
    <row r="241" spans="1:33" x14ac:dyDescent="0.25">
      <c r="A241" s="329" t="s">
        <v>536</v>
      </c>
      <c r="B241" s="335" t="s">
        <v>537</v>
      </c>
      <c r="C241" s="331">
        <v>1221</v>
      </c>
      <c r="D241" s="331">
        <v>0</v>
      </c>
      <c r="E241" s="331">
        <v>110</v>
      </c>
      <c r="F241" s="331">
        <v>21</v>
      </c>
      <c r="G241" s="331">
        <v>171</v>
      </c>
      <c r="H241" s="331">
        <v>1523</v>
      </c>
      <c r="I241" s="330">
        <v>1352</v>
      </c>
      <c r="J241" s="330">
        <v>0</v>
      </c>
      <c r="K241" s="332">
        <v>92.87</v>
      </c>
      <c r="L241" s="332">
        <v>92.23</v>
      </c>
      <c r="M241" s="332">
        <v>5.08</v>
      </c>
      <c r="N241" s="332">
        <v>96.39</v>
      </c>
      <c r="O241" s="333">
        <v>1033</v>
      </c>
      <c r="P241" s="330">
        <v>106.03</v>
      </c>
      <c r="Q241" s="330">
        <v>109.14</v>
      </c>
      <c r="R241" s="330">
        <v>73.27</v>
      </c>
      <c r="S241" s="330">
        <v>179.3</v>
      </c>
      <c r="T241" s="330">
        <v>105</v>
      </c>
      <c r="U241" s="330">
        <v>98.77</v>
      </c>
      <c r="V241" s="330">
        <v>177</v>
      </c>
      <c r="W241" s="330">
        <v>186.98</v>
      </c>
      <c r="X241" s="330">
        <v>20</v>
      </c>
      <c r="Y241" s="330">
        <v>0</v>
      </c>
      <c r="Z241" s="330">
        <v>0</v>
      </c>
      <c r="AA241" s="330">
        <v>0</v>
      </c>
      <c r="AB241" s="330">
        <v>25</v>
      </c>
      <c r="AC241" s="330">
        <v>7</v>
      </c>
      <c r="AD241" s="334">
        <v>1212</v>
      </c>
      <c r="AE241" s="334">
        <v>26</v>
      </c>
      <c r="AF241" s="334">
        <v>15</v>
      </c>
      <c r="AG241" s="334">
        <v>41</v>
      </c>
    </row>
    <row r="242" spans="1:33" x14ac:dyDescent="0.25">
      <c r="A242" s="329" t="s">
        <v>538</v>
      </c>
      <c r="B242" s="335" t="s">
        <v>539</v>
      </c>
      <c r="C242" s="331">
        <v>10402</v>
      </c>
      <c r="D242" s="331">
        <v>0</v>
      </c>
      <c r="E242" s="331">
        <v>292</v>
      </c>
      <c r="F242" s="331">
        <v>1757</v>
      </c>
      <c r="G242" s="331">
        <v>639</v>
      </c>
      <c r="H242" s="331">
        <v>13090</v>
      </c>
      <c r="I242" s="330">
        <v>12451</v>
      </c>
      <c r="J242" s="330">
        <v>1</v>
      </c>
      <c r="K242" s="332">
        <v>97.53</v>
      </c>
      <c r="L242" s="332">
        <v>97.98</v>
      </c>
      <c r="M242" s="332">
        <v>5.0199999999999996</v>
      </c>
      <c r="N242" s="332">
        <v>100.3</v>
      </c>
      <c r="O242" s="333">
        <v>9457</v>
      </c>
      <c r="P242" s="330">
        <v>88.46</v>
      </c>
      <c r="Q242" s="330">
        <v>85.09</v>
      </c>
      <c r="R242" s="330">
        <v>19.510000000000002</v>
      </c>
      <c r="S242" s="330">
        <v>107.51</v>
      </c>
      <c r="T242" s="330">
        <v>1876</v>
      </c>
      <c r="U242" s="330">
        <v>135.88</v>
      </c>
      <c r="V242" s="330">
        <v>560</v>
      </c>
      <c r="W242" s="330">
        <v>190.99</v>
      </c>
      <c r="X242" s="330">
        <v>89</v>
      </c>
      <c r="Y242" s="330">
        <v>0</v>
      </c>
      <c r="Z242" s="330">
        <v>27</v>
      </c>
      <c r="AA242" s="330">
        <v>17</v>
      </c>
      <c r="AB242" s="330">
        <v>86</v>
      </c>
      <c r="AC242" s="330">
        <v>13</v>
      </c>
      <c r="AD242" s="334">
        <v>10083</v>
      </c>
      <c r="AE242" s="334">
        <v>46</v>
      </c>
      <c r="AF242" s="334">
        <v>40</v>
      </c>
      <c r="AG242" s="334">
        <v>86</v>
      </c>
    </row>
    <row r="243" spans="1:33" x14ac:dyDescent="0.25">
      <c r="A243" s="329" t="s">
        <v>540</v>
      </c>
      <c r="B243" s="335" t="s">
        <v>541</v>
      </c>
      <c r="C243" s="331">
        <v>4216</v>
      </c>
      <c r="D243" s="331">
        <v>0</v>
      </c>
      <c r="E243" s="331">
        <v>68</v>
      </c>
      <c r="F243" s="331">
        <v>256</v>
      </c>
      <c r="G243" s="331">
        <v>501</v>
      </c>
      <c r="H243" s="331">
        <v>5041</v>
      </c>
      <c r="I243" s="330">
        <v>4540</v>
      </c>
      <c r="J243" s="330">
        <v>18</v>
      </c>
      <c r="K243" s="332">
        <v>92.79</v>
      </c>
      <c r="L243" s="332">
        <v>88.93</v>
      </c>
      <c r="M243" s="332">
        <v>4.18</v>
      </c>
      <c r="N243" s="332">
        <v>96.8</v>
      </c>
      <c r="O243" s="333">
        <v>3678</v>
      </c>
      <c r="P243" s="330">
        <v>83.75</v>
      </c>
      <c r="Q243" s="330">
        <v>73.13</v>
      </c>
      <c r="R243" s="330">
        <v>55.86</v>
      </c>
      <c r="S243" s="330">
        <v>131.94</v>
      </c>
      <c r="T243" s="330">
        <v>182</v>
      </c>
      <c r="U243" s="330">
        <v>123.2</v>
      </c>
      <c r="V243" s="330">
        <v>237</v>
      </c>
      <c r="W243" s="330">
        <v>218.2</v>
      </c>
      <c r="X243" s="330">
        <v>37</v>
      </c>
      <c r="Y243" s="330">
        <v>19</v>
      </c>
      <c r="Z243" s="330">
        <v>8</v>
      </c>
      <c r="AA243" s="330">
        <v>5</v>
      </c>
      <c r="AB243" s="330">
        <v>28</v>
      </c>
      <c r="AC243" s="330">
        <v>3</v>
      </c>
      <c r="AD243" s="334">
        <v>3971</v>
      </c>
      <c r="AE243" s="334">
        <v>5</v>
      </c>
      <c r="AF243" s="334">
        <v>14</v>
      </c>
      <c r="AG243" s="334">
        <v>19</v>
      </c>
    </row>
    <row r="244" spans="1:33" x14ac:dyDescent="0.25">
      <c r="A244" s="329" t="s">
        <v>542</v>
      </c>
      <c r="B244" s="335" t="s">
        <v>543</v>
      </c>
      <c r="C244" s="331">
        <v>970</v>
      </c>
      <c r="D244" s="331">
        <v>0</v>
      </c>
      <c r="E244" s="331">
        <v>104</v>
      </c>
      <c r="F244" s="331">
        <v>0</v>
      </c>
      <c r="G244" s="331">
        <v>225</v>
      </c>
      <c r="H244" s="331">
        <v>1299</v>
      </c>
      <c r="I244" s="330">
        <v>1074</v>
      </c>
      <c r="J244" s="330">
        <v>8</v>
      </c>
      <c r="K244" s="332">
        <v>85.66</v>
      </c>
      <c r="L244" s="332">
        <v>85.42</v>
      </c>
      <c r="M244" s="332">
        <v>4.3899999999999997</v>
      </c>
      <c r="N244" s="332">
        <v>89.17</v>
      </c>
      <c r="O244" s="333">
        <v>752</v>
      </c>
      <c r="P244" s="330">
        <v>108.1</v>
      </c>
      <c r="Q244" s="330">
        <v>72.099999999999994</v>
      </c>
      <c r="R244" s="330">
        <v>90.86</v>
      </c>
      <c r="S244" s="330">
        <v>198.95</v>
      </c>
      <c r="T244" s="330">
        <v>91</v>
      </c>
      <c r="U244" s="330">
        <v>105.64</v>
      </c>
      <c r="V244" s="330">
        <v>135</v>
      </c>
      <c r="W244" s="330">
        <v>0</v>
      </c>
      <c r="X244" s="330">
        <v>0</v>
      </c>
      <c r="Y244" s="330">
        <v>0</v>
      </c>
      <c r="Z244" s="330">
        <v>2</v>
      </c>
      <c r="AA244" s="330">
        <v>0</v>
      </c>
      <c r="AB244" s="330">
        <v>8</v>
      </c>
      <c r="AC244" s="330">
        <v>1</v>
      </c>
      <c r="AD244" s="334">
        <v>905</v>
      </c>
      <c r="AE244" s="334">
        <v>1</v>
      </c>
      <c r="AF244" s="334">
        <v>1</v>
      </c>
      <c r="AG244" s="334">
        <v>2</v>
      </c>
    </row>
    <row r="245" spans="1:33" x14ac:dyDescent="0.25">
      <c r="A245" s="329" t="s">
        <v>544</v>
      </c>
      <c r="B245" s="335" t="s">
        <v>545</v>
      </c>
      <c r="C245" s="331">
        <v>1617</v>
      </c>
      <c r="D245" s="331">
        <v>0</v>
      </c>
      <c r="E245" s="331">
        <v>161</v>
      </c>
      <c r="F245" s="331">
        <v>317</v>
      </c>
      <c r="G245" s="331">
        <v>471</v>
      </c>
      <c r="H245" s="331">
        <v>2566</v>
      </c>
      <c r="I245" s="330">
        <v>2095</v>
      </c>
      <c r="J245" s="330">
        <v>3</v>
      </c>
      <c r="K245" s="332">
        <v>88.32</v>
      </c>
      <c r="L245" s="332">
        <v>86.96</v>
      </c>
      <c r="M245" s="332">
        <v>5.21</v>
      </c>
      <c r="N245" s="332">
        <v>92.71</v>
      </c>
      <c r="O245" s="333">
        <v>1226</v>
      </c>
      <c r="P245" s="330">
        <v>91.9</v>
      </c>
      <c r="Q245" s="330">
        <v>73.03</v>
      </c>
      <c r="R245" s="330">
        <v>30.32</v>
      </c>
      <c r="S245" s="330">
        <v>122.13</v>
      </c>
      <c r="T245" s="330">
        <v>314</v>
      </c>
      <c r="U245" s="330">
        <v>101.91</v>
      </c>
      <c r="V245" s="330">
        <v>155</v>
      </c>
      <c r="W245" s="330">
        <v>115.85</v>
      </c>
      <c r="X245" s="330">
        <v>21</v>
      </c>
      <c r="Y245" s="330">
        <v>59</v>
      </c>
      <c r="Z245" s="330">
        <v>1</v>
      </c>
      <c r="AA245" s="330">
        <v>1</v>
      </c>
      <c r="AB245" s="330">
        <v>48</v>
      </c>
      <c r="AC245" s="330">
        <v>10</v>
      </c>
      <c r="AD245" s="334">
        <v>1562</v>
      </c>
      <c r="AE245" s="334">
        <v>13</v>
      </c>
      <c r="AF245" s="334">
        <v>0</v>
      </c>
      <c r="AG245" s="334">
        <v>13</v>
      </c>
    </row>
    <row r="246" spans="1:33" x14ac:dyDescent="0.25">
      <c r="A246" s="329" t="s">
        <v>546</v>
      </c>
      <c r="B246" s="335" t="s">
        <v>547</v>
      </c>
      <c r="C246" s="331">
        <v>3885</v>
      </c>
      <c r="D246" s="331">
        <v>60</v>
      </c>
      <c r="E246" s="331">
        <v>195</v>
      </c>
      <c r="F246" s="331">
        <v>605</v>
      </c>
      <c r="G246" s="331">
        <v>149</v>
      </c>
      <c r="H246" s="331">
        <v>4894</v>
      </c>
      <c r="I246" s="330">
        <v>4745</v>
      </c>
      <c r="J246" s="330">
        <v>17</v>
      </c>
      <c r="K246" s="332">
        <v>92.2</v>
      </c>
      <c r="L246" s="332">
        <v>90.83</v>
      </c>
      <c r="M246" s="332">
        <v>4.68</v>
      </c>
      <c r="N246" s="332">
        <v>93.36</v>
      </c>
      <c r="O246" s="333">
        <v>3542</v>
      </c>
      <c r="P246" s="330">
        <v>83.61</v>
      </c>
      <c r="Q246" s="330">
        <v>81.790000000000006</v>
      </c>
      <c r="R246" s="330">
        <v>37.770000000000003</v>
      </c>
      <c r="S246" s="330">
        <v>120.76</v>
      </c>
      <c r="T246" s="330">
        <v>674</v>
      </c>
      <c r="U246" s="330">
        <v>115.38</v>
      </c>
      <c r="V246" s="330">
        <v>361</v>
      </c>
      <c r="W246" s="330">
        <v>205.32</v>
      </c>
      <c r="X246" s="330">
        <v>8</v>
      </c>
      <c r="Y246" s="330">
        <v>0</v>
      </c>
      <c r="Z246" s="330">
        <v>20</v>
      </c>
      <c r="AA246" s="330">
        <v>0</v>
      </c>
      <c r="AB246" s="330">
        <v>3</v>
      </c>
      <c r="AC246" s="330">
        <v>11</v>
      </c>
      <c r="AD246" s="334">
        <v>3840</v>
      </c>
      <c r="AE246" s="334">
        <v>14</v>
      </c>
      <c r="AF246" s="334">
        <v>0</v>
      </c>
      <c r="AG246" s="334">
        <v>14</v>
      </c>
    </row>
    <row r="247" spans="1:33" x14ac:dyDescent="0.25">
      <c r="A247" s="329" t="s">
        <v>548</v>
      </c>
      <c r="B247" s="335" t="s">
        <v>549</v>
      </c>
      <c r="C247" s="331">
        <v>6025</v>
      </c>
      <c r="D247" s="331">
        <v>0</v>
      </c>
      <c r="E247" s="331">
        <v>219</v>
      </c>
      <c r="F247" s="331">
        <v>924</v>
      </c>
      <c r="G247" s="331">
        <v>547</v>
      </c>
      <c r="H247" s="331">
        <v>7715</v>
      </c>
      <c r="I247" s="330">
        <v>7168</v>
      </c>
      <c r="J247" s="330">
        <v>0</v>
      </c>
      <c r="K247" s="332">
        <v>89.02</v>
      </c>
      <c r="L247" s="332">
        <v>88.78</v>
      </c>
      <c r="M247" s="332">
        <v>4.58</v>
      </c>
      <c r="N247" s="332">
        <v>90.11</v>
      </c>
      <c r="O247" s="333">
        <v>4557</v>
      </c>
      <c r="P247" s="330">
        <v>86.9</v>
      </c>
      <c r="Q247" s="330">
        <v>81.63</v>
      </c>
      <c r="R247" s="330">
        <v>32.340000000000003</v>
      </c>
      <c r="S247" s="330">
        <v>116.81</v>
      </c>
      <c r="T247" s="330">
        <v>1102</v>
      </c>
      <c r="U247" s="330">
        <v>111.55</v>
      </c>
      <c r="V247" s="330">
        <v>1391</v>
      </c>
      <c r="W247" s="330">
        <v>0</v>
      </c>
      <c r="X247" s="330">
        <v>0</v>
      </c>
      <c r="Y247" s="330">
        <v>0</v>
      </c>
      <c r="Z247" s="330">
        <v>24</v>
      </c>
      <c r="AA247" s="330">
        <v>1</v>
      </c>
      <c r="AB247" s="330">
        <v>57</v>
      </c>
      <c r="AC247" s="330">
        <v>6</v>
      </c>
      <c r="AD247" s="334">
        <v>6020</v>
      </c>
      <c r="AE247" s="334">
        <v>66</v>
      </c>
      <c r="AF247" s="334">
        <v>54</v>
      </c>
      <c r="AG247" s="334">
        <v>120</v>
      </c>
    </row>
    <row r="248" spans="1:33" x14ac:dyDescent="0.25">
      <c r="A248" s="329" t="s">
        <v>550</v>
      </c>
      <c r="B248" s="335" t="s">
        <v>551</v>
      </c>
      <c r="C248" s="331">
        <v>5990</v>
      </c>
      <c r="D248" s="331">
        <v>0</v>
      </c>
      <c r="E248" s="331">
        <v>219</v>
      </c>
      <c r="F248" s="331">
        <v>812</v>
      </c>
      <c r="G248" s="331">
        <v>746</v>
      </c>
      <c r="H248" s="331">
        <v>7767</v>
      </c>
      <c r="I248" s="330">
        <v>7021</v>
      </c>
      <c r="J248" s="330">
        <v>0</v>
      </c>
      <c r="K248" s="332">
        <v>111.3</v>
      </c>
      <c r="L248" s="332">
        <v>110.12</v>
      </c>
      <c r="M248" s="332">
        <v>5.27</v>
      </c>
      <c r="N248" s="332">
        <v>113.23</v>
      </c>
      <c r="O248" s="333">
        <v>5242</v>
      </c>
      <c r="P248" s="330">
        <v>97.65</v>
      </c>
      <c r="Q248" s="330">
        <v>92.38</v>
      </c>
      <c r="R248" s="330">
        <v>26</v>
      </c>
      <c r="S248" s="330">
        <v>121.23</v>
      </c>
      <c r="T248" s="330">
        <v>866</v>
      </c>
      <c r="U248" s="330">
        <v>165.61</v>
      </c>
      <c r="V248" s="330">
        <v>536</v>
      </c>
      <c r="W248" s="330">
        <v>163.19</v>
      </c>
      <c r="X248" s="330">
        <v>40</v>
      </c>
      <c r="Y248" s="330">
        <v>0</v>
      </c>
      <c r="Z248" s="330">
        <v>10</v>
      </c>
      <c r="AA248" s="330">
        <v>18</v>
      </c>
      <c r="AB248" s="330">
        <v>34</v>
      </c>
      <c r="AC248" s="330">
        <v>13</v>
      </c>
      <c r="AD248" s="334">
        <v>5804</v>
      </c>
      <c r="AE248" s="334">
        <v>20</v>
      </c>
      <c r="AF248" s="334">
        <v>18</v>
      </c>
      <c r="AG248" s="334">
        <v>38</v>
      </c>
    </row>
    <row r="249" spans="1:33" x14ac:dyDescent="0.25">
      <c r="A249" s="329" t="s">
        <v>552</v>
      </c>
      <c r="B249" s="335" t="s">
        <v>553</v>
      </c>
      <c r="C249" s="331">
        <v>3848</v>
      </c>
      <c r="D249" s="331">
        <v>3</v>
      </c>
      <c r="E249" s="331">
        <v>260</v>
      </c>
      <c r="F249" s="331">
        <v>1123</v>
      </c>
      <c r="G249" s="331">
        <v>180</v>
      </c>
      <c r="H249" s="331">
        <v>5414</v>
      </c>
      <c r="I249" s="330">
        <v>5234</v>
      </c>
      <c r="J249" s="330">
        <v>28</v>
      </c>
      <c r="K249" s="332">
        <v>87.81</v>
      </c>
      <c r="L249" s="332">
        <v>87.11</v>
      </c>
      <c r="M249" s="332">
        <v>2.69</v>
      </c>
      <c r="N249" s="332">
        <v>90.4</v>
      </c>
      <c r="O249" s="333">
        <v>3528</v>
      </c>
      <c r="P249" s="330">
        <v>87.37</v>
      </c>
      <c r="Q249" s="330">
        <v>80.62</v>
      </c>
      <c r="R249" s="330">
        <v>24.38</v>
      </c>
      <c r="S249" s="330">
        <v>111.71</v>
      </c>
      <c r="T249" s="330">
        <v>1297</v>
      </c>
      <c r="U249" s="330">
        <v>99.66</v>
      </c>
      <c r="V249" s="330">
        <v>306</v>
      </c>
      <c r="W249" s="330">
        <v>0</v>
      </c>
      <c r="X249" s="330">
        <v>0</v>
      </c>
      <c r="Y249" s="330">
        <v>0</v>
      </c>
      <c r="Z249" s="330">
        <v>5</v>
      </c>
      <c r="AA249" s="330">
        <v>6</v>
      </c>
      <c r="AB249" s="330">
        <v>9</v>
      </c>
      <c r="AC249" s="330">
        <v>1</v>
      </c>
      <c r="AD249" s="334">
        <v>3848</v>
      </c>
      <c r="AE249" s="334">
        <v>31</v>
      </c>
      <c r="AF249" s="334">
        <v>2</v>
      </c>
      <c r="AG249" s="334">
        <v>33</v>
      </c>
    </row>
    <row r="250" spans="1:33" x14ac:dyDescent="0.25">
      <c r="A250" s="329" t="s">
        <v>554</v>
      </c>
      <c r="B250" s="335" t="s">
        <v>555</v>
      </c>
      <c r="C250" s="331">
        <v>9034</v>
      </c>
      <c r="D250" s="331">
        <v>0</v>
      </c>
      <c r="E250" s="331">
        <v>344</v>
      </c>
      <c r="F250" s="331">
        <v>1695</v>
      </c>
      <c r="G250" s="331">
        <v>595</v>
      </c>
      <c r="H250" s="331">
        <v>11668</v>
      </c>
      <c r="I250" s="330">
        <v>11073</v>
      </c>
      <c r="J250" s="330">
        <v>1</v>
      </c>
      <c r="K250" s="332">
        <v>92.59</v>
      </c>
      <c r="L250" s="332">
        <v>91.99</v>
      </c>
      <c r="M250" s="332">
        <v>4.16</v>
      </c>
      <c r="N250" s="332">
        <v>93.89</v>
      </c>
      <c r="O250" s="333">
        <v>8152</v>
      </c>
      <c r="P250" s="330">
        <v>88.88</v>
      </c>
      <c r="Q250" s="330">
        <v>83.85</v>
      </c>
      <c r="R250" s="330">
        <v>30.18</v>
      </c>
      <c r="S250" s="330">
        <v>118.97</v>
      </c>
      <c r="T250" s="330">
        <v>2010</v>
      </c>
      <c r="U250" s="330">
        <v>113.91</v>
      </c>
      <c r="V250" s="330">
        <v>562</v>
      </c>
      <c r="W250" s="330">
        <v>116.74</v>
      </c>
      <c r="X250" s="330">
        <v>21</v>
      </c>
      <c r="Y250" s="330">
        <v>0</v>
      </c>
      <c r="Z250" s="330">
        <v>30</v>
      </c>
      <c r="AA250" s="330">
        <v>31</v>
      </c>
      <c r="AB250" s="330">
        <v>27</v>
      </c>
      <c r="AC250" s="330">
        <v>16</v>
      </c>
      <c r="AD250" s="334">
        <v>8935</v>
      </c>
      <c r="AE250" s="334">
        <v>38</v>
      </c>
      <c r="AF250" s="334">
        <v>9</v>
      </c>
      <c r="AG250" s="334">
        <v>47</v>
      </c>
    </row>
    <row r="251" spans="1:33" x14ac:dyDescent="0.25">
      <c r="A251" s="329" t="s">
        <v>556</v>
      </c>
      <c r="B251" s="335" t="s">
        <v>557</v>
      </c>
      <c r="C251" s="331">
        <v>5680</v>
      </c>
      <c r="D251" s="331">
        <v>0</v>
      </c>
      <c r="E251" s="331">
        <v>258</v>
      </c>
      <c r="F251" s="331">
        <v>673</v>
      </c>
      <c r="G251" s="331">
        <v>282</v>
      </c>
      <c r="H251" s="331">
        <v>6893</v>
      </c>
      <c r="I251" s="330">
        <v>6611</v>
      </c>
      <c r="J251" s="330">
        <v>0</v>
      </c>
      <c r="K251" s="332">
        <v>88.68</v>
      </c>
      <c r="L251" s="332">
        <v>84.99</v>
      </c>
      <c r="M251" s="332">
        <v>4.5199999999999996</v>
      </c>
      <c r="N251" s="332">
        <v>89.92</v>
      </c>
      <c r="O251" s="333">
        <v>5536</v>
      </c>
      <c r="P251" s="330">
        <v>81.91</v>
      </c>
      <c r="Q251" s="330">
        <v>81.739999999999995</v>
      </c>
      <c r="R251" s="330">
        <v>37.630000000000003</v>
      </c>
      <c r="S251" s="330">
        <v>119.3</v>
      </c>
      <c r="T251" s="330">
        <v>801</v>
      </c>
      <c r="U251" s="330">
        <v>108.01</v>
      </c>
      <c r="V251" s="330">
        <v>106</v>
      </c>
      <c r="W251" s="330">
        <v>171.27</v>
      </c>
      <c r="X251" s="330">
        <v>130</v>
      </c>
      <c r="Y251" s="330">
        <v>0</v>
      </c>
      <c r="Z251" s="330">
        <v>6</v>
      </c>
      <c r="AA251" s="330">
        <v>1</v>
      </c>
      <c r="AB251" s="330">
        <v>23</v>
      </c>
      <c r="AC251" s="330">
        <v>3</v>
      </c>
      <c r="AD251" s="334">
        <v>5680</v>
      </c>
      <c r="AE251" s="334">
        <v>21</v>
      </c>
      <c r="AF251" s="334">
        <v>15</v>
      </c>
      <c r="AG251" s="334">
        <v>36</v>
      </c>
    </row>
    <row r="252" spans="1:33" x14ac:dyDescent="0.25">
      <c r="A252" s="329" t="s">
        <v>558</v>
      </c>
      <c r="B252" s="335" t="s">
        <v>559</v>
      </c>
      <c r="C252" s="331">
        <v>3791</v>
      </c>
      <c r="D252" s="331">
        <v>30</v>
      </c>
      <c r="E252" s="331">
        <v>426</v>
      </c>
      <c r="F252" s="331">
        <v>842</v>
      </c>
      <c r="G252" s="331">
        <v>181</v>
      </c>
      <c r="H252" s="331">
        <v>5270</v>
      </c>
      <c r="I252" s="330">
        <v>5089</v>
      </c>
      <c r="J252" s="330">
        <v>0</v>
      </c>
      <c r="K252" s="332">
        <v>81.27</v>
      </c>
      <c r="L252" s="332">
        <v>77.92</v>
      </c>
      <c r="M252" s="332">
        <v>3.17</v>
      </c>
      <c r="N252" s="332">
        <v>83.58</v>
      </c>
      <c r="O252" s="333">
        <v>3156</v>
      </c>
      <c r="P252" s="330">
        <v>84.39</v>
      </c>
      <c r="Q252" s="330">
        <v>77.66</v>
      </c>
      <c r="R252" s="330">
        <v>60.13</v>
      </c>
      <c r="S252" s="330">
        <v>142.58000000000001</v>
      </c>
      <c r="T252" s="330">
        <v>930</v>
      </c>
      <c r="U252" s="330">
        <v>95.98</v>
      </c>
      <c r="V252" s="330">
        <v>562</v>
      </c>
      <c r="W252" s="330">
        <v>109.28</v>
      </c>
      <c r="X252" s="330">
        <v>248</v>
      </c>
      <c r="Y252" s="330">
        <v>0</v>
      </c>
      <c r="Z252" s="330">
        <v>0</v>
      </c>
      <c r="AA252" s="330">
        <v>18</v>
      </c>
      <c r="AB252" s="330">
        <v>2</v>
      </c>
      <c r="AC252" s="330">
        <v>5</v>
      </c>
      <c r="AD252" s="334">
        <v>3638</v>
      </c>
      <c r="AE252" s="334">
        <v>52</v>
      </c>
      <c r="AF252" s="334">
        <v>6</v>
      </c>
      <c r="AG252" s="334">
        <v>58</v>
      </c>
    </row>
    <row r="253" spans="1:33" x14ac:dyDescent="0.25">
      <c r="A253" s="329" t="s">
        <v>560</v>
      </c>
      <c r="B253" s="335" t="s">
        <v>561</v>
      </c>
      <c r="C253" s="331">
        <v>5882</v>
      </c>
      <c r="D253" s="331">
        <v>64</v>
      </c>
      <c r="E253" s="331">
        <v>857</v>
      </c>
      <c r="F253" s="331">
        <v>1064</v>
      </c>
      <c r="G253" s="331">
        <v>971</v>
      </c>
      <c r="H253" s="331">
        <v>8838</v>
      </c>
      <c r="I253" s="330">
        <v>7867</v>
      </c>
      <c r="J253" s="330">
        <v>52</v>
      </c>
      <c r="K253" s="332">
        <v>105.97</v>
      </c>
      <c r="L253" s="332">
        <v>104.15</v>
      </c>
      <c r="M253" s="332">
        <v>7.08</v>
      </c>
      <c r="N253" s="332">
        <v>112.01</v>
      </c>
      <c r="O253" s="333">
        <v>4642</v>
      </c>
      <c r="P253" s="330">
        <v>92.13</v>
      </c>
      <c r="Q253" s="330">
        <v>89.69</v>
      </c>
      <c r="R253" s="330">
        <v>38.729999999999997</v>
      </c>
      <c r="S253" s="330">
        <v>129.59</v>
      </c>
      <c r="T253" s="330">
        <v>1639</v>
      </c>
      <c r="U253" s="330">
        <v>143.04</v>
      </c>
      <c r="V253" s="330">
        <v>771</v>
      </c>
      <c r="W253" s="330">
        <v>122.05</v>
      </c>
      <c r="X253" s="330">
        <v>2</v>
      </c>
      <c r="Y253" s="330">
        <v>82</v>
      </c>
      <c r="Z253" s="330">
        <v>3</v>
      </c>
      <c r="AA253" s="330">
        <v>13</v>
      </c>
      <c r="AB253" s="330">
        <v>10</v>
      </c>
      <c r="AC253" s="330">
        <v>43</v>
      </c>
      <c r="AD253" s="334">
        <v>5667</v>
      </c>
      <c r="AE253" s="334">
        <v>20</v>
      </c>
      <c r="AF253" s="334">
        <v>18</v>
      </c>
      <c r="AG253" s="334">
        <v>38</v>
      </c>
    </row>
    <row r="254" spans="1:33" x14ac:dyDescent="0.25">
      <c r="A254" s="329" t="s">
        <v>562</v>
      </c>
      <c r="B254" s="335" t="s">
        <v>563</v>
      </c>
      <c r="C254" s="331">
        <v>2796</v>
      </c>
      <c r="D254" s="331">
        <v>0</v>
      </c>
      <c r="E254" s="331">
        <v>461</v>
      </c>
      <c r="F254" s="331">
        <v>325</v>
      </c>
      <c r="G254" s="331">
        <v>331</v>
      </c>
      <c r="H254" s="331">
        <v>3913</v>
      </c>
      <c r="I254" s="330">
        <v>3582</v>
      </c>
      <c r="J254" s="330">
        <v>18</v>
      </c>
      <c r="K254" s="332">
        <v>98.57</v>
      </c>
      <c r="L254" s="332">
        <v>96.9</v>
      </c>
      <c r="M254" s="332">
        <v>10.99</v>
      </c>
      <c r="N254" s="332">
        <v>107.33</v>
      </c>
      <c r="O254" s="333">
        <v>2475</v>
      </c>
      <c r="P254" s="330">
        <v>90.46</v>
      </c>
      <c r="Q254" s="330">
        <v>86.67</v>
      </c>
      <c r="R254" s="330">
        <v>56.26</v>
      </c>
      <c r="S254" s="330">
        <v>144.37</v>
      </c>
      <c r="T254" s="330">
        <v>504</v>
      </c>
      <c r="U254" s="330">
        <v>149.05000000000001</v>
      </c>
      <c r="V254" s="330">
        <v>303</v>
      </c>
      <c r="W254" s="330">
        <v>0</v>
      </c>
      <c r="X254" s="330">
        <v>0</v>
      </c>
      <c r="Y254" s="330">
        <v>0</v>
      </c>
      <c r="Z254" s="330">
        <v>0</v>
      </c>
      <c r="AA254" s="330">
        <v>3</v>
      </c>
      <c r="AB254" s="330">
        <v>32</v>
      </c>
      <c r="AC254" s="330">
        <v>2</v>
      </c>
      <c r="AD254" s="334">
        <v>2796</v>
      </c>
      <c r="AE254" s="334">
        <v>11</v>
      </c>
      <c r="AF254" s="334">
        <v>23</v>
      </c>
      <c r="AG254" s="334">
        <v>34</v>
      </c>
    </row>
    <row r="255" spans="1:33" x14ac:dyDescent="0.25">
      <c r="A255" s="329" t="s">
        <v>564</v>
      </c>
      <c r="B255" s="335" t="s">
        <v>565</v>
      </c>
      <c r="C255" s="331">
        <v>14654</v>
      </c>
      <c r="D255" s="331">
        <v>261</v>
      </c>
      <c r="E255" s="331">
        <v>1551</v>
      </c>
      <c r="F255" s="331">
        <v>648</v>
      </c>
      <c r="G255" s="331">
        <v>2972</v>
      </c>
      <c r="H255" s="331">
        <v>20086</v>
      </c>
      <c r="I255" s="330">
        <v>17114</v>
      </c>
      <c r="J255" s="330">
        <v>253</v>
      </c>
      <c r="K255" s="332">
        <v>123.27</v>
      </c>
      <c r="L255" s="332">
        <v>124.19</v>
      </c>
      <c r="M255" s="332">
        <v>12.24</v>
      </c>
      <c r="N255" s="332">
        <v>132.51</v>
      </c>
      <c r="O255" s="333">
        <v>12197</v>
      </c>
      <c r="P255" s="330">
        <v>107.88</v>
      </c>
      <c r="Q255" s="330">
        <v>106.09</v>
      </c>
      <c r="R255" s="330">
        <v>66.03</v>
      </c>
      <c r="S255" s="330">
        <v>161.47</v>
      </c>
      <c r="T255" s="330">
        <v>2079</v>
      </c>
      <c r="U255" s="330">
        <v>198.36</v>
      </c>
      <c r="V255" s="330">
        <v>995</v>
      </c>
      <c r="W255" s="330">
        <v>187.65</v>
      </c>
      <c r="X255" s="330">
        <v>25</v>
      </c>
      <c r="Y255" s="330">
        <v>115</v>
      </c>
      <c r="Z255" s="330">
        <v>8</v>
      </c>
      <c r="AA255" s="330">
        <v>25</v>
      </c>
      <c r="AB255" s="330">
        <v>215</v>
      </c>
      <c r="AC255" s="330">
        <v>62</v>
      </c>
      <c r="AD255" s="334">
        <v>13864</v>
      </c>
      <c r="AE255" s="334">
        <v>19</v>
      </c>
      <c r="AF255" s="334">
        <v>75</v>
      </c>
      <c r="AG255" s="334">
        <v>94</v>
      </c>
    </row>
    <row r="256" spans="1:33" x14ac:dyDescent="0.25">
      <c r="A256" s="329" t="s">
        <v>566</v>
      </c>
      <c r="B256" s="335" t="s">
        <v>567</v>
      </c>
      <c r="C256" s="331">
        <v>4909</v>
      </c>
      <c r="D256" s="331">
        <v>0</v>
      </c>
      <c r="E256" s="331">
        <v>111</v>
      </c>
      <c r="F256" s="331">
        <v>338</v>
      </c>
      <c r="G256" s="331">
        <v>423</v>
      </c>
      <c r="H256" s="331">
        <v>5781</v>
      </c>
      <c r="I256" s="330">
        <v>5358</v>
      </c>
      <c r="J256" s="330">
        <v>1</v>
      </c>
      <c r="K256" s="332">
        <v>116.66</v>
      </c>
      <c r="L256" s="332">
        <v>111.61</v>
      </c>
      <c r="M256" s="332">
        <v>5.13</v>
      </c>
      <c r="N256" s="332">
        <v>121.24</v>
      </c>
      <c r="O256" s="333">
        <v>4777</v>
      </c>
      <c r="P256" s="330">
        <v>109.54</v>
      </c>
      <c r="Q256" s="330">
        <v>101.33</v>
      </c>
      <c r="R256" s="330">
        <v>67.599999999999994</v>
      </c>
      <c r="S256" s="330">
        <v>176.18</v>
      </c>
      <c r="T256" s="330">
        <v>353</v>
      </c>
      <c r="U256" s="330">
        <v>214.3</v>
      </c>
      <c r="V256" s="330">
        <v>156</v>
      </c>
      <c r="W256" s="330">
        <v>134.85</v>
      </c>
      <c r="X256" s="330">
        <v>4</v>
      </c>
      <c r="Y256" s="330">
        <v>0</v>
      </c>
      <c r="Z256" s="330">
        <v>2</v>
      </c>
      <c r="AA256" s="330">
        <v>2</v>
      </c>
      <c r="AB256" s="330">
        <v>8</v>
      </c>
      <c r="AC256" s="330">
        <v>16</v>
      </c>
      <c r="AD256" s="334">
        <v>4903</v>
      </c>
      <c r="AE256" s="334">
        <v>8</v>
      </c>
      <c r="AF256" s="334">
        <v>8</v>
      </c>
      <c r="AG256" s="334">
        <v>16</v>
      </c>
    </row>
    <row r="257" spans="1:33" x14ac:dyDescent="0.25">
      <c r="A257" s="329" t="s">
        <v>568</v>
      </c>
      <c r="B257" s="335" t="s">
        <v>569</v>
      </c>
      <c r="C257" s="331">
        <v>1957</v>
      </c>
      <c r="D257" s="331">
        <v>91</v>
      </c>
      <c r="E257" s="331">
        <v>249</v>
      </c>
      <c r="F257" s="331">
        <v>192</v>
      </c>
      <c r="G257" s="331">
        <v>217</v>
      </c>
      <c r="H257" s="331">
        <v>2706</v>
      </c>
      <c r="I257" s="330">
        <v>2489</v>
      </c>
      <c r="J257" s="330">
        <v>1</v>
      </c>
      <c r="K257" s="332">
        <v>122.44</v>
      </c>
      <c r="L257" s="332">
        <v>118.34</v>
      </c>
      <c r="M257" s="332">
        <v>6.33</v>
      </c>
      <c r="N257" s="332">
        <v>128.02000000000001</v>
      </c>
      <c r="O257" s="333">
        <v>1609</v>
      </c>
      <c r="P257" s="330">
        <v>113.61</v>
      </c>
      <c r="Q257" s="330">
        <v>103.57</v>
      </c>
      <c r="R257" s="330">
        <v>36.76</v>
      </c>
      <c r="S257" s="330">
        <v>148.94999999999999</v>
      </c>
      <c r="T257" s="330">
        <v>361</v>
      </c>
      <c r="U257" s="330">
        <v>184.93</v>
      </c>
      <c r="V257" s="330">
        <v>241</v>
      </c>
      <c r="W257" s="330">
        <v>187.72</v>
      </c>
      <c r="X257" s="330">
        <v>36</v>
      </c>
      <c r="Y257" s="330">
        <v>0</v>
      </c>
      <c r="Z257" s="330">
        <v>0</v>
      </c>
      <c r="AA257" s="330">
        <v>1</v>
      </c>
      <c r="AB257" s="330">
        <v>10</v>
      </c>
      <c r="AC257" s="330">
        <v>5</v>
      </c>
      <c r="AD257" s="334">
        <v>1952</v>
      </c>
      <c r="AE257" s="334">
        <v>28</v>
      </c>
      <c r="AF257" s="334">
        <v>6</v>
      </c>
      <c r="AG257" s="334">
        <v>34</v>
      </c>
    </row>
    <row r="258" spans="1:33" x14ac:dyDescent="0.25">
      <c r="A258" s="329" t="s">
        <v>570</v>
      </c>
      <c r="B258" s="335" t="s">
        <v>571</v>
      </c>
      <c r="C258" s="331">
        <v>14455</v>
      </c>
      <c r="D258" s="331">
        <v>0</v>
      </c>
      <c r="E258" s="331">
        <v>642</v>
      </c>
      <c r="F258" s="331">
        <v>2076</v>
      </c>
      <c r="G258" s="331">
        <v>463</v>
      </c>
      <c r="H258" s="331">
        <v>17636</v>
      </c>
      <c r="I258" s="330">
        <v>17173</v>
      </c>
      <c r="J258" s="330">
        <v>3</v>
      </c>
      <c r="K258" s="332">
        <v>89.02</v>
      </c>
      <c r="L258" s="332">
        <v>88.71</v>
      </c>
      <c r="M258" s="332">
        <v>1.83</v>
      </c>
      <c r="N258" s="332">
        <v>90.67</v>
      </c>
      <c r="O258" s="333">
        <v>13339</v>
      </c>
      <c r="P258" s="330">
        <v>91.84</v>
      </c>
      <c r="Q258" s="330">
        <v>84.67</v>
      </c>
      <c r="R258" s="330">
        <v>33.46</v>
      </c>
      <c r="S258" s="330">
        <v>124.88</v>
      </c>
      <c r="T258" s="330">
        <v>2521</v>
      </c>
      <c r="U258" s="330">
        <v>100.17</v>
      </c>
      <c r="V258" s="330">
        <v>1043</v>
      </c>
      <c r="W258" s="330">
        <v>107.42</v>
      </c>
      <c r="X258" s="330">
        <v>1</v>
      </c>
      <c r="Y258" s="330">
        <v>215</v>
      </c>
      <c r="Z258" s="330">
        <v>63</v>
      </c>
      <c r="AA258" s="330">
        <v>49</v>
      </c>
      <c r="AB258" s="330">
        <v>0</v>
      </c>
      <c r="AC258" s="330">
        <v>5</v>
      </c>
      <c r="AD258" s="334">
        <v>14409</v>
      </c>
      <c r="AE258" s="334">
        <v>138</v>
      </c>
      <c r="AF258" s="334">
        <v>107</v>
      </c>
      <c r="AG258" s="334">
        <v>245</v>
      </c>
    </row>
    <row r="259" spans="1:33" x14ac:dyDescent="0.25">
      <c r="A259" s="329" t="s">
        <v>572</v>
      </c>
      <c r="B259" s="335" t="s">
        <v>573</v>
      </c>
      <c r="C259" s="331">
        <v>6196</v>
      </c>
      <c r="D259" s="331">
        <v>1</v>
      </c>
      <c r="E259" s="331">
        <v>271</v>
      </c>
      <c r="F259" s="331">
        <v>1677</v>
      </c>
      <c r="G259" s="331">
        <v>359</v>
      </c>
      <c r="H259" s="331">
        <v>8504</v>
      </c>
      <c r="I259" s="330">
        <v>8145</v>
      </c>
      <c r="J259" s="330">
        <v>3</v>
      </c>
      <c r="K259" s="332">
        <v>83.73</v>
      </c>
      <c r="L259" s="332">
        <v>82.09</v>
      </c>
      <c r="M259" s="332">
        <v>4.37</v>
      </c>
      <c r="N259" s="332">
        <v>86.28</v>
      </c>
      <c r="O259" s="333">
        <v>5659</v>
      </c>
      <c r="P259" s="330">
        <v>79.459999999999994</v>
      </c>
      <c r="Q259" s="330">
        <v>78.38</v>
      </c>
      <c r="R259" s="330">
        <v>19.190000000000001</v>
      </c>
      <c r="S259" s="330">
        <v>98.07</v>
      </c>
      <c r="T259" s="330">
        <v>1780</v>
      </c>
      <c r="U259" s="330">
        <v>102.73</v>
      </c>
      <c r="V259" s="330">
        <v>533</v>
      </c>
      <c r="W259" s="330">
        <v>156.41</v>
      </c>
      <c r="X259" s="330">
        <v>132</v>
      </c>
      <c r="Y259" s="330">
        <v>0</v>
      </c>
      <c r="Z259" s="330">
        <v>23</v>
      </c>
      <c r="AA259" s="330">
        <v>0</v>
      </c>
      <c r="AB259" s="330">
        <v>41</v>
      </c>
      <c r="AC259" s="330">
        <v>16</v>
      </c>
      <c r="AD259" s="334">
        <v>6196</v>
      </c>
      <c r="AE259" s="334">
        <v>17</v>
      </c>
      <c r="AF259" s="334">
        <v>28</v>
      </c>
      <c r="AG259" s="334">
        <v>45</v>
      </c>
    </row>
    <row r="260" spans="1:33" x14ac:dyDescent="0.25">
      <c r="A260" s="329" t="s">
        <v>574</v>
      </c>
      <c r="B260" s="335" t="s">
        <v>575</v>
      </c>
      <c r="C260" s="331">
        <v>2700</v>
      </c>
      <c r="D260" s="331">
        <v>2</v>
      </c>
      <c r="E260" s="331">
        <v>134</v>
      </c>
      <c r="F260" s="331">
        <v>949</v>
      </c>
      <c r="G260" s="331">
        <v>69</v>
      </c>
      <c r="H260" s="331">
        <v>3854</v>
      </c>
      <c r="I260" s="330">
        <v>3785</v>
      </c>
      <c r="J260" s="330">
        <v>0</v>
      </c>
      <c r="K260" s="332">
        <v>86.19</v>
      </c>
      <c r="L260" s="332">
        <v>82.81</v>
      </c>
      <c r="M260" s="332">
        <v>5.86</v>
      </c>
      <c r="N260" s="332">
        <v>87.7</v>
      </c>
      <c r="O260" s="333">
        <v>2442</v>
      </c>
      <c r="P260" s="330">
        <v>83.19</v>
      </c>
      <c r="Q260" s="330">
        <v>76.930000000000007</v>
      </c>
      <c r="R260" s="330">
        <v>21.05</v>
      </c>
      <c r="S260" s="330">
        <v>103.64</v>
      </c>
      <c r="T260" s="330">
        <v>985</v>
      </c>
      <c r="U260" s="330">
        <v>97.97</v>
      </c>
      <c r="V260" s="330">
        <v>202</v>
      </c>
      <c r="W260" s="330">
        <v>194.47</v>
      </c>
      <c r="X260" s="330">
        <v>74</v>
      </c>
      <c r="Y260" s="330">
        <v>0</v>
      </c>
      <c r="Z260" s="330">
        <v>19</v>
      </c>
      <c r="AA260" s="330">
        <v>8</v>
      </c>
      <c r="AB260" s="330">
        <v>5</v>
      </c>
      <c r="AC260" s="330">
        <v>2</v>
      </c>
      <c r="AD260" s="334">
        <v>2539</v>
      </c>
      <c r="AE260" s="334">
        <v>12</v>
      </c>
      <c r="AF260" s="334">
        <v>3</v>
      </c>
      <c r="AG260" s="334">
        <v>15</v>
      </c>
    </row>
    <row r="261" spans="1:33" x14ac:dyDescent="0.25">
      <c r="A261" s="329" t="s">
        <v>576</v>
      </c>
      <c r="B261" s="335" t="s">
        <v>577</v>
      </c>
      <c r="C261" s="331">
        <v>1668</v>
      </c>
      <c r="D261" s="331">
        <v>3</v>
      </c>
      <c r="E261" s="331">
        <v>166</v>
      </c>
      <c r="F261" s="331">
        <v>313</v>
      </c>
      <c r="G261" s="331">
        <v>406</v>
      </c>
      <c r="H261" s="331">
        <v>2556</v>
      </c>
      <c r="I261" s="330">
        <v>2150</v>
      </c>
      <c r="J261" s="330">
        <v>0</v>
      </c>
      <c r="K261" s="332">
        <v>116</v>
      </c>
      <c r="L261" s="332">
        <v>112.52</v>
      </c>
      <c r="M261" s="332">
        <v>7.09</v>
      </c>
      <c r="N261" s="332">
        <v>122.36</v>
      </c>
      <c r="O261" s="333">
        <v>1382</v>
      </c>
      <c r="P261" s="330">
        <v>102.78</v>
      </c>
      <c r="Q261" s="330">
        <v>89.96</v>
      </c>
      <c r="R261" s="330">
        <v>35.79</v>
      </c>
      <c r="S261" s="330">
        <v>138.57</v>
      </c>
      <c r="T261" s="330">
        <v>402</v>
      </c>
      <c r="U261" s="330">
        <v>134.04</v>
      </c>
      <c r="V261" s="330">
        <v>137</v>
      </c>
      <c r="W261" s="330">
        <v>0</v>
      </c>
      <c r="X261" s="330">
        <v>0</v>
      </c>
      <c r="Y261" s="330">
        <v>0</v>
      </c>
      <c r="Z261" s="330">
        <v>0</v>
      </c>
      <c r="AA261" s="330">
        <v>0</v>
      </c>
      <c r="AB261" s="330">
        <v>8</v>
      </c>
      <c r="AC261" s="330">
        <v>6</v>
      </c>
      <c r="AD261" s="334">
        <v>1541</v>
      </c>
      <c r="AE261" s="334">
        <v>7</v>
      </c>
      <c r="AF261" s="334">
        <v>1</v>
      </c>
      <c r="AG261" s="334">
        <v>8</v>
      </c>
    </row>
    <row r="262" spans="1:33" x14ac:dyDescent="0.25">
      <c r="A262" s="329" t="s">
        <v>578</v>
      </c>
      <c r="B262" s="335" t="s">
        <v>579</v>
      </c>
      <c r="C262" s="331">
        <v>4436</v>
      </c>
      <c r="D262" s="331">
        <v>4</v>
      </c>
      <c r="E262" s="331">
        <v>410</v>
      </c>
      <c r="F262" s="331">
        <v>1377</v>
      </c>
      <c r="G262" s="331">
        <v>1123</v>
      </c>
      <c r="H262" s="331">
        <v>7350</v>
      </c>
      <c r="I262" s="330">
        <v>6227</v>
      </c>
      <c r="J262" s="330">
        <v>40</v>
      </c>
      <c r="K262" s="332">
        <v>83.63</v>
      </c>
      <c r="L262" s="332">
        <v>82.42</v>
      </c>
      <c r="M262" s="332">
        <v>7.75</v>
      </c>
      <c r="N262" s="332">
        <v>87.93</v>
      </c>
      <c r="O262" s="333">
        <v>3832</v>
      </c>
      <c r="P262" s="330">
        <v>83.12</v>
      </c>
      <c r="Q262" s="330">
        <v>77.400000000000006</v>
      </c>
      <c r="R262" s="330">
        <v>28.39</v>
      </c>
      <c r="S262" s="330">
        <v>110.78</v>
      </c>
      <c r="T262" s="330">
        <v>1675</v>
      </c>
      <c r="U262" s="330">
        <v>109.17</v>
      </c>
      <c r="V262" s="330">
        <v>436</v>
      </c>
      <c r="W262" s="330">
        <v>148.25</v>
      </c>
      <c r="X262" s="330">
        <v>64</v>
      </c>
      <c r="Y262" s="330">
        <v>29</v>
      </c>
      <c r="Z262" s="330">
        <v>13</v>
      </c>
      <c r="AA262" s="330">
        <v>0</v>
      </c>
      <c r="AB262" s="330">
        <v>45</v>
      </c>
      <c r="AC262" s="330">
        <v>13</v>
      </c>
      <c r="AD262" s="334">
        <v>4211</v>
      </c>
      <c r="AE262" s="334">
        <v>30</v>
      </c>
      <c r="AF262" s="334">
        <v>4</v>
      </c>
      <c r="AG262" s="334">
        <v>34</v>
      </c>
    </row>
    <row r="263" spans="1:33" x14ac:dyDescent="0.25">
      <c r="A263" s="329" t="s">
        <v>580</v>
      </c>
      <c r="B263" s="335" t="s">
        <v>581</v>
      </c>
      <c r="C263" s="331">
        <v>12799</v>
      </c>
      <c r="D263" s="331">
        <v>4</v>
      </c>
      <c r="E263" s="331">
        <v>330</v>
      </c>
      <c r="F263" s="331">
        <v>811</v>
      </c>
      <c r="G263" s="331">
        <v>200</v>
      </c>
      <c r="H263" s="331">
        <v>14144</v>
      </c>
      <c r="I263" s="330">
        <v>13944</v>
      </c>
      <c r="J263" s="330">
        <v>6</v>
      </c>
      <c r="K263" s="332">
        <v>81.260000000000005</v>
      </c>
      <c r="L263" s="332">
        <v>80.709999999999994</v>
      </c>
      <c r="M263" s="332">
        <v>10.73</v>
      </c>
      <c r="N263" s="332">
        <v>84.22</v>
      </c>
      <c r="O263" s="333">
        <v>11102</v>
      </c>
      <c r="P263" s="330">
        <v>84.8</v>
      </c>
      <c r="Q263" s="330">
        <v>77.19</v>
      </c>
      <c r="R263" s="330">
        <v>47.44</v>
      </c>
      <c r="S263" s="330">
        <v>130.54</v>
      </c>
      <c r="T263" s="330">
        <v>1060</v>
      </c>
      <c r="U263" s="330">
        <v>97.82</v>
      </c>
      <c r="V263" s="330">
        <v>1600</v>
      </c>
      <c r="W263" s="330">
        <v>167.71</v>
      </c>
      <c r="X263" s="330">
        <v>56</v>
      </c>
      <c r="Y263" s="330">
        <v>0</v>
      </c>
      <c r="Z263" s="330">
        <v>39</v>
      </c>
      <c r="AA263" s="330">
        <v>2</v>
      </c>
      <c r="AB263" s="330">
        <v>26</v>
      </c>
      <c r="AC263" s="330">
        <v>0</v>
      </c>
      <c r="AD263" s="334">
        <v>12769</v>
      </c>
      <c r="AE263" s="334">
        <v>133</v>
      </c>
      <c r="AF263" s="334">
        <v>144</v>
      </c>
      <c r="AG263" s="334">
        <v>277</v>
      </c>
    </row>
    <row r="264" spans="1:33" x14ac:dyDescent="0.25">
      <c r="A264" s="329" t="s">
        <v>582</v>
      </c>
      <c r="B264" s="335" t="s">
        <v>583</v>
      </c>
      <c r="C264" s="331">
        <v>5909</v>
      </c>
      <c r="D264" s="331">
        <v>14</v>
      </c>
      <c r="E264" s="331">
        <v>743</v>
      </c>
      <c r="F264" s="331">
        <v>1492</v>
      </c>
      <c r="G264" s="331">
        <v>260</v>
      </c>
      <c r="H264" s="331">
        <v>8418</v>
      </c>
      <c r="I264" s="330">
        <v>8158</v>
      </c>
      <c r="J264" s="330">
        <v>11</v>
      </c>
      <c r="K264" s="332">
        <v>77.61</v>
      </c>
      <c r="L264" s="332">
        <v>75.34</v>
      </c>
      <c r="M264" s="332">
        <v>4.6900000000000004</v>
      </c>
      <c r="N264" s="332">
        <v>80.849999999999994</v>
      </c>
      <c r="O264" s="333">
        <v>4878</v>
      </c>
      <c r="P264" s="330">
        <v>93.51</v>
      </c>
      <c r="Q264" s="330">
        <v>79.34</v>
      </c>
      <c r="R264" s="330">
        <v>55.84</v>
      </c>
      <c r="S264" s="330">
        <v>148.85</v>
      </c>
      <c r="T264" s="330">
        <v>1799</v>
      </c>
      <c r="U264" s="330">
        <v>92.2</v>
      </c>
      <c r="V264" s="330">
        <v>493</v>
      </c>
      <c r="W264" s="330">
        <v>184.33</v>
      </c>
      <c r="X264" s="330">
        <v>129</v>
      </c>
      <c r="Y264" s="330">
        <v>6</v>
      </c>
      <c r="Z264" s="330">
        <v>4</v>
      </c>
      <c r="AA264" s="330">
        <v>38</v>
      </c>
      <c r="AB264" s="330">
        <v>3</v>
      </c>
      <c r="AC264" s="330">
        <v>8</v>
      </c>
      <c r="AD264" s="334">
        <v>5346</v>
      </c>
      <c r="AE264" s="334">
        <v>36</v>
      </c>
      <c r="AF264" s="334">
        <v>41</v>
      </c>
      <c r="AG264" s="334">
        <v>77</v>
      </c>
    </row>
    <row r="265" spans="1:33" x14ac:dyDescent="0.25">
      <c r="A265" s="329" t="s">
        <v>584</v>
      </c>
      <c r="B265" s="335" t="s">
        <v>585</v>
      </c>
      <c r="C265" s="331">
        <v>6753</v>
      </c>
      <c r="D265" s="331">
        <v>2</v>
      </c>
      <c r="E265" s="331">
        <v>110</v>
      </c>
      <c r="F265" s="331">
        <v>661</v>
      </c>
      <c r="G265" s="331">
        <v>675</v>
      </c>
      <c r="H265" s="331">
        <v>8201</v>
      </c>
      <c r="I265" s="330">
        <v>7526</v>
      </c>
      <c r="J265" s="330">
        <v>36</v>
      </c>
      <c r="K265" s="332">
        <v>105.15</v>
      </c>
      <c r="L265" s="332">
        <v>99.37</v>
      </c>
      <c r="M265" s="332">
        <v>4.8</v>
      </c>
      <c r="N265" s="332">
        <v>106.92</v>
      </c>
      <c r="O265" s="333">
        <v>6206</v>
      </c>
      <c r="P265" s="330">
        <v>89</v>
      </c>
      <c r="Q265" s="330">
        <v>88.67</v>
      </c>
      <c r="R265" s="330">
        <v>29.61</v>
      </c>
      <c r="S265" s="330">
        <v>118.18</v>
      </c>
      <c r="T265" s="330">
        <v>677</v>
      </c>
      <c r="U265" s="330">
        <v>132.82</v>
      </c>
      <c r="V265" s="330">
        <v>200</v>
      </c>
      <c r="W265" s="330">
        <v>162.57</v>
      </c>
      <c r="X265" s="330">
        <v>11</v>
      </c>
      <c r="Y265" s="330">
        <v>0</v>
      </c>
      <c r="Z265" s="330">
        <v>9</v>
      </c>
      <c r="AA265" s="330">
        <v>37</v>
      </c>
      <c r="AB265" s="330">
        <v>106</v>
      </c>
      <c r="AC265" s="330">
        <v>23</v>
      </c>
      <c r="AD265" s="334">
        <v>6383</v>
      </c>
      <c r="AE265" s="334">
        <v>26</v>
      </c>
      <c r="AF265" s="334">
        <v>46</v>
      </c>
      <c r="AG265" s="334">
        <v>72</v>
      </c>
    </row>
    <row r="266" spans="1:33" x14ac:dyDescent="0.25">
      <c r="A266" s="329" t="s">
        <v>586</v>
      </c>
      <c r="B266" s="335" t="s">
        <v>587</v>
      </c>
      <c r="C266" s="331">
        <v>1444</v>
      </c>
      <c r="D266" s="331">
        <v>0</v>
      </c>
      <c r="E266" s="331">
        <v>150</v>
      </c>
      <c r="F266" s="331">
        <v>146</v>
      </c>
      <c r="G266" s="331">
        <v>315</v>
      </c>
      <c r="H266" s="331">
        <v>2055</v>
      </c>
      <c r="I266" s="330">
        <v>1740</v>
      </c>
      <c r="J266" s="330">
        <v>0</v>
      </c>
      <c r="K266" s="332">
        <v>98.95</v>
      </c>
      <c r="L266" s="332">
        <v>90.03</v>
      </c>
      <c r="M266" s="332">
        <v>4.7699999999999996</v>
      </c>
      <c r="N266" s="332">
        <v>102.78</v>
      </c>
      <c r="O266" s="333">
        <v>1026</v>
      </c>
      <c r="P266" s="330">
        <v>104.37</v>
      </c>
      <c r="Q266" s="330">
        <v>77.45</v>
      </c>
      <c r="R266" s="330">
        <v>44.01</v>
      </c>
      <c r="S266" s="330">
        <v>143.93</v>
      </c>
      <c r="T266" s="330">
        <v>267</v>
      </c>
      <c r="U266" s="330">
        <v>118.91</v>
      </c>
      <c r="V266" s="330">
        <v>333</v>
      </c>
      <c r="W266" s="330">
        <v>0</v>
      </c>
      <c r="X266" s="330">
        <v>0</v>
      </c>
      <c r="Y266" s="330">
        <v>2</v>
      </c>
      <c r="Z266" s="330">
        <v>0</v>
      </c>
      <c r="AA266" s="330">
        <v>12</v>
      </c>
      <c r="AB266" s="330">
        <v>21</v>
      </c>
      <c r="AC266" s="330">
        <v>9</v>
      </c>
      <c r="AD266" s="334">
        <v>1372</v>
      </c>
      <c r="AE266" s="334">
        <v>13</v>
      </c>
      <c r="AF266" s="334">
        <v>1</v>
      </c>
      <c r="AG266" s="334">
        <v>14</v>
      </c>
    </row>
    <row r="267" spans="1:33" x14ac:dyDescent="0.25">
      <c r="A267" s="329" t="s">
        <v>588</v>
      </c>
      <c r="B267" s="335" t="s">
        <v>589</v>
      </c>
      <c r="C267" s="331">
        <v>31717</v>
      </c>
      <c r="D267" s="331">
        <v>38</v>
      </c>
      <c r="E267" s="331">
        <v>509</v>
      </c>
      <c r="F267" s="331">
        <v>2000</v>
      </c>
      <c r="G267" s="331">
        <v>275</v>
      </c>
      <c r="H267" s="331">
        <v>34539</v>
      </c>
      <c r="I267" s="330">
        <v>34264</v>
      </c>
      <c r="J267" s="330">
        <v>773</v>
      </c>
      <c r="K267" s="332">
        <v>79.61</v>
      </c>
      <c r="L267" s="332">
        <v>79.7</v>
      </c>
      <c r="M267" s="332">
        <v>6.95</v>
      </c>
      <c r="N267" s="332">
        <v>80.94</v>
      </c>
      <c r="O267" s="333">
        <v>29599</v>
      </c>
      <c r="P267" s="330">
        <v>84.08</v>
      </c>
      <c r="Q267" s="330">
        <v>77.77</v>
      </c>
      <c r="R267" s="330">
        <v>37.96</v>
      </c>
      <c r="S267" s="330">
        <v>120.42</v>
      </c>
      <c r="T267" s="330">
        <v>2024</v>
      </c>
      <c r="U267" s="330">
        <v>97.56</v>
      </c>
      <c r="V267" s="330">
        <v>1788</v>
      </c>
      <c r="W267" s="330">
        <v>167.7</v>
      </c>
      <c r="X267" s="330">
        <v>434</v>
      </c>
      <c r="Y267" s="330">
        <v>0</v>
      </c>
      <c r="Z267" s="330">
        <v>162</v>
      </c>
      <c r="AA267" s="330">
        <v>32</v>
      </c>
      <c r="AB267" s="330">
        <v>5</v>
      </c>
      <c r="AC267" s="330">
        <v>11</v>
      </c>
      <c r="AD267" s="334">
        <v>31415</v>
      </c>
      <c r="AE267" s="334">
        <v>362</v>
      </c>
      <c r="AF267" s="334">
        <v>66</v>
      </c>
      <c r="AG267" s="334">
        <v>428</v>
      </c>
    </row>
    <row r="268" spans="1:33" x14ac:dyDescent="0.25">
      <c r="A268" s="329" t="s">
        <v>590</v>
      </c>
      <c r="B268" s="335" t="s">
        <v>591</v>
      </c>
      <c r="C268" s="331">
        <v>3018</v>
      </c>
      <c r="D268" s="331">
        <v>1</v>
      </c>
      <c r="E268" s="331">
        <v>152</v>
      </c>
      <c r="F268" s="331">
        <v>307</v>
      </c>
      <c r="G268" s="331">
        <v>258</v>
      </c>
      <c r="H268" s="331">
        <v>3736</v>
      </c>
      <c r="I268" s="330">
        <v>3478</v>
      </c>
      <c r="J268" s="330">
        <v>176</v>
      </c>
      <c r="K268" s="332">
        <v>112.37</v>
      </c>
      <c r="L268" s="332">
        <v>109.21</v>
      </c>
      <c r="M268" s="332">
        <v>6.39</v>
      </c>
      <c r="N268" s="332">
        <v>115.74</v>
      </c>
      <c r="O268" s="333">
        <v>2981</v>
      </c>
      <c r="P268" s="330">
        <v>113.98</v>
      </c>
      <c r="Q268" s="330">
        <v>88.71</v>
      </c>
      <c r="R268" s="330">
        <v>34.07</v>
      </c>
      <c r="S268" s="330">
        <v>147.72999999999999</v>
      </c>
      <c r="T268" s="330">
        <v>429</v>
      </c>
      <c r="U268" s="330">
        <v>229.31</v>
      </c>
      <c r="V268" s="330">
        <v>35</v>
      </c>
      <c r="W268" s="330">
        <v>0</v>
      </c>
      <c r="X268" s="330">
        <v>0</v>
      </c>
      <c r="Y268" s="330">
        <v>0</v>
      </c>
      <c r="Z268" s="330">
        <v>0</v>
      </c>
      <c r="AA268" s="330">
        <v>0</v>
      </c>
      <c r="AB268" s="330">
        <v>12</v>
      </c>
      <c r="AC268" s="330">
        <v>14</v>
      </c>
      <c r="AD268" s="334">
        <v>3018</v>
      </c>
      <c r="AE268" s="334">
        <v>18</v>
      </c>
      <c r="AF268" s="334">
        <v>2</v>
      </c>
      <c r="AG268" s="334">
        <v>20</v>
      </c>
    </row>
    <row r="269" spans="1:33" x14ac:dyDescent="0.25">
      <c r="A269" s="329" t="s">
        <v>592</v>
      </c>
      <c r="B269" s="335" t="s">
        <v>593</v>
      </c>
      <c r="C269" s="331">
        <v>4614</v>
      </c>
      <c r="D269" s="331">
        <v>0</v>
      </c>
      <c r="E269" s="331">
        <v>396</v>
      </c>
      <c r="F269" s="331">
        <v>901</v>
      </c>
      <c r="G269" s="331">
        <v>671</v>
      </c>
      <c r="H269" s="331">
        <v>6582</v>
      </c>
      <c r="I269" s="330">
        <v>5911</v>
      </c>
      <c r="J269" s="330">
        <v>58</v>
      </c>
      <c r="K269" s="332">
        <v>117.93</v>
      </c>
      <c r="L269" s="332">
        <v>117.45</v>
      </c>
      <c r="M269" s="332">
        <v>7.71</v>
      </c>
      <c r="N269" s="332">
        <v>124.94</v>
      </c>
      <c r="O269" s="333">
        <v>4102</v>
      </c>
      <c r="P269" s="330">
        <v>112.65</v>
      </c>
      <c r="Q269" s="330">
        <v>104.43</v>
      </c>
      <c r="R269" s="330">
        <v>43.82</v>
      </c>
      <c r="S269" s="330">
        <v>151.97999999999999</v>
      </c>
      <c r="T269" s="330">
        <v>761</v>
      </c>
      <c r="U269" s="330">
        <v>178.84</v>
      </c>
      <c r="V269" s="330">
        <v>330</v>
      </c>
      <c r="W269" s="330">
        <v>216.98</v>
      </c>
      <c r="X269" s="330">
        <v>90</v>
      </c>
      <c r="Y269" s="330">
        <v>0</v>
      </c>
      <c r="Z269" s="330">
        <v>6</v>
      </c>
      <c r="AA269" s="330">
        <v>1</v>
      </c>
      <c r="AB269" s="330">
        <v>102</v>
      </c>
      <c r="AC269" s="330">
        <v>18</v>
      </c>
      <c r="AD269" s="334">
        <v>4452</v>
      </c>
      <c r="AE269" s="334">
        <v>13</v>
      </c>
      <c r="AF269" s="334">
        <v>14</v>
      </c>
      <c r="AG269" s="334">
        <v>27</v>
      </c>
    </row>
    <row r="270" spans="1:33" x14ac:dyDescent="0.25">
      <c r="A270" s="329" t="s">
        <v>594</v>
      </c>
      <c r="B270" s="335" t="s">
        <v>595</v>
      </c>
      <c r="C270" s="331">
        <v>7648</v>
      </c>
      <c r="D270" s="331">
        <v>0</v>
      </c>
      <c r="E270" s="331">
        <v>287</v>
      </c>
      <c r="F270" s="331">
        <v>438</v>
      </c>
      <c r="G270" s="331">
        <v>617</v>
      </c>
      <c r="H270" s="331">
        <v>8990</v>
      </c>
      <c r="I270" s="330">
        <v>8373</v>
      </c>
      <c r="J270" s="330">
        <v>4</v>
      </c>
      <c r="K270" s="332">
        <v>98.39</v>
      </c>
      <c r="L270" s="332">
        <v>97.7</v>
      </c>
      <c r="M270" s="332">
        <v>5.52</v>
      </c>
      <c r="N270" s="332">
        <v>100.92</v>
      </c>
      <c r="O270" s="333">
        <v>6523</v>
      </c>
      <c r="P270" s="330">
        <v>88.2</v>
      </c>
      <c r="Q270" s="330">
        <v>82.82</v>
      </c>
      <c r="R270" s="330">
        <v>47.49</v>
      </c>
      <c r="S270" s="330">
        <v>135.55000000000001</v>
      </c>
      <c r="T270" s="330">
        <v>655</v>
      </c>
      <c r="U270" s="330">
        <v>127.23</v>
      </c>
      <c r="V270" s="330">
        <v>1014</v>
      </c>
      <c r="W270" s="330">
        <v>0</v>
      </c>
      <c r="X270" s="330">
        <v>0</v>
      </c>
      <c r="Y270" s="330">
        <v>0</v>
      </c>
      <c r="Z270" s="330">
        <v>6</v>
      </c>
      <c r="AA270" s="330">
        <v>9</v>
      </c>
      <c r="AB270" s="330">
        <v>61</v>
      </c>
      <c r="AC270" s="330">
        <v>14</v>
      </c>
      <c r="AD270" s="334">
        <v>7559</v>
      </c>
      <c r="AE270" s="334">
        <v>20</v>
      </c>
      <c r="AF270" s="334">
        <v>19</v>
      </c>
      <c r="AG270" s="334">
        <v>39</v>
      </c>
    </row>
    <row r="271" spans="1:33" x14ac:dyDescent="0.25">
      <c r="A271" s="329" t="s">
        <v>596</v>
      </c>
      <c r="B271" s="335" t="s">
        <v>597</v>
      </c>
      <c r="C271" s="331">
        <v>3912</v>
      </c>
      <c r="D271" s="331">
        <v>12</v>
      </c>
      <c r="E271" s="331">
        <v>509</v>
      </c>
      <c r="F271" s="331">
        <v>804</v>
      </c>
      <c r="G271" s="331">
        <v>991</v>
      </c>
      <c r="H271" s="331">
        <v>6228</v>
      </c>
      <c r="I271" s="330">
        <v>5237</v>
      </c>
      <c r="J271" s="330">
        <v>0</v>
      </c>
      <c r="K271" s="332">
        <v>96.92</v>
      </c>
      <c r="L271" s="332">
        <v>93.41</v>
      </c>
      <c r="M271" s="332">
        <v>7.84</v>
      </c>
      <c r="N271" s="332">
        <v>103.07</v>
      </c>
      <c r="O271" s="333">
        <v>3151</v>
      </c>
      <c r="P271" s="330">
        <v>83.83</v>
      </c>
      <c r="Q271" s="330">
        <v>80.5</v>
      </c>
      <c r="R271" s="330">
        <v>45.98</v>
      </c>
      <c r="S271" s="330">
        <v>128.06</v>
      </c>
      <c r="T271" s="330">
        <v>1185</v>
      </c>
      <c r="U271" s="330">
        <v>127.3</v>
      </c>
      <c r="V271" s="330">
        <v>516</v>
      </c>
      <c r="W271" s="330">
        <v>169.77</v>
      </c>
      <c r="X271" s="330">
        <v>79</v>
      </c>
      <c r="Y271" s="330">
        <v>25</v>
      </c>
      <c r="Z271" s="330">
        <v>2</v>
      </c>
      <c r="AA271" s="330">
        <v>2</v>
      </c>
      <c r="AB271" s="330">
        <v>57</v>
      </c>
      <c r="AC271" s="330">
        <v>32</v>
      </c>
      <c r="AD271" s="334">
        <v>3795</v>
      </c>
      <c r="AE271" s="334">
        <v>22</v>
      </c>
      <c r="AF271" s="334">
        <v>8</v>
      </c>
      <c r="AG271" s="334">
        <v>30</v>
      </c>
    </row>
    <row r="272" spans="1:33" x14ac:dyDescent="0.25">
      <c r="A272" s="329" t="s">
        <v>598</v>
      </c>
      <c r="B272" s="335" t="s">
        <v>599</v>
      </c>
      <c r="C272" s="331">
        <v>20123</v>
      </c>
      <c r="D272" s="331">
        <v>0</v>
      </c>
      <c r="E272" s="331">
        <v>551</v>
      </c>
      <c r="F272" s="331">
        <v>1576</v>
      </c>
      <c r="G272" s="331">
        <v>174</v>
      </c>
      <c r="H272" s="331">
        <v>22424</v>
      </c>
      <c r="I272" s="330">
        <v>22250</v>
      </c>
      <c r="J272" s="330">
        <v>24</v>
      </c>
      <c r="K272" s="332">
        <v>82.34</v>
      </c>
      <c r="L272" s="332">
        <v>79.47</v>
      </c>
      <c r="M272" s="332">
        <v>3.49</v>
      </c>
      <c r="N272" s="332">
        <v>85.51</v>
      </c>
      <c r="O272" s="333">
        <v>16968</v>
      </c>
      <c r="P272" s="330">
        <v>81.680000000000007</v>
      </c>
      <c r="Q272" s="330">
        <v>72.58</v>
      </c>
      <c r="R272" s="330">
        <v>33.76</v>
      </c>
      <c r="S272" s="330">
        <v>112.7</v>
      </c>
      <c r="T272" s="330">
        <v>1970</v>
      </c>
      <c r="U272" s="330">
        <v>104.02</v>
      </c>
      <c r="V272" s="330">
        <v>2088</v>
      </c>
      <c r="W272" s="330">
        <v>107.7</v>
      </c>
      <c r="X272" s="330">
        <v>22</v>
      </c>
      <c r="Y272" s="330">
        <v>76</v>
      </c>
      <c r="Z272" s="330">
        <v>49</v>
      </c>
      <c r="AA272" s="330">
        <v>11</v>
      </c>
      <c r="AB272" s="330">
        <v>0</v>
      </c>
      <c r="AC272" s="330">
        <v>6</v>
      </c>
      <c r="AD272" s="334">
        <v>19084</v>
      </c>
      <c r="AE272" s="334">
        <v>60</v>
      </c>
      <c r="AF272" s="334">
        <v>67</v>
      </c>
      <c r="AG272" s="334">
        <v>127</v>
      </c>
    </row>
    <row r="273" spans="1:33" x14ac:dyDescent="0.25">
      <c r="A273" s="329" t="s">
        <v>600</v>
      </c>
      <c r="B273" s="335" t="s">
        <v>601</v>
      </c>
      <c r="C273" s="331">
        <v>1470</v>
      </c>
      <c r="D273" s="331">
        <v>0</v>
      </c>
      <c r="E273" s="331">
        <v>126</v>
      </c>
      <c r="F273" s="331">
        <v>109</v>
      </c>
      <c r="G273" s="331">
        <v>142</v>
      </c>
      <c r="H273" s="331">
        <v>1847</v>
      </c>
      <c r="I273" s="330">
        <v>1705</v>
      </c>
      <c r="J273" s="330">
        <v>0</v>
      </c>
      <c r="K273" s="332">
        <v>89.83</v>
      </c>
      <c r="L273" s="332">
        <v>81.81</v>
      </c>
      <c r="M273" s="332">
        <v>5.45</v>
      </c>
      <c r="N273" s="332">
        <v>94.23</v>
      </c>
      <c r="O273" s="333">
        <v>1232</v>
      </c>
      <c r="P273" s="330">
        <v>83.21</v>
      </c>
      <c r="Q273" s="330">
        <v>78.099999999999994</v>
      </c>
      <c r="R273" s="330">
        <v>30.04</v>
      </c>
      <c r="S273" s="330">
        <v>112.65</v>
      </c>
      <c r="T273" s="330">
        <v>201</v>
      </c>
      <c r="U273" s="330">
        <v>107.8</v>
      </c>
      <c r="V273" s="330">
        <v>222</v>
      </c>
      <c r="W273" s="330">
        <v>0</v>
      </c>
      <c r="X273" s="330">
        <v>0</v>
      </c>
      <c r="Y273" s="330">
        <v>0</v>
      </c>
      <c r="Z273" s="330">
        <v>0</v>
      </c>
      <c r="AA273" s="330">
        <v>0</v>
      </c>
      <c r="AB273" s="330">
        <v>29</v>
      </c>
      <c r="AC273" s="330">
        <v>8</v>
      </c>
      <c r="AD273" s="334">
        <v>1470</v>
      </c>
      <c r="AE273" s="334">
        <v>18</v>
      </c>
      <c r="AF273" s="334">
        <v>2</v>
      </c>
      <c r="AG273" s="334">
        <v>20</v>
      </c>
    </row>
    <row r="274" spans="1:33" x14ac:dyDescent="0.25">
      <c r="A274" s="329" t="s">
        <v>602</v>
      </c>
      <c r="B274" s="335" t="s">
        <v>603</v>
      </c>
      <c r="C274" s="331">
        <v>1063</v>
      </c>
      <c r="D274" s="331">
        <v>0</v>
      </c>
      <c r="E274" s="331">
        <v>116</v>
      </c>
      <c r="F274" s="331">
        <v>103</v>
      </c>
      <c r="G274" s="331">
        <v>234</v>
      </c>
      <c r="H274" s="331">
        <v>1516</v>
      </c>
      <c r="I274" s="330">
        <v>1282</v>
      </c>
      <c r="J274" s="330">
        <v>0</v>
      </c>
      <c r="K274" s="332">
        <v>124.49</v>
      </c>
      <c r="L274" s="332">
        <v>122.71</v>
      </c>
      <c r="M274" s="332">
        <v>7.48</v>
      </c>
      <c r="N274" s="332">
        <v>131.59</v>
      </c>
      <c r="O274" s="333">
        <v>685</v>
      </c>
      <c r="P274" s="330">
        <v>132.94999999999999</v>
      </c>
      <c r="Q274" s="330">
        <v>111.06</v>
      </c>
      <c r="R274" s="330">
        <v>54.55</v>
      </c>
      <c r="S274" s="330">
        <v>187.5</v>
      </c>
      <c r="T274" s="330">
        <v>87</v>
      </c>
      <c r="U274" s="330">
        <v>176.86</v>
      </c>
      <c r="V274" s="330">
        <v>299</v>
      </c>
      <c r="W274" s="330">
        <v>132.13</v>
      </c>
      <c r="X274" s="330">
        <v>7</v>
      </c>
      <c r="Y274" s="330">
        <v>0</v>
      </c>
      <c r="Z274" s="330">
        <v>0</v>
      </c>
      <c r="AA274" s="330">
        <v>0</v>
      </c>
      <c r="AB274" s="330">
        <v>23</v>
      </c>
      <c r="AC274" s="330">
        <v>1</v>
      </c>
      <c r="AD274" s="334">
        <v>1040</v>
      </c>
      <c r="AE274" s="334">
        <v>2</v>
      </c>
      <c r="AF274" s="334">
        <v>0</v>
      </c>
      <c r="AG274" s="334">
        <v>2</v>
      </c>
    </row>
    <row r="275" spans="1:33" x14ac:dyDescent="0.25">
      <c r="A275" s="329" t="s">
        <v>604</v>
      </c>
      <c r="B275" s="335" t="s">
        <v>605</v>
      </c>
      <c r="C275" s="331">
        <v>4116</v>
      </c>
      <c r="D275" s="331">
        <v>0</v>
      </c>
      <c r="E275" s="331">
        <v>184</v>
      </c>
      <c r="F275" s="331">
        <v>1400</v>
      </c>
      <c r="G275" s="331">
        <v>627</v>
      </c>
      <c r="H275" s="331">
        <v>6327</v>
      </c>
      <c r="I275" s="330">
        <v>5700</v>
      </c>
      <c r="J275" s="330">
        <v>1</v>
      </c>
      <c r="K275" s="332">
        <v>86.78</v>
      </c>
      <c r="L275" s="332">
        <v>86.01</v>
      </c>
      <c r="M275" s="332">
        <v>3.89</v>
      </c>
      <c r="N275" s="332">
        <v>90.5</v>
      </c>
      <c r="O275" s="333">
        <v>3403</v>
      </c>
      <c r="P275" s="330">
        <v>83.81</v>
      </c>
      <c r="Q275" s="330">
        <v>79.92</v>
      </c>
      <c r="R275" s="330">
        <v>18.5</v>
      </c>
      <c r="S275" s="330">
        <v>101.79</v>
      </c>
      <c r="T275" s="330">
        <v>1283</v>
      </c>
      <c r="U275" s="330">
        <v>126.8</v>
      </c>
      <c r="V275" s="330">
        <v>632</v>
      </c>
      <c r="W275" s="330">
        <v>96.97</v>
      </c>
      <c r="X275" s="330">
        <v>11</v>
      </c>
      <c r="Y275" s="330">
        <v>0</v>
      </c>
      <c r="Z275" s="330">
        <v>12</v>
      </c>
      <c r="AA275" s="330">
        <v>22</v>
      </c>
      <c r="AB275" s="330">
        <v>14</v>
      </c>
      <c r="AC275" s="330">
        <v>12</v>
      </c>
      <c r="AD275" s="334">
        <v>4089</v>
      </c>
      <c r="AE275" s="334">
        <v>6</v>
      </c>
      <c r="AF275" s="334">
        <v>22</v>
      </c>
      <c r="AG275" s="334">
        <v>28</v>
      </c>
    </row>
    <row r="276" spans="1:33" x14ac:dyDescent="0.25">
      <c r="A276" s="329" t="s">
        <v>606</v>
      </c>
      <c r="B276" s="335" t="s">
        <v>607</v>
      </c>
      <c r="C276" s="331">
        <v>11251</v>
      </c>
      <c r="D276" s="331">
        <v>0</v>
      </c>
      <c r="E276" s="331">
        <v>340</v>
      </c>
      <c r="F276" s="331">
        <v>1853</v>
      </c>
      <c r="G276" s="331">
        <v>432</v>
      </c>
      <c r="H276" s="331">
        <v>13876</v>
      </c>
      <c r="I276" s="330">
        <v>13444</v>
      </c>
      <c r="J276" s="330">
        <v>19</v>
      </c>
      <c r="K276" s="332">
        <v>89.67</v>
      </c>
      <c r="L276" s="332">
        <v>86.78</v>
      </c>
      <c r="M276" s="332">
        <v>6.01</v>
      </c>
      <c r="N276" s="332">
        <v>91.99</v>
      </c>
      <c r="O276" s="333">
        <v>10070</v>
      </c>
      <c r="P276" s="330">
        <v>88.54</v>
      </c>
      <c r="Q276" s="330">
        <v>85.46</v>
      </c>
      <c r="R276" s="330">
        <v>37.26</v>
      </c>
      <c r="S276" s="330">
        <v>125.44</v>
      </c>
      <c r="T276" s="330">
        <v>1897</v>
      </c>
      <c r="U276" s="330">
        <v>111.5</v>
      </c>
      <c r="V276" s="330">
        <v>904</v>
      </c>
      <c r="W276" s="330">
        <v>179.38</v>
      </c>
      <c r="X276" s="330">
        <v>210</v>
      </c>
      <c r="Y276" s="330">
        <v>14</v>
      </c>
      <c r="Z276" s="330">
        <v>49</v>
      </c>
      <c r="AA276" s="330">
        <v>210</v>
      </c>
      <c r="AB276" s="330">
        <v>20</v>
      </c>
      <c r="AC276" s="330">
        <v>3</v>
      </c>
      <c r="AD276" s="334">
        <v>11211</v>
      </c>
      <c r="AE276" s="334">
        <v>43</v>
      </c>
      <c r="AF276" s="334">
        <v>165</v>
      </c>
      <c r="AG276" s="334">
        <v>208</v>
      </c>
    </row>
    <row r="277" spans="1:33" x14ac:dyDescent="0.25">
      <c r="A277" s="329" t="s">
        <v>608</v>
      </c>
      <c r="B277" s="335" t="s">
        <v>609</v>
      </c>
      <c r="C277" s="331">
        <v>1935</v>
      </c>
      <c r="D277" s="331">
        <v>0</v>
      </c>
      <c r="E277" s="331">
        <v>242</v>
      </c>
      <c r="F277" s="331">
        <v>681</v>
      </c>
      <c r="G277" s="331">
        <v>82</v>
      </c>
      <c r="H277" s="331">
        <v>2940</v>
      </c>
      <c r="I277" s="330">
        <v>2858</v>
      </c>
      <c r="J277" s="330">
        <v>0</v>
      </c>
      <c r="K277" s="332">
        <v>99.76</v>
      </c>
      <c r="L277" s="332">
        <v>98.11</v>
      </c>
      <c r="M277" s="332">
        <v>4.6900000000000004</v>
      </c>
      <c r="N277" s="332">
        <v>103.55</v>
      </c>
      <c r="O277" s="333">
        <v>1688</v>
      </c>
      <c r="P277" s="330">
        <v>89.58</v>
      </c>
      <c r="Q277" s="330">
        <v>82.47</v>
      </c>
      <c r="R277" s="330">
        <v>35.14</v>
      </c>
      <c r="S277" s="330">
        <v>124.12</v>
      </c>
      <c r="T277" s="330">
        <v>761</v>
      </c>
      <c r="U277" s="330">
        <v>123.38</v>
      </c>
      <c r="V277" s="330">
        <v>186</v>
      </c>
      <c r="W277" s="330">
        <v>247.49</v>
      </c>
      <c r="X277" s="330">
        <v>130</v>
      </c>
      <c r="Y277" s="330">
        <v>0</v>
      </c>
      <c r="Z277" s="330">
        <v>0</v>
      </c>
      <c r="AA277" s="330">
        <v>1</v>
      </c>
      <c r="AB277" s="330">
        <v>4</v>
      </c>
      <c r="AC277" s="330">
        <v>2</v>
      </c>
      <c r="AD277" s="334">
        <v>1923</v>
      </c>
      <c r="AE277" s="334">
        <v>11</v>
      </c>
      <c r="AF277" s="334">
        <v>7</v>
      </c>
      <c r="AG277" s="334">
        <v>18</v>
      </c>
    </row>
    <row r="278" spans="1:33" x14ac:dyDescent="0.25">
      <c r="A278" s="329" t="s">
        <v>610</v>
      </c>
      <c r="B278" s="335" t="s">
        <v>611</v>
      </c>
      <c r="C278" s="331">
        <v>7142</v>
      </c>
      <c r="D278" s="331">
        <v>0</v>
      </c>
      <c r="E278" s="331">
        <v>336</v>
      </c>
      <c r="F278" s="331">
        <v>364</v>
      </c>
      <c r="G278" s="331">
        <v>727</v>
      </c>
      <c r="H278" s="331">
        <v>8569</v>
      </c>
      <c r="I278" s="330">
        <v>7842</v>
      </c>
      <c r="J278" s="330">
        <v>0</v>
      </c>
      <c r="K278" s="332">
        <v>107.5</v>
      </c>
      <c r="L278" s="332">
        <v>106.74</v>
      </c>
      <c r="M278" s="332">
        <v>2.98</v>
      </c>
      <c r="N278" s="332">
        <v>110.1</v>
      </c>
      <c r="O278" s="333">
        <v>6233</v>
      </c>
      <c r="P278" s="330">
        <v>94.66</v>
      </c>
      <c r="Q278" s="330">
        <v>99.48</v>
      </c>
      <c r="R278" s="330">
        <v>34.96</v>
      </c>
      <c r="S278" s="330">
        <v>128.13999999999999</v>
      </c>
      <c r="T278" s="330">
        <v>568</v>
      </c>
      <c r="U278" s="330">
        <v>141.35</v>
      </c>
      <c r="V278" s="330">
        <v>652</v>
      </c>
      <c r="W278" s="330">
        <v>137.44</v>
      </c>
      <c r="X278" s="330">
        <v>1</v>
      </c>
      <c r="Y278" s="330">
        <v>49</v>
      </c>
      <c r="Z278" s="330">
        <v>12</v>
      </c>
      <c r="AA278" s="330">
        <v>12</v>
      </c>
      <c r="AB278" s="330">
        <v>63</v>
      </c>
      <c r="AC278" s="330">
        <v>19</v>
      </c>
      <c r="AD278" s="334">
        <v>6970</v>
      </c>
      <c r="AE278" s="334">
        <v>30</v>
      </c>
      <c r="AF278" s="334">
        <v>19</v>
      </c>
      <c r="AG278" s="334">
        <v>49</v>
      </c>
    </row>
    <row r="279" spans="1:33" x14ac:dyDescent="0.25">
      <c r="A279" s="329" t="s">
        <v>612</v>
      </c>
      <c r="B279" s="335" t="s">
        <v>613</v>
      </c>
      <c r="C279" s="331">
        <v>4354</v>
      </c>
      <c r="D279" s="331">
        <v>0</v>
      </c>
      <c r="E279" s="331">
        <v>81</v>
      </c>
      <c r="F279" s="331">
        <v>559</v>
      </c>
      <c r="G279" s="331">
        <v>618</v>
      </c>
      <c r="H279" s="331">
        <v>5612</v>
      </c>
      <c r="I279" s="330">
        <v>4994</v>
      </c>
      <c r="J279" s="330">
        <v>0</v>
      </c>
      <c r="K279" s="332">
        <v>95.74</v>
      </c>
      <c r="L279" s="332">
        <v>92.06</v>
      </c>
      <c r="M279" s="332">
        <v>4.26</v>
      </c>
      <c r="N279" s="332">
        <v>98.07</v>
      </c>
      <c r="O279" s="333">
        <v>3837</v>
      </c>
      <c r="P279" s="330">
        <v>88.41</v>
      </c>
      <c r="Q279" s="330">
        <v>83.72</v>
      </c>
      <c r="R279" s="330">
        <v>36.89</v>
      </c>
      <c r="S279" s="330">
        <v>125.3</v>
      </c>
      <c r="T279" s="330">
        <v>631</v>
      </c>
      <c r="U279" s="330">
        <v>132.19</v>
      </c>
      <c r="V279" s="330">
        <v>508</v>
      </c>
      <c r="W279" s="330">
        <v>151.97999999999999</v>
      </c>
      <c r="X279" s="330">
        <v>4</v>
      </c>
      <c r="Y279" s="330">
        <v>0</v>
      </c>
      <c r="Z279" s="330">
        <v>10</v>
      </c>
      <c r="AA279" s="330">
        <v>6</v>
      </c>
      <c r="AB279" s="330">
        <v>53</v>
      </c>
      <c r="AC279" s="330">
        <v>15</v>
      </c>
      <c r="AD279" s="334">
        <v>4348</v>
      </c>
      <c r="AE279" s="334">
        <v>37</v>
      </c>
      <c r="AF279" s="334">
        <v>1</v>
      </c>
      <c r="AG279" s="334">
        <v>38</v>
      </c>
    </row>
    <row r="280" spans="1:33" x14ac:dyDescent="0.25">
      <c r="A280" s="329" t="s">
        <v>614</v>
      </c>
      <c r="B280" s="335" t="s">
        <v>615</v>
      </c>
      <c r="C280" s="331">
        <v>3968</v>
      </c>
      <c r="D280" s="331">
        <v>0</v>
      </c>
      <c r="E280" s="331">
        <v>157</v>
      </c>
      <c r="F280" s="331">
        <v>656</v>
      </c>
      <c r="G280" s="331">
        <v>125</v>
      </c>
      <c r="H280" s="331">
        <v>4906</v>
      </c>
      <c r="I280" s="330">
        <v>4781</v>
      </c>
      <c r="J280" s="330">
        <v>22</v>
      </c>
      <c r="K280" s="332">
        <v>92.22</v>
      </c>
      <c r="L280" s="332">
        <v>88.71</v>
      </c>
      <c r="M280" s="332">
        <v>7.41</v>
      </c>
      <c r="N280" s="332">
        <v>97.64</v>
      </c>
      <c r="O280" s="333">
        <v>3656</v>
      </c>
      <c r="P280" s="330">
        <v>94.17</v>
      </c>
      <c r="Q280" s="330">
        <v>79.930000000000007</v>
      </c>
      <c r="R280" s="330">
        <v>32.56</v>
      </c>
      <c r="S280" s="330">
        <v>126.48</v>
      </c>
      <c r="T280" s="330">
        <v>783</v>
      </c>
      <c r="U280" s="330">
        <v>116.81</v>
      </c>
      <c r="V280" s="330">
        <v>282</v>
      </c>
      <c r="W280" s="330">
        <v>0</v>
      </c>
      <c r="X280" s="330">
        <v>0</v>
      </c>
      <c r="Y280" s="330">
        <v>386</v>
      </c>
      <c r="Z280" s="330">
        <v>2</v>
      </c>
      <c r="AA280" s="330">
        <v>40</v>
      </c>
      <c r="AB280" s="330">
        <v>15</v>
      </c>
      <c r="AC280" s="330">
        <v>3</v>
      </c>
      <c r="AD280" s="334">
        <v>3968</v>
      </c>
      <c r="AE280" s="334">
        <v>20</v>
      </c>
      <c r="AF280" s="334">
        <v>27</v>
      </c>
      <c r="AG280" s="334">
        <v>47</v>
      </c>
    </row>
    <row r="281" spans="1:33" x14ac:dyDescent="0.25">
      <c r="A281" s="329" t="s">
        <v>616</v>
      </c>
      <c r="B281" s="335" t="s">
        <v>617</v>
      </c>
      <c r="C281" s="331">
        <v>4681</v>
      </c>
      <c r="D281" s="331">
        <v>46</v>
      </c>
      <c r="E281" s="331">
        <v>74</v>
      </c>
      <c r="F281" s="331">
        <v>871</v>
      </c>
      <c r="G281" s="331">
        <v>200</v>
      </c>
      <c r="H281" s="331">
        <v>5872</v>
      </c>
      <c r="I281" s="330">
        <v>5672</v>
      </c>
      <c r="J281" s="330">
        <v>45</v>
      </c>
      <c r="K281" s="332">
        <v>113.38</v>
      </c>
      <c r="L281" s="332">
        <v>112.5</v>
      </c>
      <c r="M281" s="332">
        <v>6.59</v>
      </c>
      <c r="N281" s="332">
        <v>116.32</v>
      </c>
      <c r="O281" s="333">
        <v>4419</v>
      </c>
      <c r="P281" s="330">
        <v>102.67</v>
      </c>
      <c r="Q281" s="330">
        <v>99.05</v>
      </c>
      <c r="R281" s="330">
        <v>31.39</v>
      </c>
      <c r="S281" s="330">
        <v>113.67</v>
      </c>
      <c r="T281" s="330">
        <v>919</v>
      </c>
      <c r="U281" s="330">
        <v>163.57</v>
      </c>
      <c r="V281" s="330">
        <v>178</v>
      </c>
      <c r="W281" s="330">
        <v>0</v>
      </c>
      <c r="X281" s="330">
        <v>0</v>
      </c>
      <c r="Y281" s="330">
        <v>96</v>
      </c>
      <c r="Z281" s="330">
        <v>12</v>
      </c>
      <c r="AA281" s="330">
        <v>0</v>
      </c>
      <c r="AB281" s="330">
        <v>6</v>
      </c>
      <c r="AC281" s="330">
        <v>7</v>
      </c>
      <c r="AD281" s="334">
        <v>4659</v>
      </c>
      <c r="AE281" s="334">
        <v>63</v>
      </c>
      <c r="AF281" s="334">
        <v>48</v>
      </c>
      <c r="AG281" s="334">
        <v>111</v>
      </c>
    </row>
    <row r="282" spans="1:33" x14ac:dyDescent="0.25">
      <c r="A282" s="329" t="s">
        <v>618</v>
      </c>
      <c r="B282" s="335" t="s">
        <v>619</v>
      </c>
      <c r="C282" s="331">
        <v>1828</v>
      </c>
      <c r="D282" s="331">
        <v>0</v>
      </c>
      <c r="E282" s="331">
        <v>82</v>
      </c>
      <c r="F282" s="331">
        <v>91</v>
      </c>
      <c r="G282" s="331">
        <v>343</v>
      </c>
      <c r="H282" s="331">
        <v>2344</v>
      </c>
      <c r="I282" s="330">
        <v>2001</v>
      </c>
      <c r="J282" s="330">
        <v>3</v>
      </c>
      <c r="K282" s="332">
        <v>107.2</v>
      </c>
      <c r="L282" s="332">
        <v>104.9</v>
      </c>
      <c r="M282" s="332">
        <v>7.76</v>
      </c>
      <c r="N282" s="332">
        <v>112.26</v>
      </c>
      <c r="O282" s="333">
        <v>1279</v>
      </c>
      <c r="P282" s="330">
        <v>108.39</v>
      </c>
      <c r="Q282" s="330">
        <v>104.7</v>
      </c>
      <c r="R282" s="330">
        <v>61.72</v>
      </c>
      <c r="S282" s="330">
        <v>162.44</v>
      </c>
      <c r="T282" s="330">
        <v>137</v>
      </c>
      <c r="U282" s="330">
        <v>156.51</v>
      </c>
      <c r="V282" s="330">
        <v>480</v>
      </c>
      <c r="W282" s="330">
        <v>0</v>
      </c>
      <c r="X282" s="330">
        <v>0</v>
      </c>
      <c r="Y282" s="330">
        <v>0</v>
      </c>
      <c r="Z282" s="330">
        <v>0</v>
      </c>
      <c r="AA282" s="330">
        <v>1</v>
      </c>
      <c r="AB282" s="330">
        <v>33</v>
      </c>
      <c r="AC282" s="330">
        <v>4</v>
      </c>
      <c r="AD282" s="334">
        <v>1811</v>
      </c>
      <c r="AE282" s="334">
        <v>13</v>
      </c>
      <c r="AF282" s="334">
        <v>13</v>
      </c>
      <c r="AG282" s="334">
        <v>26</v>
      </c>
    </row>
    <row r="283" spans="1:33" x14ac:dyDescent="0.25">
      <c r="A283" s="329" t="s">
        <v>620</v>
      </c>
      <c r="B283" s="335" t="s">
        <v>621</v>
      </c>
      <c r="C283" s="331">
        <v>7568</v>
      </c>
      <c r="D283" s="331">
        <v>50</v>
      </c>
      <c r="E283" s="331">
        <v>55</v>
      </c>
      <c r="F283" s="331">
        <v>522</v>
      </c>
      <c r="G283" s="331">
        <v>1033</v>
      </c>
      <c r="H283" s="331">
        <v>9228</v>
      </c>
      <c r="I283" s="330">
        <v>8195</v>
      </c>
      <c r="J283" s="330">
        <v>0</v>
      </c>
      <c r="K283" s="332">
        <v>114.81</v>
      </c>
      <c r="L283" s="332">
        <v>117.72</v>
      </c>
      <c r="M283" s="332">
        <v>7.16</v>
      </c>
      <c r="N283" s="332">
        <v>115.87</v>
      </c>
      <c r="O283" s="333">
        <v>6467</v>
      </c>
      <c r="P283" s="330">
        <v>97.46</v>
      </c>
      <c r="Q283" s="330">
        <v>97.74</v>
      </c>
      <c r="R283" s="330">
        <v>25</v>
      </c>
      <c r="S283" s="330">
        <v>118.62</v>
      </c>
      <c r="T283" s="330">
        <v>567</v>
      </c>
      <c r="U283" s="330">
        <v>142.05000000000001</v>
      </c>
      <c r="V283" s="330">
        <v>1062</v>
      </c>
      <c r="W283" s="330">
        <v>0</v>
      </c>
      <c r="X283" s="330">
        <v>0</v>
      </c>
      <c r="Y283" s="330">
        <v>0</v>
      </c>
      <c r="Z283" s="330">
        <v>7</v>
      </c>
      <c r="AA283" s="330">
        <v>1</v>
      </c>
      <c r="AB283" s="330">
        <v>65</v>
      </c>
      <c r="AC283" s="330">
        <v>17</v>
      </c>
      <c r="AD283" s="334">
        <v>7546</v>
      </c>
      <c r="AE283" s="334">
        <v>1</v>
      </c>
      <c r="AF283" s="334">
        <v>1</v>
      </c>
      <c r="AG283" s="334">
        <v>2</v>
      </c>
    </row>
    <row r="284" spans="1:33" x14ac:dyDescent="0.25">
      <c r="A284" s="329" t="s">
        <v>622</v>
      </c>
      <c r="B284" s="335" t="s">
        <v>623</v>
      </c>
      <c r="C284" s="331">
        <v>4179</v>
      </c>
      <c r="D284" s="331">
        <v>26</v>
      </c>
      <c r="E284" s="331">
        <v>297</v>
      </c>
      <c r="F284" s="331">
        <v>938</v>
      </c>
      <c r="G284" s="331">
        <v>522</v>
      </c>
      <c r="H284" s="331">
        <v>5962</v>
      </c>
      <c r="I284" s="330">
        <v>5440</v>
      </c>
      <c r="J284" s="330">
        <v>10</v>
      </c>
      <c r="K284" s="332">
        <v>89.55</v>
      </c>
      <c r="L284" s="332">
        <v>86.64</v>
      </c>
      <c r="M284" s="332">
        <v>8.6199999999999992</v>
      </c>
      <c r="N284" s="332">
        <v>96.84</v>
      </c>
      <c r="O284" s="333">
        <v>3760</v>
      </c>
      <c r="P284" s="330">
        <v>85.99</v>
      </c>
      <c r="Q284" s="330">
        <v>79.959999999999994</v>
      </c>
      <c r="R284" s="330">
        <v>45.14</v>
      </c>
      <c r="S284" s="330">
        <v>128.43</v>
      </c>
      <c r="T284" s="330">
        <v>953</v>
      </c>
      <c r="U284" s="330">
        <v>115.44</v>
      </c>
      <c r="V284" s="330">
        <v>419</v>
      </c>
      <c r="W284" s="330">
        <v>152.33000000000001</v>
      </c>
      <c r="X284" s="330">
        <v>4</v>
      </c>
      <c r="Y284" s="330">
        <v>0</v>
      </c>
      <c r="Z284" s="330">
        <v>10</v>
      </c>
      <c r="AA284" s="330">
        <v>0</v>
      </c>
      <c r="AB284" s="330">
        <v>16</v>
      </c>
      <c r="AC284" s="330">
        <v>12</v>
      </c>
      <c r="AD284" s="334">
        <v>4179</v>
      </c>
      <c r="AE284" s="334">
        <v>24</v>
      </c>
      <c r="AF284" s="334">
        <v>21</v>
      </c>
      <c r="AG284" s="334">
        <v>45</v>
      </c>
    </row>
    <row r="285" spans="1:33" x14ac:dyDescent="0.25">
      <c r="A285" s="329" t="s">
        <v>624</v>
      </c>
      <c r="B285" s="335" t="s">
        <v>625</v>
      </c>
      <c r="C285" s="331">
        <v>2342</v>
      </c>
      <c r="D285" s="331">
        <v>0</v>
      </c>
      <c r="E285" s="331">
        <v>45</v>
      </c>
      <c r="F285" s="331">
        <v>353</v>
      </c>
      <c r="G285" s="331">
        <v>188</v>
      </c>
      <c r="H285" s="331">
        <v>2928</v>
      </c>
      <c r="I285" s="330">
        <v>2740</v>
      </c>
      <c r="J285" s="330">
        <v>2</v>
      </c>
      <c r="K285" s="332">
        <v>83.85</v>
      </c>
      <c r="L285" s="332">
        <v>80.45</v>
      </c>
      <c r="M285" s="332">
        <v>4.62</v>
      </c>
      <c r="N285" s="332">
        <v>86.34</v>
      </c>
      <c r="O285" s="333">
        <v>2230</v>
      </c>
      <c r="P285" s="330">
        <v>81.09</v>
      </c>
      <c r="Q285" s="330">
        <v>65.760000000000005</v>
      </c>
      <c r="R285" s="330">
        <v>38.479999999999997</v>
      </c>
      <c r="S285" s="330">
        <v>109.15</v>
      </c>
      <c r="T285" s="330">
        <v>325</v>
      </c>
      <c r="U285" s="330">
        <v>107.57</v>
      </c>
      <c r="V285" s="330">
        <v>112</v>
      </c>
      <c r="W285" s="330">
        <v>146.43</v>
      </c>
      <c r="X285" s="330">
        <v>41</v>
      </c>
      <c r="Y285" s="330">
        <v>1</v>
      </c>
      <c r="Z285" s="330">
        <v>3</v>
      </c>
      <c r="AA285" s="330">
        <v>3</v>
      </c>
      <c r="AB285" s="330">
        <v>1</v>
      </c>
      <c r="AC285" s="330">
        <v>6</v>
      </c>
      <c r="AD285" s="334">
        <v>2330</v>
      </c>
      <c r="AE285" s="334">
        <v>2</v>
      </c>
      <c r="AF285" s="334">
        <v>8</v>
      </c>
      <c r="AG285" s="334">
        <v>10</v>
      </c>
    </row>
    <row r="286" spans="1:33" x14ac:dyDescent="0.25">
      <c r="A286" s="329" t="s">
        <v>626</v>
      </c>
      <c r="B286" s="335" t="s">
        <v>627</v>
      </c>
      <c r="C286" s="331">
        <v>29234</v>
      </c>
      <c r="D286" s="331">
        <v>103</v>
      </c>
      <c r="E286" s="331">
        <v>1516</v>
      </c>
      <c r="F286" s="331">
        <v>859</v>
      </c>
      <c r="G286" s="331">
        <v>2950</v>
      </c>
      <c r="H286" s="331">
        <v>34662</v>
      </c>
      <c r="I286" s="330">
        <v>31712</v>
      </c>
      <c r="J286" s="330">
        <v>43</v>
      </c>
      <c r="K286" s="332">
        <v>125.17</v>
      </c>
      <c r="L286" s="332">
        <v>130.97</v>
      </c>
      <c r="M286" s="332">
        <v>15.66</v>
      </c>
      <c r="N286" s="332">
        <v>137.88</v>
      </c>
      <c r="O286" s="333">
        <v>25516</v>
      </c>
      <c r="P286" s="330">
        <v>109.64</v>
      </c>
      <c r="Q286" s="330">
        <v>111.52</v>
      </c>
      <c r="R286" s="330">
        <v>72.14</v>
      </c>
      <c r="S286" s="330">
        <v>168.75</v>
      </c>
      <c r="T286" s="330">
        <v>1938</v>
      </c>
      <c r="U286" s="330">
        <v>204.97</v>
      </c>
      <c r="V286" s="330">
        <v>2051</v>
      </c>
      <c r="W286" s="330">
        <v>190.84</v>
      </c>
      <c r="X286" s="330">
        <v>119</v>
      </c>
      <c r="Y286" s="330">
        <v>89</v>
      </c>
      <c r="Z286" s="330">
        <v>52</v>
      </c>
      <c r="AA286" s="330">
        <v>50</v>
      </c>
      <c r="AB286" s="330">
        <v>114</v>
      </c>
      <c r="AC286" s="330">
        <v>82</v>
      </c>
      <c r="AD286" s="334">
        <v>27977</v>
      </c>
      <c r="AE286" s="334">
        <v>181</v>
      </c>
      <c r="AF286" s="334">
        <v>149</v>
      </c>
      <c r="AG286" s="334">
        <v>330</v>
      </c>
    </row>
    <row r="287" spans="1:33" x14ac:dyDescent="0.25">
      <c r="A287" s="329" t="s">
        <v>628</v>
      </c>
      <c r="B287" s="335" t="s">
        <v>629</v>
      </c>
      <c r="C287" s="331">
        <v>11758</v>
      </c>
      <c r="D287" s="331">
        <v>4</v>
      </c>
      <c r="E287" s="331">
        <v>481</v>
      </c>
      <c r="F287" s="331">
        <v>3340</v>
      </c>
      <c r="G287" s="331">
        <v>492</v>
      </c>
      <c r="H287" s="331">
        <v>16075</v>
      </c>
      <c r="I287" s="330">
        <v>15583</v>
      </c>
      <c r="J287" s="330">
        <v>11</v>
      </c>
      <c r="K287" s="332">
        <v>88</v>
      </c>
      <c r="L287" s="332">
        <v>88.84</v>
      </c>
      <c r="M287" s="332">
        <v>4.8499999999999996</v>
      </c>
      <c r="N287" s="332">
        <v>91.71</v>
      </c>
      <c r="O287" s="333">
        <v>9869</v>
      </c>
      <c r="P287" s="330">
        <v>89.02</v>
      </c>
      <c r="Q287" s="330">
        <v>86.47</v>
      </c>
      <c r="R287" s="330">
        <v>19.489999999999998</v>
      </c>
      <c r="S287" s="330">
        <v>108.49</v>
      </c>
      <c r="T287" s="330">
        <v>3621</v>
      </c>
      <c r="U287" s="330">
        <v>138.61000000000001</v>
      </c>
      <c r="V287" s="330">
        <v>1842</v>
      </c>
      <c r="W287" s="330">
        <v>137.47999999999999</v>
      </c>
      <c r="X287" s="330">
        <v>136</v>
      </c>
      <c r="Y287" s="330">
        <v>0</v>
      </c>
      <c r="Z287" s="330">
        <v>61</v>
      </c>
      <c r="AA287" s="330">
        <v>2</v>
      </c>
      <c r="AB287" s="330">
        <v>30</v>
      </c>
      <c r="AC287" s="330">
        <v>19</v>
      </c>
      <c r="AD287" s="334">
        <v>11757</v>
      </c>
      <c r="AE287" s="334">
        <v>47</v>
      </c>
      <c r="AF287" s="334">
        <v>56</v>
      </c>
      <c r="AG287" s="334">
        <v>103</v>
      </c>
    </row>
    <row r="288" spans="1:33" x14ac:dyDescent="0.25">
      <c r="A288" s="329" t="s">
        <v>630</v>
      </c>
      <c r="B288" s="335" t="s">
        <v>631</v>
      </c>
      <c r="C288" s="331">
        <v>6224</v>
      </c>
      <c r="D288" s="331">
        <v>0</v>
      </c>
      <c r="E288" s="331">
        <v>186</v>
      </c>
      <c r="F288" s="331">
        <v>827</v>
      </c>
      <c r="G288" s="331">
        <v>434</v>
      </c>
      <c r="H288" s="331">
        <v>7671</v>
      </c>
      <c r="I288" s="330">
        <v>7237</v>
      </c>
      <c r="J288" s="330">
        <v>6</v>
      </c>
      <c r="K288" s="332">
        <v>110.85</v>
      </c>
      <c r="L288" s="332">
        <v>106.05</v>
      </c>
      <c r="M288" s="332">
        <v>4.58</v>
      </c>
      <c r="N288" s="332">
        <v>114.57</v>
      </c>
      <c r="O288" s="333">
        <v>5525</v>
      </c>
      <c r="P288" s="330">
        <v>101.52</v>
      </c>
      <c r="Q288" s="330">
        <v>92.17</v>
      </c>
      <c r="R288" s="330">
        <v>28.16</v>
      </c>
      <c r="S288" s="330">
        <v>128.52000000000001</v>
      </c>
      <c r="T288" s="330">
        <v>703</v>
      </c>
      <c r="U288" s="330">
        <v>153.9</v>
      </c>
      <c r="V288" s="330">
        <v>541</v>
      </c>
      <c r="W288" s="330">
        <v>132.46</v>
      </c>
      <c r="X288" s="330">
        <v>114</v>
      </c>
      <c r="Y288" s="330">
        <v>0</v>
      </c>
      <c r="Z288" s="330">
        <v>1</v>
      </c>
      <c r="AA288" s="330">
        <v>10</v>
      </c>
      <c r="AB288" s="330">
        <v>43</v>
      </c>
      <c r="AC288" s="330">
        <v>10</v>
      </c>
      <c r="AD288" s="334">
        <v>6069</v>
      </c>
      <c r="AE288" s="334">
        <v>17</v>
      </c>
      <c r="AF288" s="334">
        <v>17</v>
      </c>
      <c r="AG288" s="334">
        <v>34</v>
      </c>
    </row>
    <row r="289" spans="1:33" x14ac:dyDescent="0.25">
      <c r="A289" s="329" t="s">
        <v>632</v>
      </c>
      <c r="B289" s="335" t="s">
        <v>633</v>
      </c>
      <c r="C289" s="331">
        <v>1528</v>
      </c>
      <c r="D289" s="331">
        <v>12</v>
      </c>
      <c r="E289" s="331">
        <v>69</v>
      </c>
      <c r="F289" s="331">
        <v>187</v>
      </c>
      <c r="G289" s="331">
        <v>436</v>
      </c>
      <c r="H289" s="331">
        <v>2232</v>
      </c>
      <c r="I289" s="330">
        <v>1796</v>
      </c>
      <c r="J289" s="330">
        <v>4</v>
      </c>
      <c r="K289" s="332">
        <v>108.69</v>
      </c>
      <c r="L289" s="332">
        <v>109.25</v>
      </c>
      <c r="M289" s="332">
        <v>6.12</v>
      </c>
      <c r="N289" s="332">
        <v>112.53</v>
      </c>
      <c r="O289" s="333">
        <v>998</v>
      </c>
      <c r="P289" s="330">
        <v>101.64</v>
      </c>
      <c r="Q289" s="330">
        <v>89.16</v>
      </c>
      <c r="R289" s="330">
        <v>57.41</v>
      </c>
      <c r="S289" s="330">
        <v>158.83000000000001</v>
      </c>
      <c r="T289" s="330">
        <v>254</v>
      </c>
      <c r="U289" s="330">
        <v>152.84</v>
      </c>
      <c r="V289" s="330">
        <v>514</v>
      </c>
      <c r="W289" s="330">
        <v>0</v>
      </c>
      <c r="X289" s="330">
        <v>0</v>
      </c>
      <c r="Y289" s="330">
        <v>6</v>
      </c>
      <c r="Z289" s="330">
        <v>0</v>
      </c>
      <c r="AA289" s="330">
        <v>18</v>
      </c>
      <c r="AB289" s="330">
        <v>61</v>
      </c>
      <c r="AC289" s="330">
        <v>5</v>
      </c>
      <c r="AD289" s="334">
        <v>1477</v>
      </c>
      <c r="AE289" s="334">
        <v>12</v>
      </c>
      <c r="AF289" s="334">
        <v>2</v>
      </c>
      <c r="AG289" s="334">
        <v>14</v>
      </c>
    </row>
    <row r="290" spans="1:33" x14ac:dyDescent="0.25">
      <c r="A290" s="329" t="s">
        <v>634</v>
      </c>
      <c r="B290" s="335" t="s">
        <v>635</v>
      </c>
      <c r="C290" s="331">
        <v>6717</v>
      </c>
      <c r="D290" s="331">
        <v>17</v>
      </c>
      <c r="E290" s="331">
        <v>206</v>
      </c>
      <c r="F290" s="331">
        <v>459</v>
      </c>
      <c r="G290" s="331">
        <v>654</v>
      </c>
      <c r="H290" s="331">
        <v>8053</v>
      </c>
      <c r="I290" s="330">
        <v>7399</v>
      </c>
      <c r="J290" s="330">
        <v>22</v>
      </c>
      <c r="K290" s="332">
        <v>107.72</v>
      </c>
      <c r="L290" s="332">
        <v>108.51</v>
      </c>
      <c r="M290" s="332">
        <v>6.15</v>
      </c>
      <c r="N290" s="332">
        <v>108.83</v>
      </c>
      <c r="O290" s="333">
        <v>5503</v>
      </c>
      <c r="P290" s="330">
        <v>102.21</v>
      </c>
      <c r="Q290" s="330">
        <v>98.52</v>
      </c>
      <c r="R290" s="330">
        <v>28.47</v>
      </c>
      <c r="S290" s="330">
        <v>126.88</v>
      </c>
      <c r="T290" s="330">
        <v>614</v>
      </c>
      <c r="U290" s="330">
        <v>163.62</v>
      </c>
      <c r="V290" s="330">
        <v>1171</v>
      </c>
      <c r="W290" s="330">
        <v>185.41</v>
      </c>
      <c r="X290" s="330">
        <v>26</v>
      </c>
      <c r="Y290" s="330">
        <v>0</v>
      </c>
      <c r="Z290" s="330">
        <v>20</v>
      </c>
      <c r="AA290" s="330">
        <v>3</v>
      </c>
      <c r="AB290" s="330">
        <v>77</v>
      </c>
      <c r="AC290" s="330">
        <v>21</v>
      </c>
      <c r="AD290" s="334">
        <v>6659</v>
      </c>
      <c r="AE290" s="334">
        <v>34</v>
      </c>
      <c r="AF290" s="334">
        <v>19</v>
      </c>
      <c r="AG290" s="334">
        <v>53</v>
      </c>
    </row>
    <row r="291" spans="1:33" x14ac:dyDescent="0.25">
      <c r="A291" s="329" t="s">
        <v>636</v>
      </c>
      <c r="B291" s="335" t="s">
        <v>637</v>
      </c>
      <c r="C291" s="331">
        <v>32461</v>
      </c>
      <c r="D291" s="331">
        <v>2</v>
      </c>
      <c r="E291" s="331">
        <v>2160</v>
      </c>
      <c r="F291" s="331">
        <v>630</v>
      </c>
      <c r="G291" s="331">
        <v>609</v>
      </c>
      <c r="H291" s="331">
        <v>35862</v>
      </c>
      <c r="I291" s="330">
        <v>35253</v>
      </c>
      <c r="J291" s="330">
        <v>1</v>
      </c>
      <c r="K291" s="332">
        <v>82.87</v>
      </c>
      <c r="L291" s="332">
        <v>83.27</v>
      </c>
      <c r="M291" s="332">
        <v>5.69</v>
      </c>
      <c r="N291" s="332">
        <v>83.6</v>
      </c>
      <c r="O291" s="333">
        <v>30026</v>
      </c>
      <c r="P291" s="330">
        <v>79.569999999999993</v>
      </c>
      <c r="Q291" s="330">
        <v>77.56</v>
      </c>
      <c r="R291" s="330">
        <v>36.409999999999997</v>
      </c>
      <c r="S291" s="330">
        <v>113.66</v>
      </c>
      <c r="T291" s="330">
        <v>2648</v>
      </c>
      <c r="U291" s="330">
        <v>97.45</v>
      </c>
      <c r="V291" s="330">
        <v>2050</v>
      </c>
      <c r="W291" s="330">
        <v>0</v>
      </c>
      <c r="X291" s="330">
        <v>0</v>
      </c>
      <c r="Y291" s="330">
        <v>0</v>
      </c>
      <c r="Z291" s="330">
        <v>168</v>
      </c>
      <c r="AA291" s="330">
        <v>9</v>
      </c>
      <c r="AB291" s="330">
        <v>95</v>
      </c>
      <c r="AC291" s="330">
        <v>19</v>
      </c>
      <c r="AD291" s="334">
        <v>32422</v>
      </c>
      <c r="AE291" s="334">
        <v>107</v>
      </c>
      <c r="AF291" s="334">
        <v>76</v>
      </c>
      <c r="AG291" s="334">
        <v>183</v>
      </c>
    </row>
    <row r="292" spans="1:33" x14ac:dyDescent="0.25">
      <c r="A292" s="329" t="s">
        <v>638</v>
      </c>
      <c r="B292" s="335" t="s">
        <v>639</v>
      </c>
      <c r="C292" s="331">
        <v>26814</v>
      </c>
      <c r="D292" s="331">
        <v>11</v>
      </c>
      <c r="E292" s="331">
        <v>398</v>
      </c>
      <c r="F292" s="331">
        <v>786</v>
      </c>
      <c r="G292" s="331">
        <v>490</v>
      </c>
      <c r="H292" s="331">
        <v>28499</v>
      </c>
      <c r="I292" s="330">
        <v>28009</v>
      </c>
      <c r="J292" s="330">
        <v>7</v>
      </c>
      <c r="K292" s="332">
        <v>85.65</v>
      </c>
      <c r="L292" s="332">
        <v>86.17</v>
      </c>
      <c r="M292" s="332">
        <v>8.81</v>
      </c>
      <c r="N292" s="332">
        <v>89.98</v>
      </c>
      <c r="O292" s="333">
        <v>24629</v>
      </c>
      <c r="P292" s="330">
        <v>108.59</v>
      </c>
      <c r="Q292" s="330">
        <v>101.58</v>
      </c>
      <c r="R292" s="330">
        <v>47.66</v>
      </c>
      <c r="S292" s="330">
        <v>152.22</v>
      </c>
      <c r="T292" s="330">
        <v>1039</v>
      </c>
      <c r="U292" s="330">
        <v>105.85</v>
      </c>
      <c r="V292" s="330">
        <v>1941</v>
      </c>
      <c r="W292" s="330">
        <v>137.57</v>
      </c>
      <c r="X292" s="330">
        <v>129</v>
      </c>
      <c r="Y292" s="330">
        <v>0</v>
      </c>
      <c r="Z292" s="330">
        <v>160</v>
      </c>
      <c r="AA292" s="330">
        <v>33</v>
      </c>
      <c r="AB292" s="330">
        <v>0</v>
      </c>
      <c r="AC292" s="330">
        <v>21</v>
      </c>
      <c r="AD292" s="334">
        <v>26757</v>
      </c>
      <c r="AE292" s="334">
        <v>140</v>
      </c>
      <c r="AF292" s="334">
        <v>11</v>
      </c>
      <c r="AG292" s="334">
        <v>151</v>
      </c>
    </row>
    <row r="293" spans="1:33" x14ac:dyDescent="0.25">
      <c r="A293" s="329" t="s">
        <v>640</v>
      </c>
      <c r="B293" s="335" t="s">
        <v>641</v>
      </c>
      <c r="C293" s="331">
        <v>10715</v>
      </c>
      <c r="D293" s="331">
        <v>9</v>
      </c>
      <c r="E293" s="331">
        <v>1005</v>
      </c>
      <c r="F293" s="331">
        <v>790</v>
      </c>
      <c r="G293" s="331">
        <v>1393</v>
      </c>
      <c r="H293" s="331">
        <v>13912</v>
      </c>
      <c r="I293" s="330">
        <v>12519</v>
      </c>
      <c r="J293" s="330">
        <v>19</v>
      </c>
      <c r="K293" s="332">
        <v>121.72</v>
      </c>
      <c r="L293" s="332">
        <v>115.82</v>
      </c>
      <c r="M293" s="332">
        <v>10.67</v>
      </c>
      <c r="N293" s="332">
        <v>126.66</v>
      </c>
      <c r="O293" s="333">
        <v>8881</v>
      </c>
      <c r="P293" s="330">
        <v>101.36</v>
      </c>
      <c r="Q293" s="330">
        <v>96.56</v>
      </c>
      <c r="R293" s="330">
        <v>38.78</v>
      </c>
      <c r="S293" s="330">
        <v>127.45</v>
      </c>
      <c r="T293" s="330">
        <v>1241</v>
      </c>
      <c r="U293" s="330">
        <v>176.52</v>
      </c>
      <c r="V293" s="330">
        <v>1403</v>
      </c>
      <c r="W293" s="330">
        <v>222.2</v>
      </c>
      <c r="X293" s="330">
        <v>10</v>
      </c>
      <c r="Y293" s="330">
        <v>0</v>
      </c>
      <c r="Z293" s="330">
        <v>13</v>
      </c>
      <c r="AA293" s="330">
        <v>16</v>
      </c>
      <c r="AB293" s="330">
        <v>77</v>
      </c>
      <c r="AC293" s="330">
        <v>22</v>
      </c>
      <c r="AD293" s="334">
        <v>10338</v>
      </c>
      <c r="AE293" s="334">
        <v>11</v>
      </c>
      <c r="AF293" s="334">
        <v>41</v>
      </c>
      <c r="AG293" s="334">
        <v>52</v>
      </c>
    </row>
    <row r="294" spans="1:33" x14ac:dyDescent="0.25">
      <c r="A294" s="329" t="s">
        <v>642</v>
      </c>
      <c r="B294" s="335" t="s">
        <v>643</v>
      </c>
      <c r="C294" s="331">
        <v>8591</v>
      </c>
      <c r="D294" s="331">
        <v>60</v>
      </c>
      <c r="E294" s="331">
        <v>1147</v>
      </c>
      <c r="F294" s="331">
        <v>1001</v>
      </c>
      <c r="G294" s="331">
        <v>2212</v>
      </c>
      <c r="H294" s="331">
        <v>13011</v>
      </c>
      <c r="I294" s="330">
        <v>10799</v>
      </c>
      <c r="J294" s="330">
        <v>404</v>
      </c>
      <c r="K294" s="332">
        <v>129.53</v>
      </c>
      <c r="L294" s="332">
        <v>125.98</v>
      </c>
      <c r="M294" s="332">
        <v>8.11</v>
      </c>
      <c r="N294" s="332">
        <v>133.91999999999999</v>
      </c>
      <c r="O294" s="333">
        <v>7573</v>
      </c>
      <c r="P294" s="330">
        <v>123.78</v>
      </c>
      <c r="Q294" s="330">
        <v>115.97</v>
      </c>
      <c r="R294" s="330">
        <v>48.82</v>
      </c>
      <c r="S294" s="330">
        <v>165.58</v>
      </c>
      <c r="T294" s="330">
        <v>2018</v>
      </c>
      <c r="U294" s="330">
        <v>202.98</v>
      </c>
      <c r="V294" s="330">
        <v>659</v>
      </c>
      <c r="W294" s="330">
        <v>178.12</v>
      </c>
      <c r="X294" s="330">
        <v>18</v>
      </c>
      <c r="Y294" s="330">
        <v>1</v>
      </c>
      <c r="Z294" s="330">
        <v>0</v>
      </c>
      <c r="AA294" s="330">
        <v>13</v>
      </c>
      <c r="AB294" s="330">
        <v>135</v>
      </c>
      <c r="AC294" s="330">
        <v>53</v>
      </c>
      <c r="AD294" s="334">
        <v>8302</v>
      </c>
      <c r="AE294" s="334">
        <v>16</v>
      </c>
      <c r="AF294" s="334">
        <v>37</v>
      </c>
      <c r="AG294" s="334">
        <v>53</v>
      </c>
    </row>
    <row r="295" spans="1:33" x14ac:dyDescent="0.25">
      <c r="A295" s="329" t="s">
        <v>644</v>
      </c>
      <c r="B295" s="335" t="s">
        <v>645</v>
      </c>
      <c r="C295" s="331">
        <v>11651</v>
      </c>
      <c r="D295" s="331">
        <v>0</v>
      </c>
      <c r="E295" s="331">
        <v>405</v>
      </c>
      <c r="F295" s="331">
        <v>2361</v>
      </c>
      <c r="G295" s="331">
        <v>642</v>
      </c>
      <c r="H295" s="331">
        <v>15059</v>
      </c>
      <c r="I295" s="330">
        <v>14417</v>
      </c>
      <c r="J295" s="330">
        <v>0</v>
      </c>
      <c r="K295" s="332">
        <v>84.35</v>
      </c>
      <c r="L295" s="332">
        <v>85.69</v>
      </c>
      <c r="M295" s="332">
        <v>5.39</v>
      </c>
      <c r="N295" s="332">
        <v>86.01</v>
      </c>
      <c r="O295" s="333">
        <v>10980</v>
      </c>
      <c r="P295" s="330">
        <v>82.24</v>
      </c>
      <c r="Q295" s="330">
        <v>82.41</v>
      </c>
      <c r="R295" s="330">
        <v>24.11</v>
      </c>
      <c r="S295" s="330">
        <v>101.98</v>
      </c>
      <c r="T295" s="330">
        <v>2720</v>
      </c>
      <c r="U295" s="330">
        <v>105.4</v>
      </c>
      <c r="V295" s="330">
        <v>620</v>
      </c>
      <c r="W295" s="330">
        <v>101.27</v>
      </c>
      <c r="X295" s="330">
        <v>2</v>
      </c>
      <c r="Y295" s="330">
        <v>0</v>
      </c>
      <c r="Z295" s="330">
        <v>74</v>
      </c>
      <c r="AA295" s="330">
        <v>1</v>
      </c>
      <c r="AB295" s="330">
        <v>10</v>
      </c>
      <c r="AC295" s="330">
        <v>14</v>
      </c>
      <c r="AD295" s="334">
        <v>11651</v>
      </c>
      <c r="AE295" s="334">
        <v>50</v>
      </c>
      <c r="AF295" s="334">
        <v>41</v>
      </c>
      <c r="AG295" s="334">
        <v>91</v>
      </c>
    </row>
    <row r="296" spans="1:33" x14ac:dyDescent="0.25">
      <c r="A296" s="329" t="s">
        <v>646</v>
      </c>
      <c r="B296" s="335" t="s">
        <v>647</v>
      </c>
      <c r="C296" s="331">
        <v>2645</v>
      </c>
      <c r="D296" s="331">
        <v>0</v>
      </c>
      <c r="E296" s="331">
        <v>158</v>
      </c>
      <c r="F296" s="331">
        <v>601</v>
      </c>
      <c r="G296" s="331">
        <v>658</v>
      </c>
      <c r="H296" s="331">
        <v>4062</v>
      </c>
      <c r="I296" s="330">
        <v>3404</v>
      </c>
      <c r="J296" s="330">
        <v>7</v>
      </c>
      <c r="K296" s="332">
        <v>103.85</v>
      </c>
      <c r="L296" s="332">
        <v>94.66</v>
      </c>
      <c r="M296" s="332">
        <v>7.2</v>
      </c>
      <c r="N296" s="332">
        <v>110.03</v>
      </c>
      <c r="O296" s="333">
        <v>2122</v>
      </c>
      <c r="P296" s="330">
        <v>102.24</v>
      </c>
      <c r="Q296" s="330">
        <v>87.19</v>
      </c>
      <c r="R296" s="330">
        <v>41.01</v>
      </c>
      <c r="S296" s="330">
        <v>141.97999999999999</v>
      </c>
      <c r="T296" s="330">
        <v>581</v>
      </c>
      <c r="U296" s="330">
        <v>137.38</v>
      </c>
      <c r="V296" s="330">
        <v>429</v>
      </c>
      <c r="W296" s="330">
        <v>185.93</v>
      </c>
      <c r="X296" s="330">
        <v>126</v>
      </c>
      <c r="Y296" s="330">
        <v>6</v>
      </c>
      <c r="Z296" s="330">
        <v>0</v>
      </c>
      <c r="AA296" s="330">
        <v>14</v>
      </c>
      <c r="AB296" s="330">
        <v>103</v>
      </c>
      <c r="AC296" s="330">
        <v>14</v>
      </c>
      <c r="AD296" s="334">
        <v>2581</v>
      </c>
      <c r="AE296" s="334">
        <v>36</v>
      </c>
      <c r="AF296" s="334">
        <v>13</v>
      </c>
      <c r="AG296" s="334">
        <v>49</v>
      </c>
    </row>
    <row r="297" spans="1:33" x14ac:dyDescent="0.25">
      <c r="A297" s="329" t="s">
        <v>648</v>
      </c>
      <c r="B297" s="335" t="s">
        <v>649</v>
      </c>
      <c r="C297" s="331">
        <v>5425</v>
      </c>
      <c r="D297" s="331">
        <v>105</v>
      </c>
      <c r="E297" s="331">
        <v>379</v>
      </c>
      <c r="F297" s="331">
        <v>589</v>
      </c>
      <c r="G297" s="331">
        <v>339</v>
      </c>
      <c r="H297" s="331">
        <v>6837</v>
      </c>
      <c r="I297" s="330">
        <v>6498</v>
      </c>
      <c r="J297" s="330">
        <v>55</v>
      </c>
      <c r="K297" s="332">
        <v>113.65</v>
      </c>
      <c r="L297" s="332">
        <v>117.7</v>
      </c>
      <c r="M297" s="332">
        <v>8.98</v>
      </c>
      <c r="N297" s="332">
        <v>117.87</v>
      </c>
      <c r="O297" s="333">
        <v>4961</v>
      </c>
      <c r="P297" s="330">
        <v>112.14</v>
      </c>
      <c r="Q297" s="330">
        <v>90.98</v>
      </c>
      <c r="R297" s="330">
        <v>42.37</v>
      </c>
      <c r="S297" s="330">
        <v>154.34</v>
      </c>
      <c r="T297" s="330">
        <v>765</v>
      </c>
      <c r="U297" s="330">
        <v>175.59</v>
      </c>
      <c r="V297" s="330">
        <v>362</v>
      </c>
      <c r="W297" s="330">
        <v>0</v>
      </c>
      <c r="X297" s="330">
        <v>0</v>
      </c>
      <c r="Y297" s="330">
        <v>0</v>
      </c>
      <c r="Z297" s="330">
        <v>7</v>
      </c>
      <c r="AA297" s="330">
        <v>0</v>
      </c>
      <c r="AB297" s="330">
        <v>8</v>
      </c>
      <c r="AC297" s="330">
        <v>6</v>
      </c>
      <c r="AD297" s="334">
        <v>5412</v>
      </c>
      <c r="AE297" s="334">
        <v>25</v>
      </c>
      <c r="AF297" s="334">
        <v>9</v>
      </c>
      <c r="AG297" s="334">
        <v>34</v>
      </c>
    </row>
    <row r="298" spans="1:33" x14ac:dyDescent="0.25">
      <c r="A298" s="329" t="s">
        <v>650</v>
      </c>
      <c r="B298" s="335" t="s">
        <v>651</v>
      </c>
      <c r="C298" s="331">
        <v>1131</v>
      </c>
      <c r="D298" s="331">
        <v>0</v>
      </c>
      <c r="E298" s="331">
        <v>129</v>
      </c>
      <c r="F298" s="331">
        <v>181</v>
      </c>
      <c r="G298" s="331">
        <v>387</v>
      </c>
      <c r="H298" s="331">
        <v>1828</v>
      </c>
      <c r="I298" s="330">
        <v>1441</v>
      </c>
      <c r="J298" s="330">
        <v>2</v>
      </c>
      <c r="K298" s="332">
        <v>118.23</v>
      </c>
      <c r="L298" s="332">
        <v>117.56</v>
      </c>
      <c r="M298" s="332">
        <v>4.74</v>
      </c>
      <c r="N298" s="332">
        <v>122.63</v>
      </c>
      <c r="O298" s="333">
        <v>908</v>
      </c>
      <c r="P298" s="330">
        <v>110.28</v>
      </c>
      <c r="Q298" s="330">
        <v>96.64</v>
      </c>
      <c r="R298" s="330">
        <v>39.340000000000003</v>
      </c>
      <c r="S298" s="330">
        <v>149.33000000000001</v>
      </c>
      <c r="T298" s="330">
        <v>135</v>
      </c>
      <c r="U298" s="330">
        <v>184.85</v>
      </c>
      <c r="V298" s="330">
        <v>175</v>
      </c>
      <c r="W298" s="330">
        <v>121.1</v>
      </c>
      <c r="X298" s="330">
        <v>3</v>
      </c>
      <c r="Y298" s="330">
        <v>7</v>
      </c>
      <c r="Z298" s="330">
        <v>0</v>
      </c>
      <c r="AA298" s="330">
        <v>4</v>
      </c>
      <c r="AB298" s="330">
        <v>15</v>
      </c>
      <c r="AC298" s="330">
        <v>12</v>
      </c>
      <c r="AD298" s="334">
        <v>1083</v>
      </c>
      <c r="AE298" s="334">
        <v>16</v>
      </c>
      <c r="AF298" s="334">
        <v>1</v>
      </c>
      <c r="AG298" s="334">
        <v>17</v>
      </c>
    </row>
    <row r="299" spans="1:33" x14ac:dyDescent="0.25">
      <c r="A299" s="329" t="s">
        <v>652</v>
      </c>
      <c r="B299" s="335" t="s">
        <v>653</v>
      </c>
      <c r="C299" s="331">
        <v>2175</v>
      </c>
      <c r="D299" s="331">
        <v>0</v>
      </c>
      <c r="E299" s="331">
        <v>89</v>
      </c>
      <c r="F299" s="331">
        <v>224</v>
      </c>
      <c r="G299" s="331">
        <v>477</v>
      </c>
      <c r="H299" s="331">
        <v>2965</v>
      </c>
      <c r="I299" s="330">
        <v>2488</v>
      </c>
      <c r="J299" s="330">
        <v>0</v>
      </c>
      <c r="K299" s="332">
        <v>103.84</v>
      </c>
      <c r="L299" s="332">
        <v>101.48</v>
      </c>
      <c r="M299" s="332">
        <v>5.71</v>
      </c>
      <c r="N299" s="332">
        <v>108.27</v>
      </c>
      <c r="O299" s="333">
        <v>1370</v>
      </c>
      <c r="P299" s="330">
        <v>82.14</v>
      </c>
      <c r="Q299" s="330">
        <v>78.680000000000007</v>
      </c>
      <c r="R299" s="330">
        <v>28.5</v>
      </c>
      <c r="S299" s="330">
        <v>108.5</v>
      </c>
      <c r="T299" s="330">
        <v>226</v>
      </c>
      <c r="U299" s="330">
        <v>145.16</v>
      </c>
      <c r="V299" s="330">
        <v>786</v>
      </c>
      <c r="W299" s="330">
        <v>167.82</v>
      </c>
      <c r="X299" s="330">
        <v>55</v>
      </c>
      <c r="Y299" s="330">
        <v>0</v>
      </c>
      <c r="Z299" s="330">
        <v>0</v>
      </c>
      <c r="AA299" s="330">
        <v>9</v>
      </c>
      <c r="AB299" s="330">
        <v>41</v>
      </c>
      <c r="AC299" s="330">
        <v>6</v>
      </c>
      <c r="AD299" s="334">
        <v>2168</v>
      </c>
      <c r="AE299" s="334">
        <v>6</v>
      </c>
      <c r="AF299" s="334">
        <v>2</v>
      </c>
      <c r="AG299" s="334">
        <v>8</v>
      </c>
    </row>
    <row r="300" spans="1:33" x14ac:dyDescent="0.25">
      <c r="A300" s="329" t="s">
        <v>654</v>
      </c>
      <c r="B300" s="335" t="s">
        <v>655</v>
      </c>
      <c r="C300" s="331">
        <v>2708</v>
      </c>
      <c r="D300" s="331">
        <v>0</v>
      </c>
      <c r="E300" s="331">
        <v>344</v>
      </c>
      <c r="F300" s="331">
        <v>329</v>
      </c>
      <c r="G300" s="331">
        <v>427</v>
      </c>
      <c r="H300" s="331">
        <v>3808</v>
      </c>
      <c r="I300" s="330">
        <v>3381</v>
      </c>
      <c r="J300" s="330">
        <v>131</v>
      </c>
      <c r="K300" s="332">
        <v>111.73</v>
      </c>
      <c r="L300" s="332">
        <v>110.58</v>
      </c>
      <c r="M300" s="332">
        <v>8.19</v>
      </c>
      <c r="N300" s="332">
        <v>117.4</v>
      </c>
      <c r="O300" s="333">
        <v>2170</v>
      </c>
      <c r="P300" s="330">
        <v>105.7</v>
      </c>
      <c r="Q300" s="330">
        <v>94.06</v>
      </c>
      <c r="R300" s="330">
        <v>42.3</v>
      </c>
      <c r="S300" s="330">
        <v>143.52000000000001</v>
      </c>
      <c r="T300" s="330">
        <v>264</v>
      </c>
      <c r="U300" s="330">
        <v>147.94999999999999</v>
      </c>
      <c r="V300" s="330">
        <v>404</v>
      </c>
      <c r="W300" s="330">
        <v>0</v>
      </c>
      <c r="X300" s="330">
        <v>0</v>
      </c>
      <c r="Y300" s="330">
        <v>237</v>
      </c>
      <c r="Z300" s="330">
        <v>0</v>
      </c>
      <c r="AA300" s="330">
        <v>1</v>
      </c>
      <c r="AB300" s="330">
        <v>77</v>
      </c>
      <c r="AC300" s="330">
        <v>14</v>
      </c>
      <c r="AD300" s="334">
        <v>2576</v>
      </c>
      <c r="AE300" s="334">
        <v>9</v>
      </c>
      <c r="AF300" s="334">
        <v>8</v>
      </c>
      <c r="AG300" s="334">
        <v>17</v>
      </c>
    </row>
    <row r="301" spans="1:33" x14ac:dyDescent="0.25">
      <c r="A301" s="329" t="s">
        <v>656</v>
      </c>
      <c r="B301" s="335" t="s">
        <v>657</v>
      </c>
      <c r="C301" s="331">
        <v>7940</v>
      </c>
      <c r="D301" s="331">
        <v>0</v>
      </c>
      <c r="E301" s="331">
        <v>327</v>
      </c>
      <c r="F301" s="331">
        <v>816</v>
      </c>
      <c r="G301" s="331">
        <v>659</v>
      </c>
      <c r="H301" s="331">
        <v>9742</v>
      </c>
      <c r="I301" s="330">
        <v>9083</v>
      </c>
      <c r="J301" s="330">
        <v>0</v>
      </c>
      <c r="K301" s="332">
        <v>117.42</v>
      </c>
      <c r="L301" s="332">
        <v>118.88</v>
      </c>
      <c r="M301" s="332">
        <v>5.05</v>
      </c>
      <c r="N301" s="332">
        <v>120.08</v>
      </c>
      <c r="O301" s="333">
        <v>7559</v>
      </c>
      <c r="P301" s="330">
        <v>113.09</v>
      </c>
      <c r="Q301" s="330">
        <v>108.65</v>
      </c>
      <c r="R301" s="330">
        <v>29.52</v>
      </c>
      <c r="S301" s="330">
        <v>141.66999999999999</v>
      </c>
      <c r="T301" s="330">
        <v>979</v>
      </c>
      <c r="U301" s="330">
        <v>149.38999999999999</v>
      </c>
      <c r="V301" s="330">
        <v>368</v>
      </c>
      <c r="W301" s="330">
        <v>181.55</v>
      </c>
      <c r="X301" s="330">
        <v>81</v>
      </c>
      <c r="Y301" s="330">
        <v>9</v>
      </c>
      <c r="Z301" s="330">
        <v>2</v>
      </c>
      <c r="AA301" s="330">
        <v>3</v>
      </c>
      <c r="AB301" s="330">
        <v>86</v>
      </c>
      <c r="AC301" s="330">
        <v>16</v>
      </c>
      <c r="AD301" s="334">
        <v>7937</v>
      </c>
      <c r="AE301" s="334">
        <v>42</v>
      </c>
      <c r="AF301" s="334">
        <v>22</v>
      </c>
      <c r="AG301" s="334">
        <v>64</v>
      </c>
    </row>
    <row r="302" spans="1:33" x14ac:dyDescent="0.25">
      <c r="A302" s="329" t="s">
        <v>658</v>
      </c>
      <c r="B302" s="335" t="s">
        <v>659</v>
      </c>
      <c r="C302" s="331">
        <v>2272</v>
      </c>
      <c r="D302" s="331">
        <v>8</v>
      </c>
      <c r="E302" s="331">
        <v>40</v>
      </c>
      <c r="F302" s="331">
        <v>148</v>
      </c>
      <c r="G302" s="331">
        <v>115</v>
      </c>
      <c r="H302" s="331">
        <v>2583</v>
      </c>
      <c r="I302" s="330">
        <v>2468</v>
      </c>
      <c r="J302" s="330">
        <v>1</v>
      </c>
      <c r="K302" s="332">
        <v>90.87</v>
      </c>
      <c r="L302" s="332">
        <v>82.17</v>
      </c>
      <c r="M302" s="332">
        <v>7.78</v>
      </c>
      <c r="N302" s="332">
        <v>93.7</v>
      </c>
      <c r="O302" s="333">
        <v>2110</v>
      </c>
      <c r="P302" s="330">
        <v>90.68</v>
      </c>
      <c r="Q302" s="330">
        <v>80.760000000000005</v>
      </c>
      <c r="R302" s="330">
        <v>34.130000000000003</v>
      </c>
      <c r="S302" s="330">
        <v>122.37</v>
      </c>
      <c r="T302" s="330">
        <v>112</v>
      </c>
      <c r="U302" s="330">
        <v>114.66</v>
      </c>
      <c r="V302" s="330">
        <v>109</v>
      </c>
      <c r="W302" s="330">
        <v>83.63</v>
      </c>
      <c r="X302" s="330">
        <v>4</v>
      </c>
      <c r="Y302" s="330">
        <v>0</v>
      </c>
      <c r="Z302" s="330">
        <v>2</v>
      </c>
      <c r="AA302" s="330">
        <v>2</v>
      </c>
      <c r="AB302" s="330">
        <v>8</v>
      </c>
      <c r="AC302" s="330">
        <v>2</v>
      </c>
      <c r="AD302" s="334">
        <v>2183</v>
      </c>
      <c r="AE302" s="334">
        <v>4</v>
      </c>
      <c r="AF302" s="334">
        <v>9</v>
      </c>
      <c r="AG302" s="334">
        <v>13</v>
      </c>
    </row>
    <row r="303" spans="1:33" x14ac:dyDescent="0.25">
      <c r="A303" s="329" t="s">
        <v>660</v>
      </c>
      <c r="B303" s="335" t="s">
        <v>661</v>
      </c>
      <c r="C303" s="331">
        <v>770</v>
      </c>
      <c r="D303" s="331">
        <v>4</v>
      </c>
      <c r="E303" s="331">
        <v>196</v>
      </c>
      <c r="F303" s="331">
        <v>374</v>
      </c>
      <c r="G303" s="331">
        <v>316</v>
      </c>
      <c r="H303" s="331">
        <v>1660</v>
      </c>
      <c r="I303" s="330">
        <v>1344</v>
      </c>
      <c r="J303" s="330">
        <v>0</v>
      </c>
      <c r="K303" s="332">
        <v>93.25</v>
      </c>
      <c r="L303" s="332">
        <v>91.23</v>
      </c>
      <c r="M303" s="332">
        <v>5.0999999999999996</v>
      </c>
      <c r="N303" s="332">
        <v>96.7</v>
      </c>
      <c r="O303" s="333">
        <v>571</v>
      </c>
      <c r="P303" s="330">
        <v>100.44</v>
      </c>
      <c r="Q303" s="330">
        <v>91.44</v>
      </c>
      <c r="R303" s="330">
        <v>39.07</v>
      </c>
      <c r="S303" s="330">
        <v>139.28</v>
      </c>
      <c r="T303" s="330">
        <v>488</v>
      </c>
      <c r="U303" s="330">
        <v>104.83</v>
      </c>
      <c r="V303" s="330">
        <v>174</v>
      </c>
      <c r="W303" s="330">
        <v>0</v>
      </c>
      <c r="X303" s="330">
        <v>0</v>
      </c>
      <c r="Y303" s="330">
        <v>41</v>
      </c>
      <c r="Z303" s="330">
        <v>0</v>
      </c>
      <c r="AA303" s="330">
        <v>0</v>
      </c>
      <c r="AB303" s="330">
        <v>20</v>
      </c>
      <c r="AC303" s="330">
        <v>0</v>
      </c>
      <c r="AD303" s="334">
        <v>759</v>
      </c>
      <c r="AE303" s="334">
        <v>4</v>
      </c>
      <c r="AF303" s="334">
        <v>2</v>
      </c>
      <c r="AG303" s="334">
        <v>6</v>
      </c>
    </row>
    <row r="304" spans="1:33" x14ac:dyDescent="0.25">
      <c r="A304" s="329" t="s">
        <v>662</v>
      </c>
      <c r="B304" s="335" t="s">
        <v>663</v>
      </c>
      <c r="C304" s="331">
        <v>4200</v>
      </c>
      <c r="D304" s="331">
        <v>0</v>
      </c>
      <c r="E304" s="331">
        <v>69</v>
      </c>
      <c r="F304" s="331">
        <v>430</v>
      </c>
      <c r="G304" s="331">
        <v>306</v>
      </c>
      <c r="H304" s="331">
        <v>5005</v>
      </c>
      <c r="I304" s="330">
        <v>4699</v>
      </c>
      <c r="J304" s="330">
        <v>0</v>
      </c>
      <c r="K304" s="332">
        <v>79.87</v>
      </c>
      <c r="L304" s="332">
        <v>79.849999999999994</v>
      </c>
      <c r="M304" s="332">
        <v>4.83</v>
      </c>
      <c r="N304" s="332">
        <v>81.25</v>
      </c>
      <c r="O304" s="333">
        <v>4003</v>
      </c>
      <c r="P304" s="330">
        <v>74.92</v>
      </c>
      <c r="Q304" s="330">
        <v>75.08</v>
      </c>
      <c r="R304" s="330">
        <v>29.58</v>
      </c>
      <c r="S304" s="330">
        <v>104.01</v>
      </c>
      <c r="T304" s="330">
        <v>484</v>
      </c>
      <c r="U304" s="330">
        <v>93.08</v>
      </c>
      <c r="V304" s="330">
        <v>172</v>
      </c>
      <c r="W304" s="330">
        <v>113.41</v>
      </c>
      <c r="X304" s="330">
        <v>8</v>
      </c>
      <c r="Y304" s="330">
        <v>0</v>
      </c>
      <c r="Z304" s="330">
        <v>11</v>
      </c>
      <c r="AA304" s="330">
        <v>1</v>
      </c>
      <c r="AB304" s="330">
        <v>6</v>
      </c>
      <c r="AC304" s="330">
        <v>5</v>
      </c>
      <c r="AD304" s="334">
        <v>4189</v>
      </c>
      <c r="AE304" s="334">
        <v>18</v>
      </c>
      <c r="AF304" s="334">
        <v>8</v>
      </c>
      <c r="AG304" s="334">
        <v>26</v>
      </c>
    </row>
    <row r="305" spans="1:33" ht="14.5" x14ac:dyDescent="0.35">
      <c r="A305" s="336" t="s">
        <v>800</v>
      </c>
      <c r="B305" s="336" t="s">
        <v>798</v>
      </c>
      <c r="C305" s="330">
        <v>10928</v>
      </c>
      <c r="D305" s="330">
        <v>30</v>
      </c>
      <c r="E305" s="330">
        <v>449</v>
      </c>
      <c r="F305" s="330">
        <v>2454</v>
      </c>
      <c r="G305" s="330">
        <v>2065</v>
      </c>
      <c r="H305" s="330">
        <v>15926</v>
      </c>
      <c r="I305" s="330">
        <v>13861</v>
      </c>
      <c r="J305" s="330">
        <v>3</v>
      </c>
      <c r="K305" s="330">
        <v>97.22</v>
      </c>
      <c r="L305" s="330">
        <v>95.47</v>
      </c>
      <c r="M305" s="330">
        <v>5.74</v>
      </c>
      <c r="N305" s="330">
        <v>100.95</v>
      </c>
      <c r="O305" s="330">
        <v>9279</v>
      </c>
      <c r="P305" s="330">
        <v>94.58</v>
      </c>
      <c r="Q305" s="330">
        <v>91.83</v>
      </c>
      <c r="R305" s="330">
        <v>30.17</v>
      </c>
      <c r="S305" s="330">
        <v>115.74</v>
      </c>
      <c r="T305" s="330">
        <v>2785</v>
      </c>
      <c r="U305" s="330">
        <v>122.18</v>
      </c>
      <c r="V305" s="330">
        <v>1254</v>
      </c>
      <c r="W305" s="330">
        <v>195.93</v>
      </c>
      <c r="X305" s="330">
        <v>77</v>
      </c>
      <c r="Y305" s="330">
        <v>0</v>
      </c>
      <c r="Z305" s="330">
        <v>35</v>
      </c>
      <c r="AA305" s="330">
        <v>12</v>
      </c>
      <c r="AB305" s="330">
        <v>150</v>
      </c>
      <c r="AC305" s="330">
        <v>35</v>
      </c>
      <c r="AD305" s="330">
        <v>10663</v>
      </c>
      <c r="AE305" s="330">
        <v>76</v>
      </c>
      <c r="AF305" s="330">
        <v>21</v>
      </c>
      <c r="AG305" s="330">
        <v>97</v>
      </c>
    </row>
    <row r="306" spans="1:33" x14ac:dyDescent="0.25">
      <c r="A306" s="329" t="s">
        <v>664</v>
      </c>
      <c r="B306" s="335" t="s">
        <v>665</v>
      </c>
      <c r="C306" s="331">
        <v>5582</v>
      </c>
      <c r="D306" s="331">
        <v>2</v>
      </c>
      <c r="E306" s="331">
        <v>127</v>
      </c>
      <c r="F306" s="331">
        <v>159</v>
      </c>
      <c r="G306" s="331">
        <v>584</v>
      </c>
      <c r="H306" s="331">
        <v>6454</v>
      </c>
      <c r="I306" s="330">
        <v>5870</v>
      </c>
      <c r="J306" s="330">
        <v>73</v>
      </c>
      <c r="K306" s="332">
        <v>109.83</v>
      </c>
      <c r="L306" s="332">
        <v>114.01</v>
      </c>
      <c r="M306" s="332">
        <v>4.6399999999999997</v>
      </c>
      <c r="N306" s="332">
        <v>111.61</v>
      </c>
      <c r="O306" s="333">
        <v>4912</v>
      </c>
      <c r="P306" s="330">
        <v>96.54</v>
      </c>
      <c r="Q306" s="330">
        <v>91.81</v>
      </c>
      <c r="R306" s="330">
        <v>52.75</v>
      </c>
      <c r="S306" s="330">
        <v>148.53</v>
      </c>
      <c r="T306" s="330">
        <v>281</v>
      </c>
      <c r="U306" s="330">
        <v>158.03</v>
      </c>
      <c r="V306" s="330">
        <v>518</v>
      </c>
      <c r="W306" s="330">
        <v>0</v>
      </c>
      <c r="X306" s="330">
        <v>0</v>
      </c>
      <c r="Y306" s="330">
        <v>0</v>
      </c>
      <c r="Z306" s="330">
        <v>6</v>
      </c>
      <c r="AA306" s="330">
        <v>20</v>
      </c>
      <c r="AB306" s="330">
        <v>58</v>
      </c>
      <c r="AC306" s="330">
        <v>11</v>
      </c>
      <c r="AD306" s="334">
        <v>5424</v>
      </c>
      <c r="AE306" s="334">
        <v>14</v>
      </c>
      <c r="AF306" s="334">
        <v>44</v>
      </c>
      <c r="AG306" s="334">
        <v>58</v>
      </c>
    </row>
    <row r="307" spans="1:33" x14ac:dyDescent="0.25">
      <c r="A307" s="329" t="s">
        <v>666</v>
      </c>
      <c r="B307" s="335" t="s">
        <v>667</v>
      </c>
      <c r="C307" s="330">
        <v>10583</v>
      </c>
      <c r="D307" s="330">
        <v>0</v>
      </c>
      <c r="E307" s="330">
        <v>455</v>
      </c>
      <c r="F307" s="330">
        <v>1185</v>
      </c>
      <c r="G307" s="330">
        <v>579</v>
      </c>
      <c r="H307" s="330">
        <v>12802</v>
      </c>
      <c r="I307" s="330">
        <v>12223</v>
      </c>
      <c r="J307" s="330">
        <v>2</v>
      </c>
      <c r="K307" s="330">
        <v>91.46</v>
      </c>
      <c r="L307" s="332">
        <v>91.49</v>
      </c>
      <c r="M307" s="332">
        <v>4.8</v>
      </c>
      <c r="N307" s="332">
        <v>92.64</v>
      </c>
      <c r="O307" s="333">
        <v>8903</v>
      </c>
      <c r="P307" s="330">
        <v>88.96</v>
      </c>
      <c r="Q307" s="330">
        <v>85.38</v>
      </c>
      <c r="R307" s="330">
        <v>37.31</v>
      </c>
      <c r="S307" s="330">
        <v>123.74</v>
      </c>
      <c r="T307" s="330">
        <v>1589</v>
      </c>
      <c r="U307" s="330">
        <v>128.78</v>
      </c>
      <c r="V307" s="330">
        <v>1553</v>
      </c>
      <c r="W307" s="330">
        <v>106.88</v>
      </c>
      <c r="X307" s="330">
        <v>23</v>
      </c>
      <c r="Y307" s="330">
        <v>16</v>
      </c>
      <c r="Z307" s="330">
        <v>24</v>
      </c>
      <c r="AA307" s="330">
        <v>24</v>
      </c>
      <c r="AB307" s="330">
        <v>26</v>
      </c>
      <c r="AC307" s="330">
        <v>20</v>
      </c>
      <c r="AD307" s="330">
        <v>10570</v>
      </c>
      <c r="AE307" s="330">
        <v>76</v>
      </c>
      <c r="AF307" s="330">
        <v>58</v>
      </c>
      <c r="AG307" s="330">
        <v>134</v>
      </c>
    </row>
    <row r="308" spans="1:33" x14ac:dyDescent="0.25">
      <c r="A308" s="329" t="s">
        <v>668</v>
      </c>
      <c r="B308" s="335" t="s">
        <v>669</v>
      </c>
      <c r="C308" s="331">
        <v>12064</v>
      </c>
      <c r="D308" s="331">
        <v>944</v>
      </c>
      <c r="E308" s="331">
        <v>1332</v>
      </c>
      <c r="F308" s="331">
        <v>973</v>
      </c>
      <c r="G308" s="331">
        <v>648</v>
      </c>
      <c r="H308" s="331">
        <v>15961</v>
      </c>
      <c r="I308" s="330">
        <v>15313</v>
      </c>
      <c r="J308" s="330">
        <v>210</v>
      </c>
      <c r="K308" s="332">
        <v>149.1</v>
      </c>
      <c r="L308" s="332">
        <v>142.41999999999999</v>
      </c>
      <c r="M308" s="332">
        <v>11.64</v>
      </c>
      <c r="N308" s="332">
        <v>158.13</v>
      </c>
      <c r="O308" s="333">
        <v>10292</v>
      </c>
      <c r="P308" s="330">
        <v>115.66</v>
      </c>
      <c r="Q308" s="330">
        <v>115.1</v>
      </c>
      <c r="R308" s="330">
        <v>65.25</v>
      </c>
      <c r="S308" s="330">
        <v>171.9</v>
      </c>
      <c r="T308" s="330">
        <v>2078</v>
      </c>
      <c r="U308" s="330">
        <v>209.4</v>
      </c>
      <c r="V308" s="330">
        <v>663</v>
      </c>
      <c r="W308" s="330">
        <v>151.28</v>
      </c>
      <c r="X308" s="330">
        <v>1</v>
      </c>
      <c r="Y308" s="330">
        <v>0</v>
      </c>
      <c r="Z308" s="330">
        <v>1</v>
      </c>
      <c r="AA308" s="330">
        <v>3</v>
      </c>
      <c r="AB308" s="330">
        <v>1</v>
      </c>
      <c r="AC308" s="330">
        <v>10</v>
      </c>
      <c r="AD308" s="334">
        <v>10463</v>
      </c>
      <c r="AE308" s="334">
        <v>31</v>
      </c>
      <c r="AF308" s="334">
        <v>110</v>
      </c>
      <c r="AG308" s="334">
        <v>141</v>
      </c>
    </row>
    <row r="309" spans="1:33" x14ac:dyDescent="0.25">
      <c r="A309" s="329" t="s">
        <v>670</v>
      </c>
      <c r="B309" s="335" t="s">
        <v>671</v>
      </c>
      <c r="C309" s="331">
        <v>2070</v>
      </c>
      <c r="D309" s="331">
        <v>0</v>
      </c>
      <c r="E309" s="331">
        <v>709</v>
      </c>
      <c r="F309" s="331">
        <v>1020</v>
      </c>
      <c r="G309" s="331">
        <v>119</v>
      </c>
      <c r="H309" s="331">
        <v>3918</v>
      </c>
      <c r="I309" s="330">
        <v>3799</v>
      </c>
      <c r="J309" s="330">
        <v>3</v>
      </c>
      <c r="K309" s="332">
        <v>79.8</v>
      </c>
      <c r="L309" s="332">
        <v>76.63</v>
      </c>
      <c r="M309" s="332">
        <v>6.95</v>
      </c>
      <c r="N309" s="332">
        <v>83.47</v>
      </c>
      <c r="O309" s="333">
        <v>1601</v>
      </c>
      <c r="P309" s="330">
        <v>83.11</v>
      </c>
      <c r="Q309" s="330">
        <v>71.760000000000005</v>
      </c>
      <c r="R309" s="330">
        <v>49.42</v>
      </c>
      <c r="S309" s="330">
        <v>130.52000000000001</v>
      </c>
      <c r="T309" s="330">
        <v>1450</v>
      </c>
      <c r="U309" s="330">
        <v>97.61</v>
      </c>
      <c r="V309" s="330">
        <v>341</v>
      </c>
      <c r="W309" s="330">
        <v>159.53</v>
      </c>
      <c r="X309" s="330">
        <v>20</v>
      </c>
      <c r="Y309" s="330">
        <v>179</v>
      </c>
      <c r="Z309" s="330">
        <v>1</v>
      </c>
      <c r="AA309" s="330">
        <v>13</v>
      </c>
      <c r="AB309" s="330">
        <v>12</v>
      </c>
      <c r="AC309" s="330">
        <v>2</v>
      </c>
      <c r="AD309" s="334">
        <v>1978</v>
      </c>
      <c r="AE309" s="334">
        <v>26</v>
      </c>
      <c r="AF309" s="334">
        <v>15</v>
      </c>
      <c r="AG309" s="334">
        <v>41</v>
      </c>
    </row>
    <row r="310" spans="1:33" x14ac:dyDescent="0.25">
      <c r="A310" s="329" t="s">
        <v>672</v>
      </c>
      <c r="B310" s="335" t="s">
        <v>673</v>
      </c>
      <c r="C310" s="331">
        <v>21672</v>
      </c>
      <c r="D310" s="331">
        <v>29</v>
      </c>
      <c r="E310" s="331">
        <v>686</v>
      </c>
      <c r="F310" s="331">
        <v>3071</v>
      </c>
      <c r="G310" s="331">
        <v>1522</v>
      </c>
      <c r="H310" s="331">
        <v>26980</v>
      </c>
      <c r="I310" s="330">
        <v>25458</v>
      </c>
      <c r="J310" s="330">
        <v>8</v>
      </c>
      <c r="K310" s="332">
        <v>99.91</v>
      </c>
      <c r="L310" s="332">
        <v>98.86</v>
      </c>
      <c r="M310" s="332">
        <v>3.72</v>
      </c>
      <c r="N310" s="332">
        <v>101.99</v>
      </c>
      <c r="O310" s="333">
        <v>18864</v>
      </c>
      <c r="P310" s="330">
        <v>94.07</v>
      </c>
      <c r="Q310" s="330">
        <v>91.36</v>
      </c>
      <c r="R310" s="330">
        <v>22.95</v>
      </c>
      <c r="S310" s="330">
        <v>116.15</v>
      </c>
      <c r="T310" s="330">
        <v>3372</v>
      </c>
      <c r="U310" s="330">
        <v>126.91</v>
      </c>
      <c r="V310" s="330">
        <v>2318</v>
      </c>
      <c r="W310" s="330">
        <v>120.48</v>
      </c>
      <c r="X310" s="330">
        <v>40</v>
      </c>
      <c r="Y310" s="330">
        <v>206</v>
      </c>
      <c r="Z310" s="330">
        <v>28</v>
      </c>
      <c r="AA310" s="330">
        <v>86</v>
      </c>
      <c r="AB310" s="330">
        <v>141</v>
      </c>
      <c r="AC310" s="330">
        <v>32</v>
      </c>
      <c r="AD310" s="334">
        <v>21200</v>
      </c>
      <c r="AE310" s="334">
        <v>102</v>
      </c>
      <c r="AF310" s="334">
        <v>117</v>
      </c>
      <c r="AG310" s="334">
        <v>219</v>
      </c>
    </row>
    <row r="311" spans="1:33" x14ac:dyDescent="0.25">
      <c r="A311" s="329" t="s">
        <v>674</v>
      </c>
      <c r="B311" s="335" t="s">
        <v>675</v>
      </c>
      <c r="C311" s="331">
        <v>2251</v>
      </c>
      <c r="D311" s="331">
        <v>6</v>
      </c>
      <c r="E311" s="331">
        <v>222</v>
      </c>
      <c r="F311" s="331">
        <v>228</v>
      </c>
      <c r="G311" s="331">
        <v>396</v>
      </c>
      <c r="H311" s="331">
        <v>3103</v>
      </c>
      <c r="I311" s="330">
        <v>2707</v>
      </c>
      <c r="J311" s="330">
        <v>0</v>
      </c>
      <c r="K311" s="332">
        <v>113.87</v>
      </c>
      <c r="L311" s="332">
        <v>110.61</v>
      </c>
      <c r="M311" s="332">
        <v>7.58</v>
      </c>
      <c r="N311" s="332">
        <v>120.87</v>
      </c>
      <c r="O311" s="333">
        <v>1750</v>
      </c>
      <c r="P311" s="330">
        <v>100.3</v>
      </c>
      <c r="Q311" s="330">
        <v>93.15</v>
      </c>
      <c r="R311" s="330">
        <v>38.700000000000003</v>
      </c>
      <c r="S311" s="330">
        <v>134.47999999999999</v>
      </c>
      <c r="T311" s="330">
        <v>420</v>
      </c>
      <c r="U311" s="330">
        <v>165.08</v>
      </c>
      <c r="V311" s="330">
        <v>347</v>
      </c>
      <c r="W311" s="330">
        <v>0</v>
      </c>
      <c r="X311" s="330">
        <v>0</v>
      </c>
      <c r="Y311" s="330">
        <v>49</v>
      </c>
      <c r="Z311" s="330">
        <v>0</v>
      </c>
      <c r="AA311" s="330">
        <v>5</v>
      </c>
      <c r="AB311" s="330">
        <v>45</v>
      </c>
      <c r="AC311" s="330">
        <v>11</v>
      </c>
      <c r="AD311" s="334">
        <v>2116</v>
      </c>
      <c r="AE311" s="334">
        <v>8</v>
      </c>
      <c r="AF311" s="334">
        <v>13</v>
      </c>
      <c r="AG311" s="334">
        <v>21</v>
      </c>
    </row>
    <row r="312" spans="1:33" x14ac:dyDescent="0.25">
      <c r="A312" s="329" t="s">
        <v>676</v>
      </c>
      <c r="B312" s="335" t="s">
        <v>677</v>
      </c>
      <c r="C312" s="331">
        <v>6715</v>
      </c>
      <c r="D312" s="331">
        <v>16</v>
      </c>
      <c r="E312" s="331">
        <v>157</v>
      </c>
      <c r="F312" s="331">
        <v>897</v>
      </c>
      <c r="G312" s="331">
        <v>237</v>
      </c>
      <c r="H312" s="331">
        <v>8022</v>
      </c>
      <c r="I312" s="330">
        <v>7785</v>
      </c>
      <c r="J312" s="330">
        <v>39</v>
      </c>
      <c r="K312" s="332">
        <v>121.78</v>
      </c>
      <c r="L312" s="332">
        <v>123.59</v>
      </c>
      <c r="M312" s="332">
        <v>8.2899999999999991</v>
      </c>
      <c r="N312" s="332">
        <v>125.41</v>
      </c>
      <c r="O312" s="333">
        <v>6386</v>
      </c>
      <c r="P312" s="330">
        <v>109.16</v>
      </c>
      <c r="Q312" s="330">
        <v>108.39</v>
      </c>
      <c r="R312" s="330">
        <v>24.85</v>
      </c>
      <c r="S312" s="330">
        <v>132.84</v>
      </c>
      <c r="T312" s="330">
        <v>1009</v>
      </c>
      <c r="U312" s="330">
        <v>174.78</v>
      </c>
      <c r="V312" s="330">
        <v>294</v>
      </c>
      <c r="W312" s="330">
        <v>146.74</v>
      </c>
      <c r="X312" s="330">
        <v>1</v>
      </c>
      <c r="Y312" s="330">
        <v>49</v>
      </c>
      <c r="Z312" s="330">
        <v>2</v>
      </c>
      <c r="AA312" s="330">
        <v>3</v>
      </c>
      <c r="AB312" s="330">
        <v>9</v>
      </c>
      <c r="AC312" s="330">
        <v>9</v>
      </c>
      <c r="AD312" s="334">
        <v>6712</v>
      </c>
      <c r="AE312" s="334">
        <v>55</v>
      </c>
      <c r="AF312" s="334">
        <v>2</v>
      </c>
      <c r="AG312" s="334">
        <v>57</v>
      </c>
    </row>
    <row r="313" spans="1:33" x14ac:dyDescent="0.25">
      <c r="A313" s="329" t="s">
        <v>678</v>
      </c>
      <c r="B313" s="335" t="s">
        <v>679</v>
      </c>
      <c r="C313" s="331">
        <v>17910</v>
      </c>
      <c r="D313" s="331">
        <v>25</v>
      </c>
      <c r="E313" s="331">
        <v>1185</v>
      </c>
      <c r="F313" s="331">
        <v>3703</v>
      </c>
      <c r="G313" s="331">
        <v>471</v>
      </c>
      <c r="H313" s="331">
        <v>23294</v>
      </c>
      <c r="I313" s="330">
        <v>22823</v>
      </c>
      <c r="J313" s="330">
        <v>0</v>
      </c>
      <c r="K313" s="332">
        <v>86.47</v>
      </c>
      <c r="L313" s="332">
        <v>83.84</v>
      </c>
      <c r="M313" s="332">
        <v>6.7</v>
      </c>
      <c r="N313" s="332">
        <v>88.66</v>
      </c>
      <c r="O313" s="333">
        <v>14099</v>
      </c>
      <c r="P313" s="330">
        <v>84.37</v>
      </c>
      <c r="Q313" s="330">
        <v>77.59</v>
      </c>
      <c r="R313" s="330">
        <v>25.81</v>
      </c>
      <c r="S313" s="330">
        <v>108.49</v>
      </c>
      <c r="T313" s="330">
        <v>3716</v>
      </c>
      <c r="U313" s="330">
        <v>108.26</v>
      </c>
      <c r="V313" s="330">
        <v>2037</v>
      </c>
      <c r="W313" s="330">
        <v>158.32</v>
      </c>
      <c r="X313" s="330">
        <v>200</v>
      </c>
      <c r="Y313" s="330">
        <v>372</v>
      </c>
      <c r="Z313" s="330">
        <v>80</v>
      </c>
      <c r="AA313" s="330">
        <v>83</v>
      </c>
      <c r="AB313" s="330">
        <v>2</v>
      </c>
      <c r="AC313" s="330">
        <v>4</v>
      </c>
      <c r="AD313" s="334">
        <v>15928</v>
      </c>
      <c r="AE313" s="334">
        <v>70</v>
      </c>
      <c r="AF313" s="334">
        <v>290</v>
      </c>
      <c r="AG313" s="334">
        <v>360</v>
      </c>
    </row>
    <row r="314" spans="1:33" x14ac:dyDescent="0.25">
      <c r="A314" s="329" t="s">
        <v>680</v>
      </c>
      <c r="B314" s="335" t="s">
        <v>681</v>
      </c>
      <c r="C314" s="331">
        <v>866</v>
      </c>
      <c r="D314" s="331">
        <v>0</v>
      </c>
      <c r="E314" s="331">
        <v>186</v>
      </c>
      <c r="F314" s="331">
        <v>329</v>
      </c>
      <c r="G314" s="331">
        <v>243</v>
      </c>
      <c r="H314" s="331">
        <v>1624</v>
      </c>
      <c r="I314" s="330">
        <v>1381</v>
      </c>
      <c r="J314" s="330">
        <v>2</v>
      </c>
      <c r="K314" s="332">
        <v>125.2</v>
      </c>
      <c r="L314" s="332">
        <v>120.92</v>
      </c>
      <c r="M314" s="332">
        <v>9.6999999999999993</v>
      </c>
      <c r="N314" s="332">
        <v>133.07</v>
      </c>
      <c r="O314" s="333">
        <v>690</v>
      </c>
      <c r="P314" s="330">
        <v>125.26</v>
      </c>
      <c r="Q314" s="330">
        <v>96.58</v>
      </c>
      <c r="R314" s="330">
        <v>41.63</v>
      </c>
      <c r="S314" s="330">
        <v>166.47</v>
      </c>
      <c r="T314" s="330">
        <v>295</v>
      </c>
      <c r="U314" s="330">
        <v>205.89</v>
      </c>
      <c r="V314" s="330">
        <v>36</v>
      </c>
      <c r="W314" s="330">
        <v>142.01</v>
      </c>
      <c r="X314" s="330">
        <v>4</v>
      </c>
      <c r="Y314" s="330">
        <v>0</v>
      </c>
      <c r="Z314" s="330">
        <v>1</v>
      </c>
      <c r="AA314" s="330">
        <v>7</v>
      </c>
      <c r="AB314" s="330">
        <v>21</v>
      </c>
      <c r="AC314" s="330">
        <v>8</v>
      </c>
      <c r="AD314" s="334">
        <v>750</v>
      </c>
      <c r="AE314" s="334">
        <v>2</v>
      </c>
      <c r="AF314" s="334">
        <v>8</v>
      </c>
      <c r="AG314" s="334">
        <v>10</v>
      </c>
    </row>
    <row r="315" spans="1:33" x14ac:dyDescent="0.25">
      <c r="A315" s="329" t="s">
        <v>682</v>
      </c>
      <c r="B315" s="335" t="s">
        <v>683</v>
      </c>
      <c r="C315" s="331">
        <v>1656</v>
      </c>
      <c r="D315" s="331">
        <v>0</v>
      </c>
      <c r="E315" s="331">
        <v>171</v>
      </c>
      <c r="F315" s="331">
        <v>180</v>
      </c>
      <c r="G315" s="331">
        <v>780</v>
      </c>
      <c r="H315" s="331">
        <v>2787</v>
      </c>
      <c r="I315" s="330">
        <v>2007</v>
      </c>
      <c r="J315" s="330">
        <v>6</v>
      </c>
      <c r="K315" s="332">
        <v>129.33000000000001</v>
      </c>
      <c r="L315" s="332">
        <v>126.82</v>
      </c>
      <c r="M315" s="332">
        <v>6.78</v>
      </c>
      <c r="N315" s="332">
        <v>135.01</v>
      </c>
      <c r="O315" s="333">
        <v>1486</v>
      </c>
      <c r="P315" s="330">
        <v>105.01</v>
      </c>
      <c r="Q315" s="330">
        <v>103.94</v>
      </c>
      <c r="R315" s="330">
        <v>42.75</v>
      </c>
      <c r="S315" s="330">
        <v>145.94</v>
      </c>
      <c r="T315" s="330">
        <v>235</v>
      </c>
      <c r="U315" s="330">
        <v>159.75</v>
      </c>
      <c r="V315" s="330">
        <v>128</v>
      </c>
      <c r="W315" s="330">
        <v>0</v>
      </c>
      <c r="X315" s="330">
        <v>0</v>
      </c>
      <c r="Y315" s="330">
        <v>0</v>
      </c>
      <c r="Z315" s="330">
        <v>0</v>
      </c>
      <c r="AA315" s="330">
        <v>4</v>
      </c>
      <c r="AB315" s="330">
        <v>148</v>
      </c>
      <c r="AC315" s="330">
        <v>14</v>
      </c>
      <c r="AD315" s="334">
        <v>1636</v>
      </c>
      <c r="AE315" s="334">
        <v>7</v>
      </c>
      <c r="AF315" s="334">
        <v>4</v>
      </c>
      <c r="AG315" s="334">
        <v>11</v>
      </c>
    </row>
    <row r="316" spans="1:33" x14ac:dyDescent="0.25">
      <c r="A316" s="329" t="s">
        <v>684</v>
      </c>
      <c r="B316" s="335" t="s">
        <v>685</v>
      </c>
      <c r="C316" s="331">
        <v>4382</v>
      </c>
      <c r="D316" s="331">
        <v>2</v>
      </c>
      <c r="E316" s="331">
        <v>552</v>
      </c>
      <c r="F316" s="331">
        <v>1503</v>
      </c>
      <c r="G316" s="331">
        <v>289</v>
      </c>
      <c r="H316" s="331">
        <v>6728</v>
      </c>
      <c r="I316" s="330">
        <v>6439</v>
      </c>
      <c r="J316" s="330">
        <v>0</v>
      </c>
      <c r="K316" s="332">
        <v>88.81</v>
      </c>
      <c r="L316" s="332">
        <v>78.069999999999993</v>
      </c>
      <c r="M316" s="332">
        <v>6.26</v>
      </c>
      <c r="N316" s="332">
        <v>94.28</v>
      </c>
      <c r="O316" s="333">
        <v>3862</v>
      </c>
      <c r="P316" s="330">
        <v>99.95</v>
      </c>
      <c r="Q316" s="330">
        <v>87.35</v>
      </c>
      <c r="R316" s="330">
        <v>50.9</v>
      </c>
      <c r="S316" s="330">
        <v>148.05000000000001</v>
      </c>
      <c r="T316" s="330">
        <v>1852</v>
      </c>
      <c r="U316" s="330">
        <v>106.31</v>
      </c>
      <c r="V316" s="330">
        <v>364</v>
      </c>
      <c r="W316" s="330">
        <v>169.39</v>
      </c>
      <c r="X316" s="330">
        <v>36</v>
      </c>
      <c r="Y316" s="330">
        <v>0</v>
      </c>
      <c r="Z316" s="330">
        <v>2</v>
      </c>
      <c r="AA316" s="330">
        <v>8</v>
      </c>
      <c r="AB316" s="330">
        <v>5</v>
      </c>
      <c r="AC316" s="330">
        <v>7</v>
      </c>
      <c r="AD316" s="334">
        <v>4382</v>
      </c>
      <c r="AE316" s="334">
        <v>32</v>
      </c>
      <c r="AF316" s="334">
        <v>25</v>
      </c>
      <c r="AG316" s="334">
        <v>57</v>
      </c>
    </row>
    <row r="317" spans="1:33" x14ac:dyDescent="0.25">
      <c r="A317" s="329" t="s">
        <v>686</v>
      </c>
      <c r="B317" s="335" t="s">
        <v>687</v>
      </c>
      <c r="C317" s="331">
        <v>6170</v>
      </c>
      <c r="D317" s="331">
        <v>57</v>
      </c>
      <c r="E317" s="331">
        <v>463</v>
      </c>
      <c r="F317" s="331">
        <v>961</v>
      </c>
      <c r="G317" s="331">
        <v>483</v>
      </c>
      <c r="H317" s="331">
        <v>8134</v>
      </c>
      <c r="I317" s="330">
        <v>7651</v>
      </c>
      <c r="J317" s="330">
        <v>0</v>
      </c>
      <c r="K317" s="332">
        <v>87.13</v>
      </c>
      <c r="L317" s="332">
        <v>87.19</v>
      </c>
      <c r="M317" s="332">
        <v>5.67</v>
      </c>
      <c r="N317" s="332">
        <v>92.38</v>
      </c>
      <c r="O317" s="333">
        <v>5245</v>
      </c>
      <c r="P317" s="330">
        <v>83.6</v>
      </c>
      <c r="Q317" s="330">
        <v>78.98</v>
      </c>
      <c r="R317" s="330">
        <v>40.18</v>
      </c>
      <c r="S317" s="330">
        <v>122.55</v>
      </c>
      <c r="T317" s="330">
        <v>1141</v>
      </c>
      <c r="U317" s="330">
        <v>109.18</v>
      </c>
      <c r="V317" s="330">
        <v>832</v>
      </c>
      <c r="W317" s="330">
        <v>170.54</v>
      </c>
      <c r="X317" s="330">
        <v>160</v>
      </c>
      <c r="Y317" s="330">
        <v>0</v>
      </c>
      <c r="Z317" s="330">
        <v>14</v>
      </c>
      <c r="AA317" s="330">
        <v>0</v>
      </c>
      <c r="AB317" s="330">
        <v>21</v>
      </c>
      <c r="AC317" s="330">
        <v>15</v>
      </c>
      <c r="AD317" s="334">
        <v>6086</v>
      </c>
      <c r="AE317" s="334">
        <v>36</v>
      </c>
      <c r="AF317" s="334">
        <v>14</v>
      </c>
      <c r="AG317" s="334">
        <v>50</v>
      </c>
    </row>
    <row r="318" spans="1:33" x14ac:dyDescent="0.25">
      <c r="A318" s="329" t="s">
        <v>688</v>
      </c>
      <c r="B318" s="335" t="s">
        <v>689</v>
      </c>
      <c r="C318" s="331">
        <v>4040</v>
      </c>
      <c r="D318" s="331">
        <v>35</v>
      </c>
      <c r="E318" s="331">
        <v>246</v>
      </c>
      <c r="F318" s="331">
        <v>490</v>
      </c>
      <c r="G318" s="331">
        <v>141</v>
      </c>
      <c r="H318" s="331">
        <v>4952</v>
      </c>
      <c r="I318" s="330">
        <v>4811</v>
      </c>
      <c r="J318" s="330">
        <v>21</v>
      </c>
      <c r="K318" s="332">
        <v>101.4</v>
      </c>
      <c r="L318" s="332">
        <v>100.14</v>
      </c>
      <c r="M318" s="332">
        <v>6.77</v>
      </c>
      <c r="N318" s="332">
        <v>105.6</v>
      </c>
      <c r="O318" s="333">
        <v>3750</v>
      </c>
      <c r="P318" s="330">
        <v>90.46</v>
      </c>
      <c r="Q318" s="330">
        <v>86.05</v>
      </c>
      <c r="R318" s="330">
        <v>32.89</v>
      </c>
      <c r="S318" s="330">
        <v>121.9</v>
      </c>
      <c r="T318" s="330">
        <v>523</v>
      </c>
      <c r="U318" s="330">
        <v>139.41999999999999</v>
      </c>
      <c r="V318" s="330">
        <v>159</v>
      </c>
      <c r="W318" s="330">
        <v>0</v>
      </c>
      <c r="X318" s="330">
        <v>0</v>
      </c>
      <c r="Y318" s="330">
        <v>0</v>
      </c>
      <c r="Z318" s="330">
        <v>3</v>
      </c>
      <c r="AA318" s="330">
        <v>25</v>
      </c>
      <c r="AB318" s="330">
        <v>14</v>
      </c>
      <c r="AC318" s="330">
        <v>3</v>
      </c>
      <c r="AD318" s="334">
        <v>4011</v>
      </c>
      <c r="AE318" s="334">
        <v>8</v>
      </c>
      <c r="AF318" s="334">
        <v>5</v>
      </c>
      <c r="AG318" s="334">
        <v>13</v>
      </c>
    </row>
    <row r="319" spans="1:33" x14ac:dyDescent="0.25">
      <c r="A319" s="329" t="s">
        <v>690</v>
      </c>
      <c r="B319" s="335" t="s">
        <v>691</v>
      </c>
      <c r="C319" s="331">
        <v>7491</v>
      </c>
      <c r="D319" s="331">
        <v>7</v>
      </c>
      <c r="E319" s="331">
        <v>95</v>
      </c>
      <c r="F319" s="331">
        <v>854</v>
      </c>
      <c r="G319" s="331">
        <v>434</v>
      </c>
      <c r="H319" s="331">
        <v>8881</v>
      </c>
      <c r="I319" s="330">
        <v>8447</v>
      </c>
      <c r="J319" s="330">
        <v>9</v>
      </c>
      <c r="K319" s="332">
        <v>94.55</v>
      </c>
      <c r="L319" s="332">
        <v>91.66</v>
      </c>
      <c r="M319" s="332">
        <v>3.85</v>
      </c>
      <c r="N319" s="332">
        <v>96.52</v>
      </c>
      <c r="O319" s="333">
        <v>6452</v>
      </c>
      <c r="P319" s="330">
        <v>96.6</v>
      </c>
      <c r="Q319" s="330">
        <v>86.74</v>
      </c>
      <c r="R319" s="330">
        <v>35.69</v>
      </c>
      <c r="S319" s="330">
        <v>132.05000000000001</v>
      </c>
      <c r="T319" s="330">
        <v>920</v>
      </c>
      <c r="U319" s="330">
        <v>114.83</v>
      </c>
      <c r="V319" s="330">
        <v>1029</v>
      </c>
      <c r="W319" s="330">
        <v>199</v>
      </c>
      <c r="X319" s="330">
        <v>29</v>
      </c>
      <c r="Y319" s="330">
        <v>0</v>
      </c>
      <c r="Z319" s="330">
        <v>7</v>
      </c>
      <c r="AA319" s="330">
        <v>1</v>
      </c>
      <c r="AB319" s="330">
        <v>74</v>
      </c>
      <c r="AC319" s="330">
        <v>5</v>
      </c>
      <c r="AD319" s="334">
        <v>7491</v>
      </c>
      <c r="AE319" s="334">
        <v>42</v>
      </c>
      <c r="AF319" s="334">
        <v>16</v>
      </c>
      <c r="AG319" s="334">
        <v>58</v>
      </c>
    </row>
    <row r="320" spans="1:33" x14ac:dyDescent="0.25">
      <c r="A320" s="330" t="s">
        <v>692</v>
      </c>
      <c r="B320" s="331" t="s">
        <v>693</v>
      </c>
      <c r="C320" s="335">
        <v>3252</v>
      </c>
      <c r="D320" s="335">
        <v>0</v>
      </c>
      <c r="E320" s="335">
        <v>235</v>
      </c>
      <c r="F320" s="335">
        <v>375</v>
      </c>
      <c r="G320" s="335">
        <v>177</v>
      </c>
      <c r="H320" s="335">
        <v>4039</v>
      </c>
      <c r="I320" s="329">
        <v>3862</v>
      </c>
      <c r="J320" s="329">
        <v>0</v>
      </c>
      <c r="K320" s="338">
        <v>85.74</v>
      </c>
      <c r="L320" s="338">
        <v>85.79</v>
      </c>
      <c r="M320" s="338">
        <v>4.21</v>
      </c>
      <c r="N320" s="338">
        <v>88.11</v>
      </c>
      <c r="O320" s="339">
        <v>2990</v>
      </c>
      <c r="P320" s="329">
        <v>97.61</v>
      </c>
      <c r="Q320" s="329">
        <v>82.31</v>
      </c>
      <c r="R320" s="329">
        <v>34.83</v>
      </c>
      <c r="S320" s="329">
        <v>130.91999999999999</v>
      </c>
      <c r="T320" s="329">
        <v>574</v>
      </c>
      <c r="U320" s="329">
        <v>103.01</v>
      </c>
      <c r="V320" s="329">
        <v>213</v>
      </c>
      <c r="W320" s="329">
        <v>0</v>
      </c>
      <c r="X320" s="329">
        <v>0</v>
      </c>
      <c r="Y320" s="329">
        <v>0</v>
      </c>
      <c r="Z320" s="329">
        <v>1</v>
      </c>
      <c r="AA320" s="329">
        <v>1</v>
      </c>
      <c r="AB320" s="329">
        <v>13</v>
      </c>
      <c r="AC320" s="329">
        <v>4</v>
      </c>
      <c r="AD320" s="340">
        <v>3217</v>
      </c>
      <c r="AE320" s="340">
        <v>36</v>
      </c>
      <c r="AF320" s="340">
        <v>123</v>
      </c>
      <c r="AG320" s="340">
        <v>159</v>
      </c>
    </row>
    <row r="321" spans="1:33" x14ac:dyDescent="0.25">
      <c r="A321" s="329" t="s">
        <v>694</v>
      </c>
      <c r="B321" s="335" t="s">
        <v>695</v>
      </c>
      <c r="C321" s="335">
        <v>4438</v>
      </c>
      <c r="D321" s="335">
        <v>0</v>
      </c>
      <c r="E321" s="335">
        <v>2185</v>
      </c>
      <c r="F321" s="335">
        <v>58</v>
      </c>
      <c r="G321" s="335">
        <v>411</v>
      </c>
      <c r="H321" s="335">
        <v>7092</v>
      </c>
      <c r="I321" s="329">
        <v>6681</v>
      </c>
      <c r="J321" s="329">
        <v>0</v>
      </c>
      <c r="K321" s="338">
        <v>88.41</v>
      </c>
      <c r="L321" s="338">
        <v>84.91</v>
      </c>
      <c r="M321" s="338">
        <v>4.3600000000000003</v>
      </c>
      <c r="N321" s="338">
        <v>92.58</v>
      </c>
      <c r="O321" s="339">
        <v>4106</v>
      </c>
      <c r="P321" s="329">
        <v>85</v>
      </c>
      <c r="Q321" s="329">
        <v>78.98</v>
      </c>
      <c r="R321" s="329">
        <v>15.37</v>
      </c>
      <c r="S321" s="329">
        <v>100.34</v>
      </c>
      <c r="T321" s="329">
        <v>2124</v>
      </c>
      <c r="U321" s="329">
        <v>97.32</v>
      </c>
      <c r="V321" s="329">
        <v>297</v>
      </c>
      <c r="W321" s="329">
        <v>168.39</v>
      </c>
      <c r="X321" s="329">
        <v>115</v>
      </c>
      <c r="Y321" s="329">
        <v>0</v>
      </c>
      <c r="Z321" s="329">
        <v>16</v>
      </c>
      <c r="AA321" s="329">
        <v>6</v>
      </c>
      <c r="AB321" s="329">
        <v>29</v>
      </c>
      <c r="AC321" s="329">
        <v>16</v>
      </c>
      <c r="AD321" s="340">
        <v>4438</v>
      </c>
      <c r="AE321" s="340">
        <v>22</v>
      </c>
      <c r="AF321" s="340">
        <v>8</v>
      </c>
      <c r="AG321" s="340">
        <v>30</v>
      </c>
    </row>
    <row r="322" spans="1:33" x14ac:dyDescent="0.25">
      <c r="A322" s="329" t="s">
        <v>696</v>
      </c>
      <c r="B322" s="335" t="s">
        <v>697</v>
      </c>
      <c r="C322" s="335">
        <v>3900</v>
      </c>
      <c r="D322" s="335">
        <v>10</v>
      </c>
      <c r="E322" s="335">
        <v>359</v>
      </c>
      <c r="F322" s="335">
        <v>678</v>
      </c>
      <c r="G322" s="335">
        <v>415</v>
      </c>
      <c r="H322" s="335">
        <v>5362</v>
      </c>
      <c r="I322" s="329">
        <v>4947</v>
      </c>
      <c r="J322" s="329">
        <v>0</v>
      </c>
      <c r="K322" s="338">
        <v>93.17</v>
      </c>
      <c r="L322" s="338">
        <v>92.04</v>
      </c>
      <c r="M322" s="338">
        <v>7.16</v>
      </c>
      <c r="N322" s="338">
        <v>96.61</v>
      </c>
      <c r="O322" s="339">
        <v>2987</v>
      </c>
      <c r="P322" s="329">
        <v>82.55</v>
      </c>
      <c r="Q322" s="329">
        <v>75.459999999999994</v>
      </c>
      <c r="R322" s="329">
        <v>25.92</v>
      </c>
      <c r="S322" s="329">
        <v>107.71</v>
      </c>
      <c r="T322" s="329">
        <v>678</v>
      </c>
      <c r="U322" s="329">
        <v>108.81</v>
      </c>
      <c r="V322" s="329">
        <v>462</v>
      </c>
      <c r="W322" s="329">
        <v>0</v>
      </c>
      <c r="X322" s="329">
        <v>0</v>
      </c>
      <c r="Y322" s="329">
        <v>0</v>
      </c>
      <c r="Z322" s="329">
        <v>2</v>
      </c>
      <c r="AA322" s="329">
        <v>5</v>
      </c>
      <c r="AB322" s="329">
        <v>3</v>
      </c>
      <c r="AC322" s="329">
        <v>5</v>
      </c>
      <c r="AD322" s="340">
        <v>3552</v>
      </c>
      <c r="AE322" s="340">
        <v>3</v>
      </c>
      <c r="AF322" s="340">
        <v>4</v>
      </c>
      <c r="AG322" s="340">
        <v>7</v>
      </c>
    </row>
  </sheetData>
  <pageMargins left="0.7" right="0.7" top="0.75" bottom="0.75" header="0.3" footer="0.3"/>
  <pageSetup paperSize="9" orientation="portrait" r:id="rId1"/>
  <headerFooter>
    <oddFooter>&amp;C&amp;1#&amp;"Calibri"&amp;12&amp;K0078D7OFFICIAL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412A0-2057-4F66-8269-A351D37FB625}">
  <sheetPr codeName="Sheet6">
    <tabColor rgb="FFFFFF00"/>
  </sheetPr>
  <dimension ref="A1:AG322"/>
  <sheetViews>
    <sheetView zoomScale="80" zoomScaleNormal="80" workbookViewId="0">
      <pane ySplit="4" topLeftCell="A195" activePane="bottomLeft" state="frozen"/>
      <selection sqref="A1:XFD1048576"/>
      <selection pane="bottomLeft" sqref="A1:XFD1048576"/>
    </sheetView>
  </sheetViews>
  <sheetFormatPr defaultColWidth="9.1796875" defaultRowHeight="12.5" x14ac:dyDescent="0.25"/>
  <cols>
    <col min="1" max="8" width="9.1796875" style="145"/>
    <col min="9" max="10" width="10.453125" style="145" customWidth="1"/>
    <col min="11" max="11" width="10.453125" style="145" bestFit="1" customWidth="1"/>
    <col min="12" max="16384" width="9.1796875" style="145"/>
  </cols>
  <sheetData>
    <row r="1" spans="1:33" s="144" customFormat="1" ht="13" x14ac:dyDescent="0.3">
      <c r="A1" s="134"/>
      <c r="B1" s="134"/>
      <c r="C1" s="135" t="s">
        <v>38</v>
      </c>
      <c r="D1" s="135" t="s">
        <v>38</v>
      </c>
      <c r="E1" s="135" t="s">
        <v>38</v>
      </c>
      <c r="F1" s="135" t="s">
        <v>38</v>
      </c>
      <c r="G1" s="135" t="s">
        <v>38</v>
      </c>
      <c r="H1" s="135" t="s">
        <v>38</v>
      </c>
      <c r="I1" s="136" t="s">
        <v>39</v>
      </c>
      <c r="J1" s="136" t="s">
        <v>39</v>
      </c>
      <c r="K1" s="137" t="s">
        <v>40</v>
      </c>
      <c r="L1" s="137" t="s">
        <v>40</v>
      </c>
      <c r="M1" s="137" t="s">
        <v>40</v>
      </c>
      <c r="N1" s="138" t="s">
        <v>40</v>
      </c>
      <c r="O1" s="137" t="s">
        <v>40</v>
      </c>
      <c r="P1" s="139" t="s">
        <v>41</v>
      </c>
      <c r="Q1" s="139" t="s">
        <v>41</v>
      </c>
      <c r="R1" s="139" t="s">
        <v>41</v>
      </c>
      <c r="S1" s="139" t="s">
        <v>41</v>
      </c>
      <c r="T1" s="139" t="s">
        <v>41</v>
      </c>
      <c r="U1" s="140" t="s">
        <v>42</v>
      </c>
      <c r="V1" s="140" t="s">
        <v>42</v>
      </c>
      <c r="W1" s="141" t="s">
        <v>43</v>
      </c>
      <c r="X1" s="141" t="s">
        <v>43</v>
      </c>
      <c r="Y1" s="142" t="s">
        <v>44</v>
      </c>
      <c r="Z1" s="142" t="s">
        <v>44</v>
      </c>
      <c r="AA1" s="142" t="s">
        <v>44</v>
      </c>
      <c r="AB1" s="142" t="s">
        <v>44</v>
      </c>
      <c r="AC1" s="142" t="s">
        <v>44</v>
      </c>
      <c r="AD1" s="143" t="s">
        <v>45</v>
      </c>
      <c r="AE1" s="143" t="s">
        <v>45</v>
      </c>
      <c r="AF1" s="143" t="s">
        <v>45</v>
      </c>
      <c r="AG1" s="143" t="s">
        <v>45</v>
      </c>
    </row>
    <row r="2" spans="1:33" x14ac:dyDescent="0.25">
      <c r="B2" s="146">
        <v>1</v>
      </c>
      <c r="C2" s="146">
        <v>2</v>
      </c>
      <c r="D2" s="146">
        <v>3</v>
      </c>
      <c r="E2" s="146">
        <v>4</v>
      </c>
      <c r="F2" s="146">
        <v>5</v>
      </c>
      <c r="G2" s="146">
        <v>6</v>
      </c>
      <c r="H2" s="146">
        <v>7</v>
      </c>
      <c r="I2" s="146">
        <v>8</v>
      </c>
      <c r="J2" s="146">
        <v>9</v>
      </c>
      <c r="K2" s="146">
        <v>10</v>
      </c>
      <c r="L2" s="146">
        <v>11</v>
      </c>
      <c r="M2" s="146">
        <v>12</v>
      </c>
      <c r="N2" s="146">
        <v>13</v>
      </c>
      <c r="O2" s="146">
        <v>14</v>
      </c>
      <c r="P2" s="146">
        <v>15</v>
      </c>
      <c r="Q2" s="146">
        <v>16</v>
      </c>
      <c r="R2" s="146">
        <v>17</v>
      </c>
      <c r="S2" s="146">
        <v>18</v>
      </c>
      <c r="T2" s="146">
        <v>19</v>
      </c>
      <c r="U2" s="146">
        <v>20</v>
      </c>
      <c r="V2" s="146">
        <v>21</v>
      </c>
      <c r="W2" s="146">
        <v>22</v>
      </c>
      <c r="X2" s="146">
        <v>23</v>
      </c>
      <c r="Y2" s="146">
        <v>24</v>
      </c>
      <c r="Z2" s="146">
        <v>25</v>
      </c>
      <c r="AA2" s="146">
        <v>26</v>
      </c>
      <c r="AB2" s="146">
        <v>27</v>
      </c>
      <c r="AC2" s="146">
        <v>28</v>
      </c>
      <c r="AD2" s="146">
        <v>29</v>
      </c>
      <c r="AE2" s="146">
        <v>30</v>
      </c>
      <c r="AF2" s="146">
        <v>31</v>
      </c>
      <c r="AG2" s="146">
        <v>32</v>
      </c>
    </row>
    <row r="3" spans="1:33" ht="87.5" x14ac:dyDescent="0.25">
      <c r="A3" s="145" t="s">
        <v>46</v>
      </c>
      <c r="B3" s="145" t="s">
        <v>47</v>
      </c>
      <c r="C3" s="147" t="s">
        <v>48</v>
      </c>
      <c r="D3" s="147" t="s">
        <v>49</v>
      </c>
      <c r="E3" s="147" t="s">
        <v>50</v>
      </c>
      <c r="F3" s="147" t="s">
        <v>51</v>
      </c>
      <c r="G3" s="147" t="s">
        <v>52</v>
      </c>
      <c r="H3" s="147" t="s">
        <v>53</v>
      </c>
      <c r="I3" s="148" t="s">
        <v>54</v>
      </c>
      <c r="J3" s="148" t="s">
        <v>55</v>
      </c>
      <c r="K3" s="149" t="s">
        <v>56</v>
      </c>
      <c r="L3" s="149" t="s">
        <v>57</v>
      </c>
      <c r="M3" s="149" t="s">
        <v>58</v>
      </c>
      <c r="N3" s="150" t="s">
        <v>59</v>
      </c>
      <c r="O3" s="149" t="s">
        <v>60</v>
      </c>
      <c r="P3" s="151" t="s">
        <v>61</v>
      </c>
      <c r="Q3" s="151" t="s">
        <v>62</v>
      </c>
      <c r="R3" s="151" t="s">
        <v>58</v>
      </c>
      <c r="S3" s="151" t="s">
        <v>63</v>
      </c>
      <c r="T3" s="151" t="s">
        <v>64</v>
      </c>
      <c r="U3" s="152" t="s">
        <v>65</v>
      </c>
      <c r="V3" s="152" t="s">
        <v>66</v>
      </c>
      <c r="W3" s="153" t="s">
        <v>67</v>
      </c>
      <c r="X3" s="153" t="s">
        <v>68</v>
      </c>
      <c r="Y3" s="154" t="s">
        <v>69</v>
      </c>
      <c r="Z3" s="154" t="s">
        <v>70</v>
      </c>
      <c r="AA3" s="154" t="s">
        <v>71</v>
      </c>
      <c r="AB3" s="154" t="s">
        <v>72</v>
      </c>
      <c r="AC3" s="154" t="s">
        <v>73</v>
      </c>
      <c r="AD3" s="155" t="s">
        <v>74</v>
      </c>
      <c r="AE3" s="155" t="s">
        <v>75</v>
      </c>
      <c r="AF3" s="155" t="s">
        <v>76</v>
      </c>
      <c r="AG3" s="155" t="s">
        <v>77</v>
      </c>
    </row>
    <row r="4" spans="1:33" x14ac:dyDescent="0.25">
      <c r="A4" s="329" t="s">
        <v>13</v>
      </c>
      <c r="B4" s="329" t="s">
        <v>13</v>
      </c>
      <c r="C4" s="330">
        <v>2151274</v>
      </c>
      <c r="D4" s="330">
        <v>12576</v>
      </c>
      <c r="E4" s="330">
        <v>139183</v>
      </c>
      <c r="F4" s="330">
        <v>257960</v>
      </c>
      <c r="G4" s="330">
        <v>180608</v>
      </c>
      <c r="H4" s="331">
        <v>2741601</v>
      </c>
      <c r="I4" s="330">
        <v>2560993</v>
      </c>
      <c r="J4" s="330">
        <v>8896</v>
      </c>
      <c r="K4" s="332">
        <v>95.12</v>
      </c>
      <c r="L4" s="332">
        <v>94.54</v>
      </c>
      <c r="M4" s="332">
        <v>6.88</v>
      </c>
      <c r="N4" s="332">
        <v>99.18</v>
      </c>
      <c r="O4" s="333">
        <v>1842615</v>
      </c>
      <c r="P4" s="330">
        <v>92.78</v>
      </c>
      <c r="Q4" s="330">
        <v>86.8</v>
      </c>
      <c r="R4" s="330">
        <v>41.68</v>
      </c>
      <c r="S4" s="330">
        <v>131.68</v>
      </c>
      <c r="T4" s="330">
        <v>336779</v>
      </c>
      <c r="U4" s="330">
        <v>128.05000000000001</v>
      </c>
      <c r="V4" s="330">
        <v>231212</v>
      </c>
      <c r="W4" s="330">
        <v>169.93</v>
      </c>
      <c r="X4" s="330">
        <v>13668</v>
      </c>
      <c r="Y4" s="330">
        <v>6074</v>
      </c>
      <c r="Z4" s="330">
        <v>4977</v>
      </c>
      <c r="AA4" s="330">
        <v>3110</v>
      </c>
      <c r="AB4" s="330">
        <v>11306</v>
      </c>
      <c r="AC4" s="330">
        <v>4063</v>
      </c>
      <c r="AD4" s="334">
        <v>2093758</v>
      </c>
      <c r="AE4" s="330">
        <v>12562</v>
      </c>
      <c r="AF4" s="330">
        <v>12987</v>
      </c>
      <c r="AG4" s="330">
        <v>25549</v>
      </c>
    </row>
    <row r="5" spans="1:33" x14ac:dyDescent="0.25">
      <c r="A5" s="335" t="s">
        <v>78</v>
      </c>
      <c r="B5" s="335" t="s">
        <v>78</v>
      </c>
      <c r="C5" s="331">
        <v>112630</v>
      </c>
      <c r="D5" s="331">
        <v>364</v>
      </c>
      <c r="E5" s="331">
        <v>8543</v>
      </c>
      <c r="F5" s="331">
        <v>22688</v>
      </c>
      <c r="G5" s="331">
        <v>13156</v>
      </c>
      <c r="H5" s="331">
        <v>157381</v>
      </c>
      <c r="I5" s="330">
        <v>144225</v>
      </c>
      <c r="J5" s="330">
        <v>92</v>
      </c>
      <c r="K5" s="332">
        <v>87.4</v>
      </c>
      <c r="L5" s="332">
        <v>86.52</v>
      </c>
      <c r="M5" s="332">
        <v>5.03</v>
      </c>
      <c r="N5" s="332">
        <v>90.59</v>
      </c>
      <c r="O5" s="333">
        <v>95846</v>
      </c>
      <c r="P5" s="330">
        <v>89.51</v>
      </c>
      <c r="Q5" s="330">
        <v>82.25</v>
      </c>
      <c r="R5" s="330">
        <v>38.18</v>
      </c>
      <c r="S5" s="330">
        <v>125.56</v>
      </c>
      <c r="T5" s="330">
        <v>28062</v>
      </c>
      <c r="U5" s="330">
        <v>104.19</v>
      </c>
      <c r="V5" s="330">
        <v>13176</v>
      </c>
      <c r="W5" s="330">
        <v>161.72</v>
      </c>
      <c r="X5" s="330">
        <v>707</v>
      </c>
      <c r="Y5" s="330">
        <v>949</v>
      </c>
      <c r="Z5" s="330">
        <v>185</v>
      </c>
      <c r="AA5" s="330">
        <v>224</v>
      </c>
      <c r="AB5" s="330">
        <v>977</v>
      </c>
      <c r="AC5" s="330">
        <v>292</v>
      </c>
      <c r="AD5" s="334">
        <v>110969</v>
      </c>
      <c r="AE5" s="330">
        <v>545</v>
      </c>
      <c r="AF5" s="330">
        <v>474</v>
      </c>
      <c r="AG5" s="330">
        <v>1019</v>
      </c>
    </row>
    <row r="6" spans="1:33" x14ac:dyDescent="0.25">
      <c r="A6" s="335" t="s">
        <v>79</v>
      </c>
      <c r="B6" s="335" t="s">
        <v>79</v>
      </c>
      <c r="C6" s="331">
        <v>216625</v>
      </c>
      <c r="D6" s="331">
        <v>1886</v>
      </c>
      <c r="E6" s="331">
        <v>12053</v>
      </c>
      <c r="F6" s="331">
        <v>28069</v>
      </c>
      <c r="G6" s="331">
        <v>19467</v>
      </c>
      <c r="H6" s="331">
        <v>278100</v>
      </c>
      <c r="I6" s="330">
        <v>258633</v>
      </c>
      <c r="J6" s="330">
        <v>1359</v>
      </c>
      <c r="K6" s="332">
        <v>98.99</v>
      </c>
      <c r="L6" s="332">
        <v>98.96</v>
      </c>
      <c r="M6" s="332">
        <v>6.22</v>
      </c>
      <c r="N6" s="332">
        <v>102.07</v>
      </c>
      <c r="O6" s="333">
        <v>184239</v>
      </c>
      <c r="P6" s="330">
        <v>93.46</v>
      </c>
      <c r="Q6" s="330">
        <v>88.01</v>
      </c>
      <c r="R6" s="330">
        <v>38.26</v>
      </c>
      <c r="S6" s="330">
        <v>129.24</v>
      </c>
      <c r="T6" s="330">
        <v>35003</v>
      </c>
      <c r="U6" s="330">
        <v>132.82</v>
      </c>
      <c r="V6" s="330">
        <v>27013</v>
      </c>
      <c r="W6" s="330">
        <v>158.69999999999999</v>
      </c>
      <c r="X6" s="330">
        <v>456</v>
      </c>
      <c r="Y6" s="330">
        <v>606</v>
      </c>
      <c r="Z6" s="330">
        <v>320</v>
      </c>
      <c r="AA6" s="330">
        <v>370</v>
      </c>
      <c r="AB6" s="330">
        <v>1517</v>
      </c>
      <c r="AC6" s="330">
        <v>442</v>
      </c>
      <c r="AD6" s="334">
        <v>214432</v>
      </c>
      <c r="AE6" s="330">
        <v>987</v>
      </c>
      <c r="AF6" s="330">
        <v>1030</v>
      </c>
      <c r="AG6" s="330">
        <v>2017</v>
      </c>
    </row>
    <row r="7" spans="1:33" x14ac:dyDescent="0.25">
      <c r="A7" s="335" t="s">
        <v>80</v>
      </c>
      <c r="B7" s="335" t="s">
        <v>80</v>
      </c>
      <c r="C7" s="331">
        <v>353364</v>
      </c>
      <c r="D7" s="331">
        <v>6870</v>
      </c>
      <c r="E7" s="331">
        <v>25442</v>
      </c>
      <c r="F7" s="331">
        <v>27592</v>
      </c>
      <c r="G7" s="331">
        <v>46693</v>
      </c>
      <c r="H7" s="331">
        <v>459961</v>
      </c>
      <c r="I7" s="330">
        <v>413268</v>
      </c>
      <c r="J7" s="330">
        <v>3466</v>
      </c>
      <c r="K7" s="332">
        <v>121.74</v>
      </c>
      <c r="L7" s="332">
        <v>123.77</v>
      </c>
      <c r="M7" s="332">
        <v>12.27</v>
      </c>
      <c r="N7" s="332">
        <v>130.74</v>
      </c>
      <c r="O7" s="333">
        <v>294197</v>
      </c>
      <c r="P7" s="330">
        <v>112.48</v>
      </c>
      <c r="Q7" s="330">
        <v>107.6</v>
      </c>
      <c r="R7" s="330">
        <v>54.68</v>
      </c>
      <c r="S7" s="330">
        <v>158.19</v>
      </c>
      <c r="T7" s="330">
        <v>42738</v>
      </c>
      <c r="U7" s="330">
        <v>188.35</v>
      </c>
      <c r="V7" s="330">
        <v>31822</v>
      </c>
      <c r="W7" s="330">
        <v>207.27</v>
      </c>
      <c r="X7" s="330">
        <v>1283</v>
      </c>
      <c r="Y7" s="330">
        <v>196</v>
      </c>
      <c r="Z7" s="330">
        <v>266</v>
      </c>
      <c r="AA7" s="330">
        <v>412</v>
      </c>
      <c r="AB7" s="330">
        <v>2137</v>
      </c>
      <c r="AC7" s="330">
        <v>1256</v>
      </c>
      <c r="AD7" s="334">
        <v>331975</v>
      </c>
      <c r="AE7" s="330">
        <v>2108</v>
      </c>
      <c r="AF7" s="330">
        <v>2653</v>
      </c>
      <c r="AG7" s="330">
        <v>4761</v>
      </c>
    </row>
    <row r="8" spans="1:33" x14ac:dyDescent="0.25">
      <c r="A8" s="335" t="s">
        <v>81</v>
      </c>
      <c r="B8" s="335" t="s">
        <v>81</v>
      </c>
      <c r="C8" s="331">
        <v>158196</v>
      </c>
      <c r="D8" s="331">
        <v>446</v>
      </c>
      <c r="E8" s="331">
        <v>8422</v>
      </c>
      <c r="F8" s="331">
        <v>13796</v>
      </c>
      <c r="G8" s="331">
        <v>3188</v>
      </c>
      <c r="H8" s="331">
        <v>184048</v>
      </c>
      <c r="I8" s="330">
        <v>180860</v>
      </c>
      <c r="J8" s="330">
        <v>76</v>
      </c>
      <c r="K8" s="332">
        <v>77.900000000000006</v>
      </c>
      <c r="L8" s="332">
        <v>77</v>
      </c>
      <c r="M8" s="332">
        <v>6.74</v>
      </c>
      <c r="N8" s="332">
        <v>80.069999999999993</v>
      </c>
      <c r="O8" s="333">
        <v>141098</v>
      </c>
      <c r="P8" s="330">
        <v>85.25</v>
      </c>
      <c r="Q8" s="330">
        <v>76.03</v>
      </c>
      <c r="R8" s="330">
        <v>45.83</v>
      </c>
      <c r="S8" s="330">
        <v>126.84</v>
      </c>
      <c r="T8" s="330">
        <v>18551</v>
      </c>
      <c r="U8" s="330">
        <v>95.74</v>
      </c>
      <c r="V8" s="330">
        <v>14364</v>
      </c>
      <c r="W8" s="330">
        <v>159.66999999999999</v>
      </c>
      <c r="X8" s="330">
        <v>2158</v>
      </c>
      <c r="Y8" s="330">
        <v>1293</v>
      </c>
      <c r="Z8" s="330">
        <v>635</v>
      </c>
      <c r="AA8" s="330">
        <v>87</v>
      </c>
      <c r="AB8" s="330">
        <v>169</v>
      </c>
      <c r="AC8" s="330">
        <v>73</v>
      </c>
      <c r="AD8" s="334">
        <v>155188</v>
      </c>
      <c r="AE8" s="330">
        <v>1698</v>
      </c>
      <c r="AF8" s="330">
        <v>997</v>
      </c>
      <c r="AG8" s="330">
        <v>2695</v>
      </c>
    </row>
    <row r="9" spans="1:33" x14ac:dyDescent="0.25">
      <c r="A9" s="335" t="s">
        <v>82</v>
      </c>
      <c r="B9" s="335" t="s">
        <v>82</v>
      </c>
      <c r="C9" s="331">
        <v>429224</v>
      </c>
      <c r="D9" s="331">
        <v>352</v>
      </c>
      <c r="E9" s="331">
        <v>22509</v>
      </c>
      <c r="F9" s="331">
        <v>52564</v>
      </c>
      <c r="G9" s="331">
        <v>13714</v>
      </c>
      <c r="H9" s="331">
        <v>518363</v>
      </c>
      <c r="I9" s="330">
        <v>504649</v>
      </c>
      <c r="J9" s="330">
        <v>1914</v>
      </c>
      <c r="K9" s="332">
        <v>82.14</v>
      </c>
      <c r="L9" s="332">
        <v>81.459999999999994</v>
      </c>
      <c r="M9" s="332">
        <v>4.6100000000000003</v>
      </c>
      <c r="N9" s="332">
        <v>84.69</v>
      </c>
      <c r="O9" s="333">
        <v>372590</v>
      </c>
      <c r="P9" s="330">
        <v>84.25</v>
      </c>
      <c r="Q9" s="330">
        <v>76.7</v>
      </c>
      <c r="R9" s="330">
        <v>35.96</v>
      </c>
      <c r="S9" s="330">
        <v>118.07</v>
      </c>
      <c r="T9" s="330">
        <v>66598</v>
      </c>
      <c r="U9" s="330">
        <v>102.79</v>
      </c>
      <c r="V9" s="330">
        <v>45917</v>
      </c>
      <c r="W9" s="330">
        <v>149.77000000000001</v>
      </c>
      <c r="X9" s="330">
        <v>1845</v>
      </c>
      <c r="Y9" s="330">
        <v>568</v>
      </c>
      <c r="Z9" s="330">
        <v>1979</v>
      </c>
      <c r="AA9" s="330">
        <v>297</v>
      </c>
      <c r="AB9" s="330">
        <v>1027</v>
      </c>
      <c r="AC9" s="330">
        <v>348</v>
      </c>
      <c r="AD9" s="334">
        <v>419037</v>
      </c>
      <c r="AE9" s="330">
        <v>2688</v>
      </c>
      <c r="AF9" s="330">
        <v>2435</v>
      </c>
      <c r="AG9" s="330">
        <v>5123</v>
      </c>
    </row>
    <row r="10" spans="1:33" x14ac:dyDescent="0.25">
      <c r="A10" s="335" t="s">
        <v>83</v>
      </c>
      <c r="B10" s="335" t="s">
        <v>83</v>
      </c>
      <c r="C10" s="331">
        <v>296666</v>
      </c>
      <c r="D10" s="331">
        <v>1258</v>
      </c>
      <c r="E10" s="331">
        <v>15381</v>
      </c>
      <c r="F10" s="331">
        <v>37481</v>
      </c>
      <c r="G10" s="331">
        <v>41610</v>
      </c>
      <c r="H10" s="331">
        <v>392396</v>
      </c>
      <c r="I10" s="330">
        <v>350786</v>
      </c>
      <c r="J10" s="330">
        <v>874</v>
      </c>
      <c r="K10" s="332">
        <v>107.7</v>
      </c>
      <c r="L10" s="332">
        <v>106.15</v>
      </c>
      <c r="M10" s="332">
        <v>6.38</v>
      </c>
      <c r="N10" s="332">
        <v>111.71</v>
      </c>
      <c r="O10" s="333">
        <v>248149</v>
      </c>
      <c r="P10" s="330">
        <v>99.03</v>
      </c>
      <c r="Q10" s="330">
        <v>93.01</v>
      </c>
      <c r="R10" s="330">
        <v>35.89</v>
      </c>
      <c r="S10" s="330">
        <v>132.87</v>
      </c>
      <c r="T10" s="330">
        <v>42074</v>
      </c>
      <c r="U10" s="330">
        <v>151.72</v>
      </c>
      <c r="V10" s="330">
        <v>38536</v>
      </c>
      <c r="W10" s="330">
        <v>169.8</v>
      </c>
      <c r="X10" s="330">
        <v>2238</v>
      </c>
      <c r="Y10" s="330">
        <v>888</v>
      </c>
      <c r="Z10" s="330">
        <v>296</v>
      </c>
      <c r="AA10" s="330">
        <v>503</v>
      </c>
      <c r="AB10" s="330">
        <v>2703</v>
      </c>
      <c r="AC10" s="330">
        <v>735</v>
      </c>
      <c r="AD10" s="334">
        <v>289599</v>
      </c>
      <c r="AE10" s="330">
        <v>1406</v>
      </c>
      <c r="AF10" s="330">
        <v>1339</v>
      </c>
      <c r="AG10" s="330">
        <v>2745</v>
      </c>
    </row>
    <row r="11" spans="1:33" x14ac:dyDescent="0.25">
      <c r="A11" s="335" t="s">
        <v>84</v>
      </c>
      <c r="B11" s="335" t="s">
        <v>84</v>
      </c>
      <c r="C11" s="331">
        <v>196655</v>
      </c>
      <c r="D11" s="331">
        <v>279</v>
      </c>
      <c r="E11" s="331">
        <v>14498</v>
      </c>
      <c r="F11" s="331">
        <v>29798</v>
      </c>
      <c r="G11" s="331">
        <v>19984</v>
      </c>
      <c r="H11" s="331">
        <v>261214</v>
      </c>
      <c r="I11" s="330">
        <v>241230</v>
      </c>
      <c r="J11" s="330">
        <v>344</v>
      </c>
      <c r="K11" s="332">
        <v>92.55</v>
      </c>
      <c r="L11" s="332">
        <v>91.11</v>
      </c>
      <c r="M11" s="332">
        <v>4.8499999999999996</v>
      </c>
      <c r="N11" s="332">
        <v>95.61</v>
      </c>
      <c r="O11" s="333">
        <v>165302</v>
      </c>
      <c r="P11" s="330">
        <v>88.26</v>
      </c>
      <c r="Q11" s="330">
        <v>82.96</v>
      </c>
      <c r="R11" s="330">
        <v>31.74</v>
      </c>
      <c r="S11" s="330">
        <v>119.07</v>
      </c>
      <c r="T11" s="330">
        <v>37663</v>
      </c>
      <c r="U11" s="330">
        <v>121.73</v>
      </c>
      <c r="V11" s="330">
        <v>23446</v>
      </c>
      <c r="W11" s="330">
        <v>156.41999999999999</v>
      </c>
      <c r="X11" s="330">
        <v>1506</v>
      </c>
      <c r="Y11" s="330">
        <v>537</v>
      </c>
      <c r="Z11" s="330">
        <v>335</v>
      </c>
      <c r="AA11" s="330">
        <v>375</v>
      </c>
      <c r="AB11" s="330">
        <v>1306</v>
      </c>
      <c r="AC11" s="330">
        <v>368</v>
      </c>
      <c r="AD11" s="334">
        <v>190494</v>
      </c>
      <c r="AE11" s="330">
        <v>885</v>
      </c>
      <c r="AF11" s="330">
        <v>1070</v>
      </c>
      <c r="AG11" s="330">
        <v>1955</v>
      </c>
    </row>
    <row r="12" spans="1:33" x14ac:dyDescent="0.25">
      <c r="A12" s="335" t="s">
        <v>85</v>
      </c>
      <c r="B12" s="335" t="s">
        <v>85</v>
      </c>
      <c r="C12" s="331">
        <v>220192</v>
      </c>
      <c r="D12" s="331">
        <v>833</v>
      </c>
      <c r="E12" s="331">
        <v>20918</v>
      </c>
      <c r="F12" s="331">
        <v>28565</v>
      </c>
      <c r="G12" s="331">
        <v>15917</v>
      </c>
      <c r="H12" s="331">
        <v>286425</v>
      </c>
      <c r="I12" s="330">
        <v>270508</v>
      </c>
      <c r="J12" s="330">
        <v>362</v>
      </c>
      <c r="K12" s="332">
        <v>88.61</v>
      </c>
      <c r="L12" s="332">
        <v>87.74</v>
      </c>
      <c r="M12" s="332">
        <v>6.04</v>
      </c>
      <c r="N12" s="332">
        <v>92.43</v>
      </c>
      <c r="O12" s="333">
        <v>194093</v>
      </c>
      <c r="P12" s="330">
        <v>91.99</v>
      </c>
      <c r="Q12" s="330">
        <v>90.39</v>
      </c>
      <c r="R12" s="330">
        <v>57.94</v>
      </c>
      <c r="S12" s="330">
        <v>147.38</v>
      </c>
      <c r="T12" s="330">
        <v>41509</v>
      </c>
      <c r="U12" s="330">
        <v>108.77</v>
      </c>
      <c r="V12" s="330">
        <v>19928</v>
      </c>
      <c r="W12" s="330">
        <v>187.59</v>
      </c>
      <c r="X12" s="330">
        <v>2832</v>
      </c>
      <c r="Y12" s="330">
        <v>777</v>
      </c>
      <c r="Z12" s="330">
        <v>495</v>
      </c>
      <c r="AA12" s="330">
        <v>490</v>
      </c>
      <c r="AB12" s="330">
        <v>1026</v>
      </c>
      <c r="AC12" s="330">
        <v>392</v>
      </c>
      <c r="AD12" s="334">
        <v>216083</v>
      </c>
      <c r="AE12" s="330">
        <v>1063</v>
      </c>
      <c r="AF12" s="330">
        <v>1318</v>
      </c>
      <c r="AG12" s="330">
        <v>2381</v>
      </c>
    </row>
    <row r="13" spans="1:33" x14ac:dyDescent="0.25">
      <c r="A13" s="335" t="s">
        <v>788</v>
      </c>
      <c r="B13" s="335" t="s">
        <v>788</v>
      </c>
      <c r="C13" s="331">
        <v>167722</v>
      </c>
      <c r="D13" s="331">
        <v>288</v>
      </c>
      <c r="E13" s="331">
        <v>11417</v>
      </c>
      <c r="F13" s="331">
        <v>17407</v>
      </c>
      <c r="G13" s="331">
        <v>6879</v>
      </c>
      <c r="H13" s="331">
        <v>203713</v>
      </c>
      <c r="I13" s="330">
        <v>196834</v>
      </c>
      <c r="J13" s="330">
        <v>409</v>
      </c>
      <c r="K13" s="332">
        <v>81.59</v>
      </c>
      <c r="L13" s="332">
        <v>81.47</v>
      </c>
      <c r="M13" s="332">
        <v>5.73</v>
      </c>
      <c r="N13" s="332">
        <v>84.87</v>
      </c>
      <c r="O13" s="333">
        <v>147101</v>
      </c>
      <c r="P13" s="330">
        <v>87.61</v>
      </c>
      <c r="Q13" s="330">
        <v>77.59</v>
      </c>
      <c r="R13" s="330">
        <v>40.72</v>
      </c>
      <c r="S13" s="330">
        <v>127.3</v>
      </c>
      <c r="T13" s="330">
        <v>24581</v>
      </c>
      <c r="U13" s="330">
        <v>99.35</v>
      </c>
      <c r="V13" s="330">
        <v>17010</v>
      </c>
      <c r="W13" s="330">
        <v>159</v>
      </c>
      <c r="X13" s="330">
        <v>643</v>
      </c>
      <c r="Y13" s="330">
        <v>260</v>
      </c>
      <c r="Z13" s="330">
        <v>466</v>
      </c>
      <c r="AA13" s="330">
        <v>352</v>
      </c>
      <c r="AB13" s="330">
        <v>444</v>
      </c>
      <c r="AC13" s="330">
        <v>157</v>
      </c>
      <c r="AD13" s="334">
        <v>165981</v>
      </c>
      <c r="AE13" s="330">
        <v>1182</v>
      </c>
      <c r="AF13" s="330">
        <v>1671</v>
      </c>
      <c r="AG13" s="330">
        <v>2853</v>
      </c>
    </row>
    <row r="14" spans="1:33" x14ac:dyDescent="0.25">
      <c r="A14" s="329" t="s">
        <v>86</v>
      </c>
      <c r="B14" s="335" t="s">
        <v>87</v>
      </c>
      <c r="C14" s="331">
        <v>946</v>
      </c>
      <c r="D14" s="331">
        <v>0</v>
      </c>
      <c r="E14" s="331">
        <v>76</v>
      </c>
      <c r="F14" s="331">
        <v>51</v>
      </c>
      <c r="G14" s="331">
        <v>155</v>
      </c>
      <c r="H14" s="331">
        <v>1228</v>
      </c>
      <c r="I14" s="330">
        <v>1073</v>
      </c>
      <c r="J14" s="330">
        <v>3</v>
      </c>
      <c r="K14" s="332">
        <v>108.24</v>
      </c>
      <c r="L14" s="332">
        <v>105.87</v>
      </c>
      <c r="M14" s="332">
        <v>6.46</v>
      </c>
      <c r="N14" s="332">
        <v>113.64</v>
      </c>
      <c r="O14" s="333">
        <v>801</v>
      </c>
      <c r="P14" s="330">
        <v>104.75</v>
      </c>
      <c r="Q14" s="330">
        <v>92.63</v>
      </c>
      <c r="R14" s="330">
        <v>43.6</v>
      </c>
      <c r="S14" s="330">
        <v>146.53</v>
      </c>
      <c r="T14" s="330">
        <v>96</v>
      </c>
      <c r="U14" s="330">
        <v>156.02000000000001</v>
      </c>
      <c r="V14" s="330">
        <v>117</v>
      </c>
      <c r="W14" s="330">
        <v>141.38</v>
      </c>
      <c r="X14" s="330">
        <v>23</v>
      </c>
      <c r="Y14" s="330">
        <v>0</v>
      </c>
      <c r="Z14" s="330">
        <v>3</v>
      </c>
      <c r="AA14" s="330">
        <v>27</v>
      </c>
      <c r="AB14" s="330">
        <v>37</v>
      </c>
      <c r="AC14" s="330">
        <v>6</v>
      </c>
      <c r="AD14" s="334">
        <v>925</v>
      </c>
      <c r="AE14" s="334">
        <v>2</v>
      </c>
      <c r="AF14" s="334">
        <v>8</v>
      </c>
      <c r="AG14" s="334">
        <v>10</v>
      </c>
    </row>
    <row r="15" spans="1:33" x14ac:dyDescent="0.25">
      <c r="A15" s="329" t="s">
        <v>88</v>
      </c>
      <c r="B15" s="335" t="s">
        <v>89</v>
      </c>
      <c r="C15" s="331">
        <v>8279</v>
      </c>
      <c r="D15" s="331">
        <v>44</v>
      </c>
      <c r="E15" s="331">
        <v>138</v>
      </c>
      <c r="F15" s="331">
        <v>396</v>
      </c>
      <c r="G15" s="331">
        <v>116</v>
      </c>
      <c r="H15" s="331">
        <v>8973</v>
      </c>
      <c r="I15" s="330">
        <v>8857</v>
      </c>
      <c r="J15" s="330">
        <v>1</v>
      </c>
      <c r="K15" s="332">
        <v>85.27</v>
      </c>
      <c r="L15" s="332">
        <v>82.11</v>
      </c>
      <c r="M15" s="332">
        <v>2.48</v>
      </c>
      <c r="N15" s="332">
        <v>87.26</v>
      </c>
      <c r="O15" s="333">
        <v>7301</v>
      </c>
      <c r="P15" s="330">
        <v>81.260000000000005</v>
      </c>
      <c r="Q15" s="330">
        <v>73.540000000000006</v>
      </c>
      <c r="R15" s="330">
        <v>42.31</v>
      </c>
      <c r="S15" s="330">
        <v>121.51</v>
      </c>
      <c r="T15" s="330">
        <v>471</v>
      </c>
      <c r="U15" s="330">
        <v>105.51</v>
      </c>
      <c r="V15" s="330">
        <v>463</v>
      </c>
      <c r="W15" s="330">
        <v>132.28</v>
      </c>
      <c r="X15" s="330">
        <v>39</v>
      </c>
      <c r="Y15" s="330">
        <v>0</v>
      </c>
      <c r="Z15" s="330">
        <v>11</v>
      </c>
      <c r="AA15" s="330">
        <v>4</v>
      </c>
      <c r="AB15" s="330">
        <v>6</v>
      </c>
      <c r="AC15" s="330">
        <v>0</v>
      </c>
      <c r="AD15" s="334">
        <v>7585</v>
      </c>
      <c r="AE15" s="334">
        <v>113</v>
      </c>
      <c r="AF15" s="334">
        <v>27</v>
      </c>
      <c r="AG15" s="334">
        <v>140</v>
      </c>
    </row>
    <row r="16" spans="1:33" x14ac:dyDescent="0.25">
      <c r="A16" s="329" t="s">
        <v>90</v>
      </c>
      <c r="B16" s="335" t="s">
        <v>91</v>
      </c>
      <c r="C16" s="331">
        <v>4621</v>
      </c>
      <c r="D16" s="331">
        <v>0</v>
      </c>
      <c r="E16" s="331">
        <v>159</v>
      </c>
      <c r="F16" s="331">
        <v>2438</v>
      </c>
      <c r="G16" s="331">
        <v>173</v>
      </c>
      <c r="H16" s="331">
        <v>7391</v>
      </c>
      <c r="I16" s="330">
        <v>7218</v>
      </c>
      <c r="J16" s="330">
        <v>0</v>
      </c>
      <c r="K16" s="332">
        <v>88.74</v>
      </c>
      <c r="L16" s="332">
        <v>88.32</v>
      </c>
      <c r="M16" s="332">
        <v>2.46</v>
      </c>
      <c r="N16" s="332">
        <v>90.99</v>
      </c>
      <c r="O16" s="333">
        <v>4344</v>
      </c>
      <c r="P16" s="330">
        <v>83.18</v>
      </c>
      <c r="Q16" s="330">
        <v>85.83</v>
      </c>
      <c r="R16" s="330">
        <v>9.09</v>
      </c>
      <c r="S16" s="330">
        <v>92.18</v>
      </c>
      <c r="T16" s="330">
        <v>2553</v>
      </c>
      <c r="U16" s="330">
        <v>100.31</v>
      </c>
      <c r="V16" s="330">
        <v>281</v>
      </c>
      <c r="W16" s="330">
        <v>0</v>
      </c>
      <c r="X16" s="330">
        <v>0</v>
      </c>
      <c r="Y16" s="330">
        <v>0</v>
      </c>
      <c r="Z16" s="330">
        <v>17</v>
      </c>
      <c r="AA16" s="330">
        <v>4</v>
      </c>
      <c r="AB16" s="330">
        <v>20</v>
      </c>
      <c r="AC16" s="330">
        <v>1</v>
      </c>
      <c r="AD16" s="334">
        <v>4621</v>
      </c>
      <c r="AE16" s="334">
        <v>17</v>
      </c>
      <c r="AF16" s="334">
        <v>21</v>
      </c>
      <c r="AG16" s="334">
        <v>38</v>
      </c>
    </row>
    <row r="17" spans="1:33" x14ac:dyDescent="0.25">
      <c r="A17" s="329" t="s">
        <v>92</v>
      </c>
      <c r="B17" s="335" t="s">
        <v>93</v>
      </c>
      <c r="C17" s="331">
        <v>3004</v>
      </c>
      <c r="D17" s="331">
        <v>10</v>
      </c>
      <c r="E17" s="331">
        <v>234</v>
      </c>
      <c r="F17" s="331">
        <v>286</v>
      </c>
      <c r="G17" s="331">
        <v>600</v>
      </c>
      <c r="H17" s="331">
        <v>4134</v>
      </c>
      <c r="I17" s="330">
        <v>3534</v>
      </c>
      <c r="J17" s="330">
        <v>5</v>
      </c>
      <c r="K17" s="332">
        <v>107.82</v>
      </c>
      <c r="L17" s="332">
        <v>105.84</v>
      </c>
      <c r="M17" s="332">
        <v>6.45</v>
      </c>
      <c r="N17" s="332">
        <v>113.28</v>
      </c>
      <c r="O17" s="333">
        <v>2250</v>
      </c>
      <c r="P17" s="330">
        <v>94.05</v>
      </c>
      <c r="Q17" s="330">
        <v>87.93</v>
      </c>
      <c r="R17" s="330">
        <v>52.12</v>
      </c>
      <c r="S17" s="330">
        <v>142.96</v>
      </c>
      <c r="T17" s="330">
        <v>341</v>
      </c>
      <c r="U17" s="330">
        <v>152.72999999999999</v>
      </c>
      <c r="V17" s="330">
        <v>699</v>
      </c>
      <c r="W17" s="330">
        <v>0</v>
      </c>
      <c r="X17" s="330">
        <v>0</v>
      </c>
      <c r="Y17" s="330">
        <v>0</v>
      </c>
      <c r="Z17" s="330">
        <v>8</v>
      </c>
      <c r="AA17" s="330">
        <v>2</v>
      </c>
      <c r="AB17" s="330">
        <v>28</v>
      </c>
      <c r="AC17" s="330">
        <v>5</v>
      </c>
      <c r="AD17" s="334">
        <v>3002</v>
      </c>
      <c r="AE17" s="334">
        <v>9</v>
      </c>
      <c r="AF17" s="334">
        <v>3</v>
      </c>
      <c r="AG17" s="334">
        <v>12</v>
      </c>
    </row>
    <row r="18" spans="1:33" x14ac:dyDescent="0.25">
      <c r="A18" s="329" t="s">
        <v>94</v>
      </c>
      <c r="B18" s="335" t="s">
        <v>95</v>
      </c>
      <c r="C18" s="331">
        <v>1621</v>
      </c>
      <c r="D18" s="331">
        <v>0</v>
      </c>
      <c r="E18" s="331">
        <v>179</v>
      </c>
      <c r="F18" s="331">
        <v>291</v>
      </c>
      <c r="G18" s="331">
        <v>185</v>
      </c>
      <c r="H18" s="331">
        <v>2276</v>
      </c>
      <c r="I18" s="330">
        <v>2091</v>
      </c>
      <c r="J18" s="330">
        <v>0</v>
      </c>
      <c r="K18" s="332">
        <v>86.03</v>
      </c>
      <c r="L18" s="332">
        <v>84.3</v>
      </c>
      <c r="M18" s="332">
        <v>5.55</v>
      </c>
      <c r="N18" s="332">
        <v>88.74</v>
      </c>
      <c r="O18" s="333">
        <v>1362</v>
      </c>
      <c r="P18" s="330">
        <v>91.62</v>
      </c>
      <c r="Q18" s="330">
        <v>84.96</v>
      </c>
      <c r="R18" s="330">
        <v>50.7</v>
      </c>
      <c r="S18" s="330">
        <v>137.78</v>
      </c>
      <c r="T18" s="330">
        <v>469</v>
      </c>
      <c r="U18" s="330">
        <v>98.14</v>
      </c>
      <c r="V18" s="330">
        <v>187</v>
      </c>
      <c r="W18" s="330">
        <v>0</v>
      </c>
      <c r="X18" s="330">
        <v>0</v>
      </c>
      <c r="Y18" s="330">
        <v>67</v>
      </c>
      <c r="Z18" s="330">
        <v>1</v>
      </c>
      <c r="AA18" s="330">
        <v>2</v>
      </c>
      <c r="AB18" s="330">
        <v>2</v>
      </c>
      <c r="AC18" s="330">
        <v>4</v>
      </c>
      <c r="AD18" s="334">
        <v>1621</v>
      </c>
      <c r="AE18" s="334">
        <v>8</v>
      </c>
      <c r="AF18" s="334">
        <v>4</v>
      </c>
      <c r="AG18" s="334">
        <v>12</v>
      </c>
    </row>
    <row r="19" spans="1:33" x14ac:dyDescent="0.25">
      <c r="A19" s="329" t="s">
        <v>96</v>
      </c>
      <c r="B19" s="335" t="s">
        <v>97</v>
      </c>
      <c r="C19" s="331">
        <v>2267</v>
      </c>
      <c r="D19" s="331">
        <v>0</v>
      </c>
      <c r="E19" s="331">
        <v>128</v>
      </c>
      <c r="F19" s="331">
        <v>151</v>
      </c>
      <c r="G19" s="331">
        <v>704</v>
      </c>
      <c r="H19" s="331">
        <v>3250</v>
      </c>
      <c r="I19" s="330">
        <v>2546</v>
      </c>
      <c r="J19" s="330">
        <v>1</v>
      </c>
      <c r="K19" s="332">
        <v>99.73</v>
      </c>
      <c r="L19" s="332">
        <v>97.82</v>
      </c>
      <c r="M19" s="332">
        <v>6.66</v>
      </c>
      <c r="N19" s="332">
        <v>105.2</v>
      </c>
      <c r="O19" s="333">
        <v>1797</v>
      </c>
      <c r="P19" s="330">
        <v>113.64</v>
      </c>
      <c r="Q19" s="330">
        <v>82.96</v>
      </c>
      <c r="R19" s="330">
        <v>51.54</v>
      </c>
      <c r="S19" s="330">
        <v>158.85</v>
      </c>
      <c r="T19" s="330">
        <v>220</v>
      </c>
      <c r="U19" s="330">
        <v>135.66</v>
      </c>
      <c r="V19" s="330">
        <v>402</v>
      </c>
      <c r="W19" s="330">
        <v>182.52</v>
      </c>
      <c r="X19" s="330">
        <v>59</v>
      </c>
      <c r="Y19" s="330">
        <v>0</v>
      </c>
      <c r="Z19" s="330">
        <v>5</v>
      </c>
      <c r="AA19" s="330">
        <v>0</v>
      </c>
      <c r="AB19" s="330">
        <v>30</v>
      </c>
      <c r="AC19" s="330">
        <v>18</v>
      </c>
      <c r="AD19" s="334">
        <v>2227</v>
      </c>
      <c r="AE19" s="334">
        <v>19</v>
      </c>
      <c r="AF19" s="334">
        <v>6</v>
      </c>
      <c r="AG19" s="334">
        <v>25</v>
      </c>
    </row>
    <row r="20" spans="1:33" x14ac:dyDescent="0.25">
      <c r="A20" s="329" t="s">
        <v>98</v>
      </c>
      <c r="B20" s="335" t="s">
        <v>99</v>
      </c>
      <c r="C20" s="331">
        <v>1715</v>
      </c>
      <c r="D20" s="331">
        <v>0</v>
      </c>
      <c r="E20" s="331">
        <v>120</v>
      </c>
      <c r="F20" s="331">
        <v>123</v>
      </c>
      <c r="G20" s="331">
        <v>193</v>
      </c>
      <c r="H20" s="331">
        <v>2151</v>
      </c>
      <c r="I20" s="330">
        <v>1958</v>
      </c>
      <c r="J20" s="330">
        <v>1</v>
      </c>
      <c r="K20" s="332">
        <v>92.86</v>
      </c>
      <c r="L20" s="332">
        <v>92.83</v>
      </c>
      <c r="M20" s="332">
        <v>4.4800000000000004</v>
      </c>
      <c r="N20" s="332">
        <v>95.34</v>
      </c>
      <c r="O20" s="333">
        <v>1270</v>
      </c>
      <c r="P20" s="330">
        <v>107.91</v>
      </c>
      <c r="Q20" s="330">
        <v>94.49</v>
      </c>
      <c r="R20" s="330">
        <v>58.33</v>
      </c>
      <c r="S20" s="330">
        <v>161.6</v>
      </c>
      <c r="T20" s="330">
        <v>201</v>
      </c>
      <c r="U20" s="330">
        <v>114.93</v>
      </c>
      <c r="V20" s="330">
        <v>414</v>
      </c>
      <c r="W20" s="330">
        <v>107.72</v>
      </c>
      <c r="X20" s="330">
        <v>2</v>
      </c>
      <c r="Y20" s="330">
        <v>0</v>
      </c>
      <c r="Z20" s="330">
        <v>0</v>
      </c>
      <c r="AA20" s="330">
        <v>1</v>
      </c>
      <c r="AB20" s="330">
        <v>7</v>
      </c>
      <c r="AC20" s="330">
        <v>1</v>
      </c>
      <c r="AD20" s="334">
        <v>1715</v>
      </c>
      <c r="AE20" s="334">
        <v>4</v>
      </c>
      <c r="AF20" s="334">
        <v>2</v>
      </c>
      <c r="AG20" s="334">
        <v>6</v>
      </c>
    </row>
    <row r="21" spans="1:33" x14ac:dyDescent="0.25">
      <c r="A21" s="329" t="s">
        <v>100</v>
      </c>
      <c r="B21" s="335" t="s">
        <v>101</v>
      </c>
      <c r="C21" s="331">
        <v>4183</v>
      </c>
      <c r="D21" s="331">
        <v>55</v>
      </c>
      <c r="E21" s="331">
        <v>370</v>
      </c>
      <c r="F21" s="331">
        <v>455</v>
      </c>
      <c r="G21" s="331">
        <v>786</v>
      </c>
      <c r="H21" s="331">
        <v>5849</v>
      </c>
      <c r="I21" s="330">
        <v>5063</v>
      </c>
      <c r="J21" s="330">
        <v>20</v>
      </c>
      <c r="K21" s="332">
        <v>116.92</v>
      </c>
      <c r="L21" s="332">
        <v>114.05</v>
      </c>
      <c r="M21" s="332">
        <v>7.71</v>
      </c>
      <c r="N21" s="332">
        <v>121.22</v>
      </c>
      <c r="O21" s="333">
        <v>2771</v>
      </c>
      <c r="P21" s="330">
        <v>103</v>
      </c>
      <c r="Q21" s="330">
        <v>100.63</v>
      </c>
      <c r="R21" s="330">
        <v>62.27</v>
      </c>
      <c r="S21" s="330">
        <v>157.63999999999999</v>
      </c>
      <c r="T21" s="330">
        <v>677</v>
      </c>
      <c r="U21" s="330">
        <v>157.16</v>
      </c>
      <c r="V21" s="330">
        <v>789</v>
      </c>
      <c r="W21" s="330">
        <v>0</v>
      </c>
      <c r="X21" s="330">
        <v>0</v>
      </c>
      <c r="Y21" s="330">
        <v>0</v>
      </c>
      <c r="Z21" s="330">
        <v>16</v>
      </c>
      <c r="AA21" s="330">
        <v>5</v>
      </c>
      <c r="AB21" s="330">
        <v>94</v>
      </c>
      <c r="AC21" s="330">
        <v>37</v>
      </c>
      <c r="AD21" s="334">
        <v>4107</v>
      </c>
      <c r="AE21" s="334">
        <v>14</v>
      </c>
      <c r="AF21" s="334">
        <v>9</v>
      </c>
      <c r="AG21" s="334">
        <v>23</v>
      </c>
    </row>
    <row r="22" spans="1:33" x14ac:dyDescent="0.25">
      <c r="A22" s="329" t="s">
        <v>102</v>
      </c>
      <c r="B22" s="335" t="s">
        <v>103</v>
      </c>
      <c r="C22" s="331">
        <v>7183</v>
      </c>
      <c r="D22" s="331">
        <v>28</v>
      </c>
      <c r="E22" s="331">
        <v>541</v>
      </c>
      <c r="F22" s="331">
        <v>1149</v>
      </c>
      <c r="G22" s="331">
        <v>1388</v>
      </c>
      <c r="H22" s="331">
        <v>10289</v>
      </c>
      <c r="I22" s="330">
        <v>8901</v>
      </c>
      <c r="J22" s="330">
        <v>23</v>
      </c>
      <c r="K22" s="332">
        <v>127.88</v>
      </c>
      <c r="L22" s="332">
        <v>127.63</v>
      </c>
      <c r="M22" s="332">
        <v>14.34</v>
      </c>
      <c r="N22" s="332">
        <v>139.68</v>
      </c>
      <c r="O22" s="333">
        <v>5750</v>
      </c>
      <c r="P22" s="330">
        <v>125.84</v>
      </c>
      <c r="Q22" s="330">
        <v>109.95</v>
      </c>
      <c r="R22" s="330">
        <v>50.04</v>
      </c>
      <c r="S22" s="330">
        <v>169.13</v>
      </c>
      <c r="T22" s="330">
        <v>904</v>
      </c>
      <c r="U22" s="330">
        <v>212.81</v>
      </c>
      <c r="V22" s="330">
        <v>1043</v>
      </c>
      <c r="W22" s="330">
        <v>224.63</v>
      </c>
      <c r="X22" s="330">
        <v>37</v>
      </c>
      <c r="Y22" s="330">
        <v>47</v>
      </c>
      <c r="Z22" s="330">
        <v>2</v>
      </c>
      <c r="AA22" s="330">
        <v>8</v>
      </c>
      <c r="AB22" s="330">
        <v>48</v>
      </c>
      <c r="AC22" s="330">
        <v>24</v>
      </c>
      <c r="AD22" s="334">
        <v>6766</v>
      </c>
      <c r="AE22" s="334">
        <v>21</v>
      </c>
      <c r="AF22" s="334">
        <v>23</v>
      </c>
      <c r="AG22" s="334">
        <v>44</v>
      </c>
    </row>
    <row r="23" spans="1:33" x14ac:dyDescent="0.25">
      <c r="A23" s="329" t="s">
        <v>104</v>
      </c>
      <c r="B23" s="335" t="s">
        <v>105</v>
      </c>
      <c r="C23" s="331">
        <v>2897</v>
      </c>
      <c r="D23" s="331">
        <v>0</v>
      </c>
      <c r="E23" s="331">
        <v>328</v>
      </c>
      <c r="F23" s="331">
        <v>672</v>
      </c>
      <c r="G23" s="331">
        <v>258</v>
      </c>
      <c r="H23" s="331">
        <v>4155</v>
      </c>
      <c r="I23" s="330">
        <v>3897</v>
      </c>
      <c r="J23" s="330">
        <v>1</v>
      </c>
      <c r="K23" s="332">
        <v>85.45</v>
      </c>
      <c r="L23" s="332">
        <v>82.4</v>
      </c>
      <c r="M23" s="332">
        <v>5.46</v>
      </c>
      <c r="N23" s="332">
        <v>87.89</v>
      </c>
      <c r="O23" s="333">
        <v>1913</v>
      </c>
      <c r="P23" s="330">
        <v>91.89</v>
      </c>
      <c r="Q23" s="330">
        <v>82.09</v>
      </c>
      <c r="R23" s="330">
        <v>29.52</v>
      </c>
      <c r="S23" s="330">
        <v>120.3</v>
      </c>
      <c r="T23" s="330">
        <v>988</v>
      </c>
      <c r="U23" s="330">
        <v>93.05</v>
      </c>
      <c r="V23" s="330">
        <v>881</v>
      </c>
      <c r="W23" s="330">
        <v>0</v>
      </c>
      <c r="X23" s="330">
        <v>0</v>
      </c>
      <c r="Y23" s="330">
        <v>0</v>
      </c>
      <c r="Z23" s="330">
        <v>6</v>
      </c>
      <c r="AA23" s="330">
        <v>21</v>
      </c>
      <c r="AB23" s="330">
        <v>11</v>
      </c>
      <c r="AC23" s="330">
        <v>6</v>
      </c>
      <c r="AD23" s="334">
        <v>2892</v>
      </c>
      <c r="AE23" s="334">
        <v>31</v>
      </c>
      <c r="AF23" s="334">
        <v>10</v>
      </c>
      <c r="AG23" s="334">
        <v>41</v>
      </c>
    </row>
    <row r="24" spans="1:33" x14ac:dyDescent="0.25">
      <c r="A24" s="329" t="s">
        <v>106</v>
      </c>
      <c r="B24" s="335" t="s">
        <v>107</v>
      </c>
      <c r="C24" s="331">
        <v>519</v>
      </c>
      <c r="D24" s="331">
        <v>0</v>
      </c>
      <c r="E24" s="331">
        <v>216</v>
      </c>
      <c r="F24" s="331">
        <v>196</v>
      </c>
      <c r="G24" s="331">
        <v>12</v>
      </c>
      <c r="H24" s="331">
        <v>943</v>
      </c>
      <c r="I24" s="330">
        <v>931</v>
      </c>
      <c r="J24" s="330">
        <v>3</v>
      </c>
      <c r="K24" s="332">
        <v>79.08</v>
      </c>
      <c r="L24" s="332">
        <v>76.180000000000007</v>
      </c>
      <c r="M24" s="332">
        <v>5.85</v>
      </c>
      <c r="N24" s="332">
        <v>82.66</v>
      </c>
      <c r="O24" s="333">
        <v>477</v>
      </c>
      <c r="P24" s="330">
        <v>101.51</v>
      </c>
      <c r="Q24" s="330">
        <v>82.3</v>
      </c>
      <c r="R24" s="330">
        <v>72.16</v>
      </c>
      <c r="S24" s="330">
        <v>173.67</v>
      </c>
      <c r="T24" s="330">
        <v>354</v>
      </c>
      <c r="U24" s="330">
        <v>107.56</v>
      </c>
      <c r="V24" s="330">
        <v>27</v>
      </c>
      <c r="W24" s="330">
        <v>0</v>
      </c>
      <c r="X24" s="330">
        <v>0</v>
      </c>
      <c r="Y24" s="330">
        <v>0</v>
      </c>
      <c r="Z24" s="330">
        <v>0</v>
      </c>
      <c r="AA24" s="330">
        <v>0</v>
      </c>
      <c r="AB24" s="330">
        <v>0</v>
      </c>
      <c r="AC24" s="330">
        <v>0</v>
      </c>
      <c r="AD24" s="334">
        <v>519</v>
      </c>
      <c r="AE24" s="334">
        <v>2</v>
      </c>
      <c r="AF24" s="334">
        <v>3</v>
      </c>
      <c r="AG24" s="334">
        <v>5</v>
      </c>
    </row>
    <row r="25" spans="1:33" x14ac:dyDescent="0.25">
      <c r="A25" s="329" t="s">
        <v>108</v>
      </c>
      <c r="B25" s="335" t="s">
        <v>109</v>
      </c>
      <c r="C25" s="331">
        <v>5333</v>
      </c>
      <c r="D25" s="331">
        <v>11</v>
      </c>
      <c r="E25" s="331">
        <v>237</v>
      </c>
      <c r="F25" s="331">
        <v>355</v>
      </c>
      <c r="G25" s="331">
        <v>630</v>
      </c>
      <c r="H25" s="331">
        <v>6566</v>
      </c>
      <c r="I25" s="330">
        <v>5936</v>
      </c>
      <c r="J25" s="330">
        <v>0</v>
      </c>
      <c r="K25" s="332">
        <v>111.38</v>
      </c>
      <c r="L25" s="332">
        <v>111.2</v>
      </c>
      <c r="M25" s="332">
        <v>5.55</v>
      </c>
      <c r="N25" s="332">
        <v>114.13</v>
      </c>
      <c r="O25" s="333">
        <v>5034</v>
      </c>
      <c r="P25" s="330">
        <v>93.85</v>
      </c>
      <c r="Q25" s="330">
        <v>88.49</v>
      </c>
      <c r="R25" s="330">
        <v>37.28</v>
      </c>
      <c r="S25" s="330">
        <v>127.1</v>
      </c>
      <c r="T25" s="330">
        <v>518</v>
      </c>
      <c r="U25" s="330">
        <v>128.69999999999999</v>
      </c>
      <c r="V25" s="330">
        <v>176</v>
      </c>
      <c r="W25" s="330">
        <v>0</v>
      </c>
      <c r="X25" s="330">
        <v>0</v>
      </c>
      <c r="Y25" s="330">
        <v>30</v>
      </c>
      <c r="Z25" s="330">
        <v>3</v>
      </c>
      <c r="AA25" s="330">
        <v>4</v>
      </c>
      <c r="AB25" s="330">
        <v>9</v>
      </c>
      <c r="AC25" s="330">
        <v>16</v>
      </c>
      <c r="AD25" s="334">
        <v>5260</v>
      </c>
      <c r="AE25" s="334">
        <v>26</v>
      </c>
      <c r="AF25" s="334">
        <v>7</v>
      </c>
      <c r="AG25" s="334">
        <v>33</v>
      </c>
    </row>
    <row r="26" spans="1:33" x14ac:dyDescent="0.25">
      <c r="A26" s="329" t="s">
        <v>110</v>
      </c>
      <c r="B26" s="335" t="s">
        <v>111</v>
      </c>
      <c r="C26" s="331">
        <v>12428</v>
      </c>
      <c r="D26" s="331">
        <v>312</v>
      </c>
      <c r="E26" s="331">
        <v>314</v>
      </c>
      <c r="F26" s="331">
        <v>910</v>
      </c>
      <c r="G26" s="331">
        <v>1072</v>
      </c>
      <c r="H26" s="331">
        <v>15036</v>
      </c>
      <c r="I26" s="330">
        <v>13964</v>
      </c>
      <c r="J26" s="330">
        <v>0</v>
      </c>
      <c r="K26" s="332">
        <v>112.79</v>
      </c>
      <c r="L26" s="332">
        <v>109.31</v>
      </c>
      <c r="M26" s="332">
        <v>4.75</v>
      </c>
      <c r="N26" s="332">
        <v>114.75</v>
      </c>
      <c r="O26" s="333">
        <v>11207</v>
      </c>
      <c r="P26" s="330">
        <v>96.83</v>
      </c>
      <c r="Q26" s="330">
        <v>96.83</v>
      </c>
      <c r="R26" s="330">
        <v>32.39</v>
      </c>
      <c r="S26" s="330">
        <v>127.45</v>
      </c>
      <c r="T26" s="330">
        <v>1140</v>
      </c>
      <c r="U26" s="330">
        <v>146.86000000000001</v>
      </c>
      <c r="V26" s="330">
        <v>917</v>
      </c>
      <c r="W26" s="330">
        <v>150.16999999999999</v>
      </c>
      <c r="X26" s="330">
        <v>2</v>
      </c>
      <c r="Y26" s="330">
        <v>21</v>
      </c>
      <c r="Z26" s="330">
        <v>7</v>
      </c>
      <c r="AA26" s="330">
        <v>1</v>
      </c>
      <c r="AB26" s="330">
        <v>70</v>
      </c>
      <c r="AC26" s="330">
        <v>21</v>
      </c>
      <c r="AD26" s="334">
        <v>12402</v>
      </c>
      <c r="AE26" s="334">
        <v>66</v>
      </c>
      <c r="AF26" s="334">
        <v>24</v>
      </c>
      <c r="AG26" s="334">
        <v>90</v>
      </c>
    </row>
    <row r="27" spans="1:33" x14ac:dyDescent="0.25">
      <c r="A27" s="329" t="s">
        <v>112</v>
      </c>
      <c r="B27" s="335" t="s">
        <v>113</v>
      </c>
      <c r="C27" s="331">
        <v>1009</v>
      </c>
      <c r="D27" s="331">
        <v>0</v>
      </c>
      <c r="E27" s="331">
        <v>264</v>
      </c>
      <c r="F27" s="331">
        <v>140</v>
      </c>
      <c r="G27" s="331">
        <v>88</v>
      </c>
      <c r="H27" s="331">
        <v>1501</v>
      </c>
      <c r="I27" s="330">
        <v>1413</v>
      </c>
      <c r="J27" s="330">
        <v>1</v>
      </c>
      <c r="K27" s="332">
        <v>86.68</v>
      </c>
      <c r="L27" s="332">
        <v>84.29</v>
      </c>
      <c r="M27" s="332">
        <v>3.01</v>
      </c>
      <c r="N27" s="332">
        <v>88.52</v>
      </c>
      <c r="O27" s="333">
        <v>871</v>
      </c>
      <c r="P27" s="330">
        <v>122.09</v>
      </c>
      <c r="Q27" s="330">
        <v>73.03</v>
      </c>
      <c r="R27" s="330">
        <v>59.92</v>
      </c>
      <c r="S27" s="330">
        <v>179.67</v>
      </c>
      <c r="T27" s="330">
        <v>359</v>
      </c>
      <c r="U27" s="330">
        <v>97.23</v>
      </c>
      <c r="V27" s="330">
        <v>117</v>
      </c>
      <c r="W27" s="330">
        <v>170.83</v>
      </c>
      <c r="X27" s="330">
        <v>4</v>
      </c>
      <c r="Y27" s="330">
        <v>16</v>
      </c>
      <c r="Z27" s="330">
        <v>0</v>
      </c>
      <c r="AA27" s="330">
        <v>4</v>
      </c>
      <c r="AB27" s="330">
        <v>1</v>
      </c>
      <c r="AC27" s="330">
        <v>1</v>
      </c>
      <c r="AD27" s="334">
        <v>1006</v>
      </c>
      <c r="AE27" s="334">
        <v>9</v>
      </c>
      <c r="AF27" s="334">
        <v>9</v>
      </c>
      <c r="AG27" s="334">
        <v>18</v>
      </c>
    </row>
    <row r="28" spans="1:33" x14ac:dyDescent="0.25">
      <c r="A28" s="329" t="s">
        <v>114</v>
      </c>
      <c r="B28" s="335" t="s">
        <v>115</v>
      </c>
      <c r="C28" s="331">
        <v>9094</v>
      </c>
      <c r="D28" s="331">
        <v>0</v>
      </c>
      <c r="E28" s="331">
        <v>381</v>
      </c>
      <c r="F28" s="331">
        <v>2105</v>
      </c>
      <c r="G28" s="331">
        <v>628</v>
      </c>
      <c r="H28" s="331">
        <v>12208</v>
      </c>
      <c r="I28" s="330">
        <v>11580</v>
      </c>
      <c r="J28" s="330">
        <v>4</v>
      </c>
      <c r="K28" s="332">
        <v>99.15</v>
      </c>
      <c r="L28" s="332">
        <v>99.43</v>
      </c>
      <c r="M28" s="332">
        <v>5.34</v>
      </c>
      <c r="N28" s="332">
        <v>103.82</v>
      </c>
      <c r="O28" s="333">
        <v>8310</v>
      </c>
      <c r="P28" s="330">
        <v>92.72</v>
      </c>
      <c r="Q28" s="330">
        <v>93.16</v>
      </c>
      <c r="R28" s="330">
        <v>16.350000000000001</v>
      </c>
      <c r="S28" s="330">
        <v>108.91</v>
      </c>
      <c r="T28" s="330">
        <v>2207</v>
      </c>
      <c r="U28" s="330">
        <v>132.76</v>
      </c>
      <c r="V28" s="330">
        <v>667</v>
      </c>
      <c r="W28" s="330">
        <v>118.37</v>
      </c>
      <c r="X28" s="330">
        <v>77</v>
      </c>
      <c r="Y28" s="330">
        <v>0</v>
      </c>
      <c r="Z28" s="330">
        <v>9</v>
      </c>
      <c r="AA28" s="330">
        <v>4</v>
      </c>
      <c r="AB28" s="330">
        <v>69</v>
      </c>
      <c r="AC28" s="330">
        <v>7</v>
      </c>
      <c r="AD28" s="334">
        <v>9008</v>
      </c>
      <c r="AE28" s="334">
        <v>37</v>
      </c>
      <c r="AF28" s="334">
        <v>85</v>
      </c>
      <c r="AG28" s="334">
        <v>122</v>
      </c>
    </row>
    <row r="29" spans="1:33" x14ac:dyDescent="0.25">
      <c r="A29" s="329" t="s">
        <v>116</v>
      </c>
      <c r="B29" s="335" t="s">
        <v>117</v>
      </c>
      <c r="C29" s="331">
        <v>10635</v>
      </c>
      <c r="D29" s="331">
        <v>0</v>
      </c>
      <c r="E29" s="331">
        <v>374</v>
      </c>
      <c r="F29" s="331">
        <v>1142</v>
      </c>
      <c r="G29" s="331">
        <v>1087</v>
      </c>
      <c r="H29" s="331">
        <v>13238</v>
      </c>
      <c r="I29" s="330">
        <v>12151</v>
      </c>
      <c r="J29" s="330">
        <v>2</v>
      </c>
      <c r="K29" s="332">
        <v>97.91</v>
      </c>
      <c r="L29" s="332">
        <v>97.23</v>
      </c>
      <c r="M29" s="332">
        <v>8.84</v>
      </c>
      <c r="N29" s="332">
        <v>104.3</v>
      </c>
      <c r="O29" s="333">
        <v>9189</v>
      </c>
      <c r="P29" s="330">
        <v>102.84</v>
      </c>
      <c r="Q29" s="330">
        <v>91.09</v>
      </c>
      <c r="R29" s="330">
        <v>46.48</v>
      </c>
      <c r="S29" s="330">
        <v>149.16999999999999</v>
      </c>
      <c r="T29" s="330">
        <v>1317</v>
      </c>
      <c r="U29" s="330">
        <v>129.35</v>
      </c>
      <c r="V29" s="330">
        <v>1135</v>
      </c>
      <c r="W29" s="330">
        <v>105.11</v>
      </c>
      <c r="X29" s="330">
        <v>5</v>
      </c>
      <c r="Y29" s="330">
        <v>0</v>
      </c>
      <c r="Z29" s="330">
        <v>8</v>
      </c>
      <c r="AA29" s="330">
        <v>3</v>
      </c>
      <c r="AB29" s="330">
        <v>69</v>
      </c>
      <c r="AC29" s="330">
        <v>22</v>
      </c>
      <c r="AD29" s="334">
        <v>10551</v>
      </c>
      <c r="AE29" s="334">
        <v>38</v>
      </c>
      <c r="AF29" s="334">
        <v>14</v>
      </c>
      <c r="AG29" s="334">
        <v>52</v>
      </c>
    </row>
    <row r="30" spans="1:33" x14ac:dyDescent="0.25">
      <c r="A30" s="329" t="s">
        <v>118</v>
      </c>
      <c r="B30" s="335" t="s">
        <v>119</v>
      </c>
      <c r="C30" s="331">
        <v>12494</v>
      </c>
      <c r="D30" s="331">
        <v>54</v>
      </c>
      <c r="E30" s="331">
        <v>122</v>
      </c>
      <c r="F30" s="331">
        <v>1327</v>
      </c>
      <c r="G30" s="331">
        <v>1052</v>
      </c>
      <c r="H30" s="331">
        <v>15049</v>
      </c>
      <c r="I30" s="330">
        <v>13997</v>
      </c>
      <c r="J30" s="330">
        <v>20</v>
      </c>
      <c r="K30" s="332">
        <v>109.11</v>
      </c>
      <c r="L30" s="332">
        <v>108.49</v>
      </c>
      <c r="M30" s="332">
        <v>10.84</v>
      </c>
      <c r="N30" s="332">
        <v>119.13</v>
      </c>
      <c r="O30" s="333">
        <v>10046</v>
      </c>
      <c r="P30" s="330">
        <v>97.87</v>
      </c>
      <c r="Q30" s="330">
        <v>96.59</v>
      </c>
      <c r="R30" s="330">
        <v>30.85</v>
      </c>
      <c r="S30" s="330">
        <v>128.31</v>
      </c>
      <c r="T30" s="330">
        <v>1292</v>
      </c>
      <c r="U30" s="330">
        <v>157.44999999999999</v>
      </c>
      <c r="V30" s="330">
        <v>1432</v>
      </c>
      <c r="W30" s="330">
        <v>0</v>
      </c>
      <c r="X30" s="330">
        <v>0</v>
      </c>
      <c r="Y30" s="330">
        <v>0</v>
      </c>
      <c r="Z30" s="330">
        <v>7</v>
      </c>
      <c r="AA30" s="330">
        <v>2</v>
      </c>
      <c r="AB30" s="330">
        <v>90</v>
      </c>
      <c r="AC30" s="330">
        <v>22</v>
      </c>
      <c r="AD30" s="334">
        <v>11559</v>
      </c>
      <c r="AE30" s="334">
        <v>60</v>
      </c>
      <c r="AF30" s="334">
        <v>461</v>
      </c>
      <c r="AG30" s="334">
        <v>521</v>
      </c>
    </row>
    <row r="31" spans="1:33" x14ac:dyDescent="0.25">
      <c r="A31" s="329" t="s">
        <v>120</v>
      </c>
      <c r="B31" s="335" t="s">
        <v>121</v>
      </c>
      <c r="C31" s="331">
        <v>34233</v>
      </c>
      <c r="D31" s="331">
        <v>688</v>
      </c>
      <c r="E31" s="331">
        <v>11199</v>
      </c>
      <c r="F31" s="331">
        <v>4344</v>
      </c>
      <c r="G31" s="331">
        <v>3153</v>
      </c>
      <c r="H31" s="331">
        <v>53617</v>
      </c>
      <c r="I31" s="330">
        <v>50464</v>
      </c>
      <c r="J31" s="330">
        <v>106</v>
      </c>
      <c r="K31" s="332">
        <v>92.41</v>
      </c>
      <c r="L31" s="332">
        <v>91.3</v>
      </c>
      <c r="M31" s="332">
        <v>7.48</v>
      </c>
      <c r="N31" s="332">
        <v>98.17</v>
      </c>
      <c r="O31" s="333">
        <v>30621</v>
      </c>
      <c r="P31" s="330">
        <v>97.56</v>
      </c>
      <c r="Q31" s="330">
        <v>105.27</v>
      </c>
      <c r="R31" s="330">
        <v>102.14</v>
      </c>
      <c r="S31" s="330">
        <v>198.59</v>
      </c>
      <c r="T31" s="330">
        <v>12621</v>
      </c>
      <c r="U31" s="330">
        <v>115.27</v>
      </c>
      <c r="V31" s="330">
        <v>1604</v>
      </c>
      <c r="W31" s="330">
        <v>180.93</v>
      </c>
      <c r="X31" s="330">
        <v>123</v>
      </c>
      <c r="Y31" s="330">
        <v>77</v>
      </c>
      <c r="Z31" s="330">
        <v>22</v>
      </c>
      <c r="AA31" s="330">
        <v>62</v>
      </c>
      <c r="AB31" s="330">
        <v>45</v>
      </c>
      <c r="AC31" s="330">
        <v>103</v>
      </c>
      <c r="AD31" s="334">
        <v>32692</v>
      </c>
      <c r="AE31" s="334">
        <v>151</v>
      </c>
      <c r="AF31" s="334">
        <v>115</v>
      </c>
      <c r="AG31" s="334">
        <v>266</v>
      </c>
    </row>
    <row r="32" spans="1:33" x14ac:dyDescent="0.25">
      <c r="A32" s="329" t="s">
        <v>122</v>
      </c>
      <c r="B32" s="335" t="s">
        <v>123</v>
      </c>
      <c r="C32" s="331">
        <v>2123</v>
      </c>
      <c r="D32" s="331">
        <v>0</v>
      </c>
      <c r="E32" s="331">
        <v>112</v>
      </c>
      <c r="F32" s="331">
        <v>1376</v>
      </c>
      <c r="G32" s="331">
        <v>380</v>
      </c>
      <c r="H32" s="331">
        <v>3991</v>
      </c>
      <c r="I32" s="330">
        <v>3611</v>
      </c>
      <c r="J32" s="330">
        <v>0</v>
      </c>
      <c r="K32" s="332">
        <v>86.63</v>
      </c>
      <c r="L32" s="332">
        <v>86.17</v>
      </c>
      <c r="M32" s="332">
        <v>4.5</v>
      </c>
      <c r="N32" s="332">
        <v>89.09</v>
      </c>
      <c r="O32" s="333">
        <v>1620</v>
      </c>
      <c r="P32" s="330">
        <v>77.3</v>
      </c>
      <c r="Q32" s="330">
        <v>76.58</v>
      </c>
      <c r="R32" s="330">
        <v>18.77</v>
      </c>
      <c r="S32" s="330">
        <v>95.58</v>
      </c>
      <c r="T32" s="330">
        <v>1482</v>
      </c>
      <c r="U32" s="330">
        <v>109.9</v>
      </c>
      <c r="V32" s="330">
        <v>411</v>
      </c>
      <c r="W32" s="330">
        <v>130.79</v>
      </c>
      <c r="X32" s="330">
        <v>1</v>
      </c>
      <c r="Y32" s="330">
        <v>0</v>
      </c>
      <c r="Z32" s="330">
        <v>9</v>
      </c>
      <c r="AA32" s="330">
        <v>5</v>
      </c>
      <c r="AB32" s="330">
        <v>15</v>
      </c>
      <c r="AC32" s="330">
        <v>9</v>
      </c>
      <c r="AD32" s="334">
        <v>2123</v>
      </c>
      <c r="AE32" s="334">
        <v>6</v>
      </c>
      <c r="AF32" s="334">
        <v>7</v>
      </c>
      <c r="AG32" s="334">
        <v>13</v>
      </c>
    </row>
    <row r="33" spans="1:33" x14ac:dyDescent="0.25">
      <c r="A33" s="329" t="s">
        <v>124</v>
      </c>
      <c r="B33" s="335" t="s">
        <v>125</v>
      </c>
      <c r="C33" s="331">
        <v>10238</v>
      </c>
      <c r="D33" s="331">
        <v>0</v>
      </c>
      <c r="E33" s="331">
        <v>497</v>
      </c>
      <c r="F33" s="331">
        <v>878</v>
      </c>
      <c r="G33" s="331">
        <v>208</v>
      </c>
      <c r="H33" s="331">
        <v>11821</v>
      </c>
      <c r="I33" s="330">
        <v>11613</v>
      </c>
      <c r="J33" s="330">
        <v>2</v>
      </c>
      <c r="K33" s="332">
        <v>77.900000000000006</v>
      </c>
      <c r="L33" s="332">
        <v>74.42</v>
      </c>
      <c r="M33" s="332">
        <v>2.2400000000000002</v>
      </c>
      <c r="N33" s="332">
        <v>79.89</v>
      </c>
      <c r="O33" s="333">
        <v>8886</v>
      </c>
      <c r="P33" s="330">
        <v>88.77</v>
      </c>
      <c r="Q33" s="330">
        <v>71.28</v>
      </c>
      <c r="R33" s="330">
        <v>60.8</v>
      </c>
      <c r="S33" s="330">
        <v>146.34</v>
      </c>
      <c r="T33" s="330">
        <v>1075</v>
      </c>
      <c r="U33" s="330">
        <v>95.31</v>
      </c>
      <c r="V33" s="330">
        <v>1263</v>
      </c>
      <c r="W33" s="330">
        <v>150.74</v>
      </c>
      <c r="X33" s="330">
        <v>210</v>
      </c>
      <c r="Y33" s="330">
        <v>1</v>
      </c>
      <c r="Z33" s="330">
        <v>51</v>
      </c>
      <c r="AA33" s="330">
        <v>2</v>
      </c>
      <c r="AB33" s="330">
        <v>3</v>
      </c>
      <c r="AC33" s="330">
        <v>13</v>
      </c>
      <c r="AD33" s="334">
        <v>10229</v>
      </c>
      <c r="AE33" s="334">
        <v>83</v>
      </c>
      <c r="AF33" s="334">
        <v>28</v>
      </c>
      <c r="AG33" s="334">
        <v>111</v>
      </c>
    </row>
    <row r="34" spans="1:33" x14ac:dyDescent="0.25">
      <c r="A34" s="329" t="s">
        <v>126</v>
      </c>
      <c r="B34" s="335" t="s">
        <v>127</v>
      </c>
      <c r="C34" s="331">
        <v>1682</v>
      </c>
      <c r="D34" s="331">
        <v>0</v>
      </c>
      <c r="E34" s="331">
        <v>450</v>
      </c>
      <c r="F34" s="331">
        <v>199</v>
      </c>
      <c r="G34" s="331">
        <v>131</v>
      </c>
      <c r="H34" s="331">
        <v>2462</v>
      </c>
      <c r="I34" s="330">
        <v>2331</v>
      </c>
      <c r="J34" s="330">
        <v>0</v>
      </c>
      <c r="K34" s="332">
        <v>85.64</v>
      </c>
      <c r="L34" s="332">
        <v>83</v>
      </c>
      <c r="M34" s="332">
        <v>4.37</v>
      </c>
      <c r="N34" s="332">
        <v>89.06</v>
      </c>
      <c r="O34" s="333">
        <v>1200</v>
      </c>
      <c r="P34" s="330">
        <v>108.89</v>
      </c>
      <c r="Q34" s="330">
        <v>82.46</v>
      </c>
      <c r="R34" s="330">
        <v>66.22</v>
      </c>
      <c r="S34" s="330">
        <v>171.55</v>
      </c>
      <c r="T34" s="330">
        <v>595</v>
      </c>
      <c r="U34" s="330">
        <v>103.69</v>
      </c>
      <c r="V34" s="330">
        <v>365</v>
      </c>
      <c r="W34" s="330">
        <v>0</v>
      </c>
      <c r="X34" s="330">
        <v>0</v>
      </c>
      <c r="Y34" s="330">
        <v>67</v>
      </c>
      <c r="Z34" s="330">
        <v>0</v>
      </c>
      <c r="AA34" s="330">
        <v>8</v>
      </c>
      <c r="AB34" s="330">
        <v>0</v>
      </c>
      <c r="AC34" s="330">
        <v>6</v>
      </c>
      <c r="AD34" s="334">
        <v>1625</v>
      </c>
      <c r="AE34" s="334">
        <v>14</v>
      </c>
      <c r="AF34" s="334">
        <v>9</v>
      </c>
      <c r="AG34" s="334">
        <v>23</v>
      </c>
    </row>
    <row r="35" spans="1:33" x14ac:dyDescent="0.25">
      <c r="A35" s="329" t="s">
        <v>128</v>
      </c>
      <c r="B35" s="335" t="s">
        <v>129</v>
      </c>
      <c r="C35" s="331">
        <v>769</v>
      </c>
      <c r="D35" s="331">
        <v>0</v>
      </c>
      <c r="E35" s="331">
        <v>103</v>
      </c>
      <c r="F35" s="331">
        <v>261</v>
      </c>
      <c r="G35" s="331">
        <v>36</v>
      </c>
      <c r="H35" s="331">
        <v>1169</v>
      </c>
      <c r="I35" s="330">
        <v>1133</v>
      </c>
      <c r="J35" s="330">
        <v>0</v>
      </c>
      <c r="K35" s="332">
        <v>88.98</v>
      </c>
      <c r="L35" s="332">
        <v>86.81</v>
      </c>
      <c r="M35" s="332">
        <v>4.08</v>
      </c>
      <c r="N35" s="332">
        <v>91.4</v>
      </c>
      <c r="O35" s="333">
        <v>649</v>
      </c>
      <c r="P35" s="330">
        <v>100.77</v>
      </c>
      <c r="Q35" s="330">
        <v>85.31</v>
      </c>
      <c r="R35" s="330">
        <v>33.08</v>
      </c>
      <c r="S35" s="330">
        <v>132.24</v>
      </c>
      <c r="T35" s="330">
        <v>348</v>
      </c>
      <c r="U35" s="330">
        <v>88.74</v>
      </c>
      <c r="V35" s="330">
        <v>85</v>
      </c>
      <c r="W35" s="330">
        <v>0</v>
      </c>
      <c r="X35" s="330">
        <v>0</v>
      </c>
      <c r="Y35" s="330">
        <v>83</v>
      </c>
      <c r="Z35" s="330">
        <v>0</v>
      </c>
      <c r="AA35" s="330">
        <v>1</v>
      </c>
      <c r="AB35" s="330">
        <v>0</v>
      </c>
      <c r="AC35" s="330">
        <v>0</v>
      </c>
      <c r="AD35" s="334">
        <v>748</v>
      </c>
      <c r="AE35" s="334">
        <v>7</v>
      </c>
      <c r="AF35" s="334">
        <v>2</v>
      </c>
      <c r="AG35" s="334">
        <v>9</v>
      </c>
    </row>
    <row r="36" spans="1:33" x14ac:dyDescent="0.25">
      <c r="A36" s="329" t="s">
        <v>130</v>
      </c>
      <c r="B36" s="335" t="s">
        <v>131</v>
      </c>
      <c r="C36" s="331">
        <v>20848</v>
      </c>
      <c r="D36" s="331">
        <v>1</v>
      </c>
      <c r="E36" s="331">
        <v>875</v>
      </c>
      <c r="F36" s="331">
        <v>3837</v>
      </c>
      <c r="G36" s="331">
        <v>345</v>
      </c>
      <c r="H36" s="331">
        <v>25906</v>
      </c>
      <c r="I36" s="330">
        <v>25561</v>
      </c>
      <c r="J36" s="330">
        <v>45</v>
      </c>
      <c r="K36" s="332">
        <v>77.02</v>
      </c>
      <c r="L36" s="332">
        <v>79</v>
      </c>
      <c r="M36" s="332">
        <v>3.27</v>
      </c>
      <c r="N36" s="332">
        <v>79.98</v>
      </c>
      <c r="O36" s="333">
        <v>17355</v>
      </c>
      <c r="P36" s="330">
        <v>77.13</v>
      </c>
      <c r="Q36" s="330">
        <v>72.02</v>
      </c>
      <c r="R36" s="330">
        <v>35.44</v>
      </c>
      <c r="S36" s="330">
        <v>112.33</v>
      </c>
      <c r="T36" s="330">
        <v>4635</v>
      </c>
      <c r="U36" s="330">
        <v>95.19</v>
      </c>
      <c r="V36" s="330">
        <v>3199</v>
      </c>
      <c r="W36" s="330">
        <v>189.95</v>
      </c>
      <c r="X36" s="330">
        <v>5</v>
      </c>
      <c r="Y36" s="330">
        <v>0</v>
      </c>
      <c r="Z36" s="330">
        <v>166</v>
      </c>
      <c r="AA36" s="330">
        <v>22</v>
      </c>
      <c r="AB36" s="330">
        <v>5</v>
      </c>
      <c r="AC36" s="330">
        <v>17</v>
      </c>
      <c r="AD36" s="334">
        <v>20813</v>
      </c>
      <c r="AE36" s="334">
        <v>106</v>
      </c>
      <c r="AF36" s="334">
        <v>185</v>
      </c>
      <c r="AG36" s="334">
        <v>291</v>
      </c>
    </row>
    <row r="37" spans="1:33" x14ac:dyDescent="0.25">
      <c r="A37" s="329" t="s">
        <v>132</v>
      </c>
      <c r="B37" s="335" t="s">
        <v>133</v>
      </c>
      <c r="C37" s="331">
        <v>4566</v>
      </c>
      <c r="D37" s="331">
        <v>3</v>
      </c>
      <c r="E37" s="331">
        <v>134</v>
      </c>
      <c r="F37" s="331">
        <v>897</v>
      </c>
      <c r="G37" s="331">
        <v>269</v>
      </c>
      <c r="H37" s="331">
        <v>5869</v>
      </c>
      <c r="I37" s="330">
        <v>5600</v>
      </c>
      <c r="J37" s="330">
        <v>0</v>
      </c>
      <c r="K37" s="332">
        <v>79.42</v>
      </c>
      <c r="L37" s="332">
        <v>76.72</v>
      </c>
      <c r="M37" s="332">
        <v>1.87</v>
      </c>
      <c r="N37" s="332">
        <v>81.3</v>
      </c>
      <c r="O37" s="333">
        <v>4063</v>
      </c>
      <c r="P37" s="330">
        <v>76.45</v>
      </c>
      <c r="Q37" s="330">
        <v>72.22</v>
      </c>
      <c r="R37" s="330">
        <v>20.96</v>
      </c>
      <c r="S37" s="330">
        <v>97.41</v>
      </c>
      <c r="T37" s="330">
        <v>1000</v>
      </c>
      <c r="U37" s="330">
        <v>103.39</v>
      </c>
      <c r="V37" s="330">
        <v>364</v>
      </c>
      <c r="W37" s="330">
        <v>302.19</v>
      </c>
      <c r="X37" s="330">
        <v>6</v>
      </c>
      <c r="Y37" s="330">
        <v>0</v>
      </c>
      <c r="Z37" s="330">
        <v>7</v>
      </c>
      <c r="AA37" s="330">
        <v>0</v>
      </c>
      <c r="AB37" s="330">
        <v>41</v>
      </c>
      <c r="AC37" s="330">
        <v>6</v>
      </c>
      <c r="AD37" s="334">
        <v>4530</v>
      </c>
      <c r="AE37" s="334">
        <v>13</v>
      </c>
      <c r="AF37" s="334">
        <v>41</v>
      </c>
      <c r="AG37" s="334">
        <v>54</v>
      </c>
    </row>
    <row r="38" spans="1:33" x14ac:dyDescent="0.25">
      <c r="A38" s="329" t="s">
        <v>134</v>
      </c>
      <c r="B38" s="335" t="s">
        <v>135</v>
      </c>
      <c r="C38" s="330">
        <v>6809</v>
      </c>
      <c r="D38" s="330">
        <v>19</v>
      </c>
      <c r="E38" s="330">
        <v>1312</v>
      </c>
      <c r="F38" s="330">
        <v>1016</v>
      </c>
      <c r="G38" s="330">
        <v>934</v>
      </c>
      <c r="H38" s="330">
        <v>10090</v>
      </c>
      <c r="I38" s="330">
        <v>9156</v>
      </c>
      <c r="J38" s="330">
        <v>13</v>
      </c>
      <c r="K38" s="330">
        <v>103.55</v>
      </c>
      <c r="L38" s="330">
        <v>102.35</v>
      </c>
      <c r="M38" s="330">
        <v>5.37</v>
      </c>
      <c r="N38" s="330">
        <v>107.41</v>
      </c>
      <c r="O38" s="333">
        <v>5847</v>
      </c>
      <c r="P38" s="330">
        <v>96.6</v>
      </c>
      <c r="Q38" s="330">
        <v>83.68</v>
      </c>
      <c r="R38" s="330">
        <v>40.97</v>
      </c>
      <c r="S38" s="330">
        <v>136.02000000000001</v>
      </c>
      <c r="T38" s="330">
        <v>1671</v>
      </c>
      <c r="U38" s="330">
        <v>140.80000000000001</v>
      </c>
      <c r="V38" s="330">
        <v>526</v>
      </c>
      <c r="W38" s="330">
        <v>344.67</v>
      </c>
      <c r="X38" s="330">
        <v>50</v>
      </c>
      <c r="Y38" s="330">
        <v>1</v>
      </c>
      <c r="Z38" s="330">
        <v>1</v>
      </c>
      <c r="AA38" s="330">
        <v>3</v>
      </c>
      <c r="AB38" s="330">
        <v>5</v>
      </c>
      <c r="AC38" s="330">
        <v>17</v>
      </c>
      <c r="AD38" s="330">
        <v>6365</v>
      </c>
      <c r="AE38" s="330">
        <v>12</v>
      </c>
      <c r="AF38" s="330">
        <v>12</v>
      </c>
      <c r="AG38" s="330">
        <v>24</v>
      </c>
    </row>
    <row r="39" spans="1:33" x14ac:dyDescent="0.25">
      <c r="A39" s="329" t="s">
        <v>136</v>
      </c>
      <c r="B39" s="335" t="s">
        <v>137</v>
      </c>
      <c r="C39" s="331">
        <v>7316</v>
      </c>
      <c r="D39" s="331">
        <v>3</v>
      </c>
      <c r="E39" s="331">
        <v>248</v>
      </c>
      <c r="F39" s="331">
        <v>509</v>
      </c>
      <c r="G39" s="331">
        <v>655</v>
      </c>
      <c r="H39" s="331">
        <v>8731</v>
      </c>
      <c r="I39" s="330">
        <v>8076</v>
      </c>
      <c r="J39" s="330">
        <v>0</v>
      </c>
      <c r="K39" s="332">
        <v>108.58</v>
      </c>
      <c r="L39" s="332">
        <v>108.78</v>
      </c>
      <c r="M39" s="332">
        <v>7.52</v>
      </c>
      <c r="N39" s="332">
        <v>111.08</v>
      </c>
      <c r="O39" s="333">
        <v>6752</v>
      </c>
      <c r="P39" s="330">
        <v>99.1</v>
      </c>
      <c r="Q39" s="330">
        <v>96.06</v>
      </c>
      <c r="R39" s="330">
        <v>36.909999999999997</v>
      </c>
      <c r="S39" s="330">
        <v>133.63</v>
      </c>
      <c r="T39" s="330">
        <v>745</v>
      </c>
      <c r="U39" s="330">
        <v>157.22</v>
      </c>
      <c r="V39" s="330">
        <v>487</v>
      </c>
      <c r="W39" s="330">
        <v>0</v>
      </c>
      <c r="X39" s="330">
        <v>0</v>
      </c>
      <c r="Y39" s="330">
        <v>0</v>
      </c>
      <c r="Z39" s="330">
        <v>15</v>
      </c>
      <c r="AA39" s="330">
        <v>3</v>
      </c>
      <c r="AB39" s="330">
        <v>24</v>
      </c>
      <c r="AC39" s="330">
        <v>7</v>
      </c>
      <c r="AD39" s="334">
        <v>7288</v>
      </c>
      <c r="AE39" s="334">
        <v>46</v>
      </c>
      <c r="AF39" s="334">
        <v>122</v>
      </c>
      <c r="AG39" s="334">
        <v>168</v>
      </c>
    </row>
    <row r="40" spans="1:33" x14ac:dyDescent="0.25">
      <c r="A40" s="329" t="s">
        <v>138</v>
      </c>
      <c r="B40" s="335" t="s">
        <v>139</v>
      </c>
      <c r="C40" s="331">
        <v>27560</v>
      </c>
      <c r="D40" s="331">
        <v>132</v>
      </c>
      <c r="E40" s="331">
        <v>1361</v>
      </c>
      <c r="F40" s="331">
        <v>2802</v>
      </c>
      <c r="G40" s="331">
        <v>668</v>
      </c>
      <c r="H40" s="331">
        <v>32523</v>
      </c>
      <c r="I40" s="330">
        <v>31855</v>
      </c>
      <c r="J40" s="330">
        <v>102</v>
      </c>
      <c r="K40" s="332">
        <v>78.28</v>
      </c>
      <c r="L40" s="332">
        <v>82.41</v>
      </c>
      <c r="M40" s="332">
        <v>6.07</v>
      </c>
      <c r="N40" s="332">
        <v>83.92</v>
      </c>
      <c r="O40" s="333">
        <v>24676</v>
      </c>
      <c r="P40" s="330">
        <v>84.81</v>
      </c>
      <c r="Q40" s="330">
        <v>78.069999999999993</v>
      </c>
      <c r="R40" s="330">
        <v>35.71</v>
      </c>
      <c r="S40" s="330">
        <v>120.11</v>
      </c>
      <c r="T40" s="330">
        <v>3488</v>
      </c>
      <c r="U40" s="330">
        <v>103.55</v>
      </c>
      <c r="V40" s="330">
        <v>2926</v>
      </c>
      <c r="W40" s="330">
        <v>140.32</v>
      </c>
      <c r="X40" s="330">
        <v>83</v>
      </c>
      <c r="Y40" s="330">
        <v>194</v>
      </c>
      <c r="Z40" s="330">
        <v>92</v>
      </c>
      <c r="AA40" s="330">
        <v>59</v>
      </c>
      <c r="AB40" s="330">
        <v>6</v>
      </c>
      <c r="AC40" s="330">
        <v>16</v>
      </c>
      <c r="AD40" s="334">
        <v>27544</v>
      </c>
      <c r="AE40" s="334">
        <v>206</v>
      </c>
      <c r="AF40" s="334">
        <v>655</v>
      </c>
      <c r="AG40" s="334">
        <v>861</v>
      </c>
    </row>
    <row r="41" spans="1:33" x14ac:dyDescent="0.25">
      <c r="A41" s="329" t="s">
        <v>140</v>
      </c>
      <c r="B41" s="335" t="s">
        <v>141</v>
      </c>
      <c r="C41" s="331">
        <v>9594</v>
      </c>
      <c r="D41" s="331">
        <v>29</v>
      </c>
      <c r="E41" s="331">
        <v>315</v>
      </c>
      <c r="F41" s="331">
        <v>701</v>
      </c>
      <c r="G41" s="331">
        <v>287</v>
      </c>
      <c r="H41" s="331">
        <v>10926</v>
      </c>
      <c r="I41" s="330">
        <v>10639</v>
      </c>
      <c r="J41" s="330">
        <v>5</v>
      </c>
      <c r="K41" s="332">
        <v>95.88</v>
      </c>
      <c r="L41" s="332">
        <v>96.05</v>
      </c>
      <c r="M41" s="332">
        <v>3.71</v>
      </c>
      <c r="N41" s="332">
        <v>96.89</v>
      </c>
      <c r="O41" s="333">
        <v>8773</v>
      </c>
      <c r="P41" s="330">
        <v>89.22</v>
      </c>
      <c r="Q41" s="330">
        <v>81.55</v>
      </c>
      <c r="R41" s="330">
        <v>39.869999999999997</v>
      </c>
      <c r="S41" s="330">
        <v>127.87</v>
      </c>
      <c r="T41" s="330">
        <v>846</v>
      </c>
      <c r="U41" s="330">
        <v>133.43</v>
      </c>
      <c r="V41" s="330">
        <v>748</v>
      </c>
      <c r="W41" s="330">
        <v>136.02000000000001</v>
      </c>
      <c r="X41" s="330">
        <v>25</v>
      </c>
      <c r="Y41" s="330">
        <v>34</v>
      </c>
      <c r="Z41" s="330">
        <v>28</v>
      </c>
      <c r="AA41" s="330">
        <v>3</v>
      </c>
      <c r="AB41" s="330">
        <v>29</v>
      </c>
      <c r="AC41" s="330">
        <v>5</v>
      </c>
      <c r="AD41" s="334">
        <v>9576</v>
      </c>
      <c r="AE41" s="334">
        <v>6</v>
      </c>
      <c r="AF41" s="334">
        <v>29</v>
      </c>
      <c r="AG41" s="334">
        <v>35</v>
      </c>
    </row>
    <row r="42" spans="1:33" x14ac:dyDescent="0.25">
      <c r="A42" s="329" t="s">
        <v>142</v>
      </c>
      <c r="B42" s="335" t="s">
        <v>143</v>
      </c>
      <c r="C42" s="331">
        <v>7329</v>
      </c>
      <c r="D42" s="331">
        <v>0</v>
      </c>
      <c r="E42" s="331">
        <v>194</v>
      </c>
      <c r="F42" s="331">
        <v>973</v>
      </c>
      <c r="G42" s="331">
        <v>505</v>
      </c>
      <c r="H42" s="331">
        <v>9001</v>
      </c>
      <c r="I42" s="330">
        <v>8496</v>
      </c>
      <c r="J42" s="330">
        <v>0</v>
      </c>
      <c r="K42" s="332">
        <v>88.33</v>
      </c>
      <c r="L42" s="332">
        <v>88.46</v>
      </c>
      <c r="M42" s="332">
        <v>2.97</v>
      </c>
      <c r="N42" s="332">
        <v>89.11</v>
      </c>
      <c r="O42" s="333">
        <v>6725</v>
      </c>
      <c r="P42" s="330">
        <v>80.87</v>
      </c>
      <c r="Q42" s="330">
        <v>78.099999999999994</v>
      </c>
      <c r="R42" s="330">
        <v>24.06</v>
      </c>
      <c r="S42" s="330">
        <v>104.42</v>
      </c>
      <c r="T42" s="330">
        <v>1136</v>
      </c>
      <c r="U42" s="330">
        <v>110.95</v>
      </c>
      <c r="V42" s="330">
        <v>586</v>
      </c>
      <c r="W42" s="330">
        <v>0</v>
      </c>
      <c r="X42" s="330">
        <v>0</v>
      </c>
      <c r="Y42" s="330">
        <v>0</v>
      </c>
      <c r="Z42" s="330">
        <v>7</v>
      </c>
      <c r="AA42" s="330">
        <v>9</v>
      </c>
      <c r="AB42" s="330">
        <v>24</v>
      </c>
      <c r="AC42" s="330">
        <v>24</v>
      </c>
      <c r="AD42" s="334">
        <v>7320</v>
      </c>
      <c r="AE42" s="334">
        <v>22</v>
      </c>
      <c r="AF42" s="334">
        <v>34</v>
      </c>
      <c r="AG42" s="334">
        <v>56</v>
      </c>
    </row>
    <row r="43" spans="1:33" x14ac:dyDescent="0.25">
      <c r="A43" s="329" t="s">
        <v>144</v>
      </c>
      <c r="B43" s="335" t="s">
        <v>145</v>
      </c>
      <c r="C43" s="331">
        <v>15789</v>
      </c>
      <c r="D43" s="331">
        <v>676</v>
      </c>
      <c r="E43" s="331">
        <v>1050</v>
      </c>
      <c r="F43" s="331">
        <v>1070</v>
      </c>
      <c r="G43" s="331">
        <v>1802</v>
      </c>
      <c r="H43" s="331">
        <v>20387</v>
      </c>
      <c r="I43" s="330">
        <v>18585</v>
      </c>
      <c r="J43" s="330">
        <v>247</v>
      </c>
      <c r="K43" s="332">
        <v>133.66</v>
      </c>
      <c r="L43" s="332">
        <v>128.69999999999999</v>
      </c>
      <c r="M43" s="332">
        <v>10.15</v>
      </c>
      <c r="N43" s="332">
        <v>140.80000000000001</v>
      </c>
      <c r="O43" s="333">
        <v>13125</v>
      </c>
      <c r="P43" s="330">
        <v>115.19</v>
      </c>
      <c r="Q43" s="330">
        <v>100.18</v>
      </c>
      <c r="R43" s="330">
        <v>60.6</v>
      </c>
      <c r="S43" s="330">
        <v>161.21</v>
      </c>
      <c r="T43" s="330">
        <v>1792</v>
      </c>
      <c r="U43" s="330">
        <v>205.55</v>
      </c>
      <c r="V43" s="330">
        <v>1487</v>
      </c>
      <c r="W43" s="330">
        <v>198.1</v>
      </c>
      <c r="X43" s="330">
        <v>139</v>
      </c>
      <c r="Y43" s="330">
        <v>0</v>
      </c>
      <c r="Z43" s="330">
        <v>3</v>
      </c>
      <c r="AA43" s="330">
        <v>2</v>
      </c>
      <c r="AB43" s="330">
        <v>79</v>
      </c>
      <c r="AC43" s="330">
        <v>60</v>
      </c>
      <c r="AD43" s="334">
        <v>15004</v>
      </c>
      <c r="AE43" s="334">
        <v>76</v>
      </c>
      <c r="AF43" s="334">
        <v>56</v>
      </c>
      <c r="AG43" s="334">
        <v>132</v>
      </c>
    </row>
    <row r="44" spans="1:33" x14ac:dyDescent="0.25">
      <c r="A44" s="329" t="s">
        <v>146</v>
      </c>
      <c r="B44" s="335" t="s">
        <v>147</v>
      </c>
      <c r="C44" s="331">
        <v>774</v>
      </c>
      <c r="D44" s="331">
        <v>7</v>
      </c>
      <c r="E44" s="331">
        <v>74</v>
      </c>
      <c r="F44" s="331">
        <v>163</v>
      </c>
      <c r="G44" s="331">
        <v>185</v>
      </c>
      <c r="H44" s="331">
        <v>1203</v>
      </c>
      <c r="I44" s="330">
        <v>1018</v>
      </c>
      <c r="J44" s="330">
        <v>2</v>
      </c>
      <c r="K44" s="332">
        <v>117.1</v>
      </c>
      <c r="L44" s="332">
        <v>115.7</v>
      </c>
      <c r="M44" s="332">
        <v>7.02</v>
      </c>
      <c r="N44" s="332">
        <v>123.61</v>
      </c>
      <c r="O44" s="333">
        <v>510</v>
      </c>
      <c r="P44" s="330">
        <v>98.89</v>
      </c>
      <c r="Q44" s="330">
        <v>96.73</v>
      </c>
      <c r="R44" s="330">
        <v>46.23</v>
      </c>
      <c r="S44" s="330">
        <v>140.04</v>
      </c>
      <c r="T44" s="330">
        <v>237</v>
      </c>
      <c r="U44" s="330">
        <v>142.44999999999999</v>
      </c>
      <c r="V44" s="330">
        <v>109</v>
      </c>
      <c r="W44" s="330">
        <v>0</v>
      </c>
      <c r="X44" s="330">
        <v>0</v>
      </c>
      <c r="Y44" s="330">
        <v>0</v>
      </c>
      <c r="Z44" s="330">
        <v>1</v>
      </c>
      <c r="AA44" s="330">
        <v>0</v>
      </c>
      <c r="AB44" s="330">
        <v>17</v>
      </c>
      <c r="AC44" s="330">
        <v>3</v>
      </c>
      <c r="AD44" s="334">
        <v>619</v>
      </c>
      <c r="AE44" s="334">
        <v>4</v>
      </c>
      <c r="AF44" s="334">
        <v>2</v>
      </c>
      <c r="AG44" s="334">
        <v>6</v>
      </c>
    </row>
    <row r="45" spans="1:33" x14ac:dyDescent="0.25">
      <c r="A45" s="329" t="s">
        <v>148</v>
      </c>
      <c r="B45" s="335" t="s">
        <v>149</v>
      </c>
      <c r="C45" s="331">
        <v>4725</v>
      </c>
      <c r="D45" s="331">
        <v>15</v>
      </c>
      <c r="E45" s="331">
        <v>1078</v>
      </c>
      <c r="F45" s="331">
        <v>878</v>
      </c>
      <c r="G45" s="331">
        <v>816</v>
      </c>
      <c r="H45" s="331">
        <v>7512</v>
      </c>
      <c r="I45" s="330">
        <v>6696</v>
      </c>
      <c r="J45" s="330">
        <v>49</v>
      </c>
      <c r="K45" s="332">
        <v>94.51</v>
      </c>
      <c r="L45" s="332">
        <v>93.09</v>
      </c>
      <c r="M45" s="332">
        <v>10.29</v>
      </c>
      <c r="N45" s="332">
        <v>103.11</v>
      </c>
      <c r="O45" s="333">
        <v>3988</v>
      </c>
      <c r="P45" s="330">
        <v>94.79</v>
      </c>
      <c r="Q45" s="330">
        <v>83.81</v>
      </c>
      <c r="R45" s="330">
        <v>62.65</v>
      </c>
      <c r="S45" s="330">
        <v>152.26</v>
      </c>
      <c r="T45" s="330">
        <v>1089</v>
      </c>
      <c r="U45" s="330">
        <v>160.04</v>
      </c>
      <c r="V45" s="330">
        <v>437</v>
      </c>
      <c r="W45" s="330">
        <v>140.27000000000001</v>
      </c>
      <c r="X45" s="330">
        <v>25</v>
      </c>
      <c r="Y45" s="330">
        <v>15</v>
      </c>
      <c r="Z45" s="330">
        <v>21</v>
      </c>
      <c r="AA45" s="330">
        <v>10</v>
      </c>
      <c r="AB45" s="330">
        <v>28</v>
      </c>
      <c r="AC45" s="330">
        <v>24</v>
      </c>
      <c r="AD45" s="334">
        <v>4467</v>
      </c>
      <c r="AE45" s="334">
        <v>24</v>
      </c>
      <c r="AF45" s="334">
        <v>15</v>
      </c>
      <c r="AG45" s="334">
        <v>39</v>
      </c>
    </row>
    <row r="46" spans="1:33" x14ac:dyDescent="0.25">
      <c r="A46" s="329" t="s">
        <v>150</v>
      </c>
      <c r="B46" s="335" t="s">
        <v>151</v>
      </c>
      <c r="C46" s="331">
        <v>9222</v>
      </c>
      <c r="D46" s="331">
        <v>40</v>
      </c>
      <c r="E46" s="331">
        <v>2613</v>
      </c>
      <c r="F46" s="331">
        <v>1004</v>
      </c>
      <c r="G46" s="331">
        <v>1239</v>
      </c>
      <c r="H46" s="331">
        <v>14118</v>
      </c>
      <c r="I46" s="330">
        <v>12879</v>
      </c>
      <c r="J46" s="330">
        <v>8</v>
      </c>
      <c r="K46" s="332">
        <v>96.7</v>
      </c>
      <c r="L46" s="332">
        <v>95.48</v>
      </c>
      <c r="M46" s="332">
        <v>9.32</v>
      </c>
      <c r="N46" s="332">
        <v>103.34</v>
      </c>
      <c r="O46" s="333">
        <v>7570</v>
      </c>
      <c r="P46" s="330">
        <v>89.58</v>
      </c>
      <c r="Q46" s="330">
        <v>86.32</v>
      </c>
      <c r="R46" s="330">
        <v>37.47</v>
      </c>
      <c r="S46" s="330">
        <v>125.7</v>
      </c>
      <c r="T46" s="330">
        <v>2970</v>
      </c>
      <c r="U46" s="330">
        <v>129.97</v>
      </c>
      <c r="V46" s="330">
        <v>1101</v>
      </c>
      <c r="W46" s="330">
        <v>128.91999999999999</v>
      </c>
      <c r="X46" s="330">
        <v>10</v>
      </c>
      <c r="Y46" s="330">
        <v>0</v>
      </c>
      <c r="Z46" s="330">
        <v>1</v>
      </c>
      <c r="AA46" s="330">
        <v>9</v>
      </c>
      <c r="AB46" s="330">
        <v>53</v>
      </c>
      <c r="AC46" s="330">
        <v>38</v>
      </c>
      <c r="AD46" s="334">
        <v>8869</v>
      </c>
      <c r="AE46" s="334">
        <v>40</v>
      </c>
      <c r="AF46" s="334">
        <v>25</v>
      </c>
      <c r="AG46" s="334">
        <v>65</v>
      </c>
    </row>
    <row r="47" spans="1:33" x14ac:dyDescent="0.25">
      <c r="A47" s="329" t="s">
        <v>152</v>
      </c>
      <c r="B47" s="335" t="s">
        <v>153</v>
      </c>
      <c r="C47" s="331">
        <v>4764</v>
      </c>
      <c r="D47" s="331">
        <v>0</v>
      </c>
      <c r="E47" s="331">
        <v>165</v>
      </c>
      <c r="F47" s="331">
        <v>551</v>
      </c>
      <c r="G47" s="331">
        <v>350</v>
      </c>
      <c r="H47" s="331">
        <v>5830</v>
      </c>
      <c r="I47" s="330">
        <v>5480</v>
      </c>
      <c r="J47" s="330">
        <v>1</v>
      </c>
      <c r="K47" s="332">
        <v>91.92</v>
      </c>
      <c r="L47" s="332">
        <v>88.71</v>
      </c>
      <c r="M47" s="332">
        <v>2.42</v>
      </c>
      <c r="N47" s="332">
        <v>92.98</v>
      </c>
      <c r="O47" s="333">
        <v>3700</v>
      </c>
      <c r="P47" s="330">
        <v>90.75</v>
      </c>
      <c r="Q47" s="330">
        <v>82.24</v>
      </c>
      <c r="R47" s="330">
        <v>28.5</v>
      </c>
      <c r="S47" s="330">
        <v>118.97</v>
      </c>
      <c r="T47" s="330">
        <v>714</v>
      </c>
      <c r="U47" s="330">
        <v>108.87</v>
      </c>
      <c r="V47" s="330">
        <v>980</v>
      </c>
      <c r="W47" s="330">
        <v>0</v>
      </c>
      <c r="X47" s="330">
        <v>0</v>
      </c>
      <c r="Y47" s="330">
        <v>0</v>
      </c>
      <c r="Z47" s="330">
        <v>4</v>
      </c>
      <c r="AA47" s="330">
        <v>4</v>
      </c>
      <c r="AB47" s="330">
        <v>16</v>
      </c>
      <c r="AC47" s="330">
        <v>8</v>
      </c>
      <c r="AD47" s="334">
        <v>4733</v>
      </c>
      <c r="AE47" s="334">
        <v>24</v>
      </c>
      <c r="AF47" s="334">
        <v>8</v>
      </c>
      <c r="AG47" s="334">
        <v>32</v>
      </c>
    </row>
    <row r="48" spans="1:33" x14ac:dyDescent="0.25">
      <c r="A48" s="329" t="s">
        <v>154</v>
      </c>
      <c r="B48" s="335" t="s">
        <v>155</v>
      </c>
      <c r="C48" s="331">
        <v>16322</v>
      </c>
      <c r="D48" s="331">
        <v>110</v>
      </c>
      <c r="E48" s="331">
        <v>600</v>
      </c>
      <c r="F48" s="331">
        <v>2041</v>
      </c>
      <c r="G48" s="331">
        <v>1043</v>
      </c>
      <c r="H48" s="331">
        <v>20116</v>
      </c>
      <c r="I48" s="330">
        <v>19073</v>
      </c>
      <c r="J48" s="330">
        <v>57</v>
      </c>
      <c r="K48" s="332">
        <v>115.86</v>
      </c>
      <c r="L48" s="332">
        <v>114.34</v>
      </c>
      <c r="M48" s="332">
        <v>9.6999999999999993</v>
      </c>
      <c r="N48" s="332">
        <v>121.63</v>
      </c>
      <c r="O48" s="333">
        <v>13591</v>
      </c>
      <c r="P48" s="330">
        <v>107.81</v>
      </c>
      <c r="Q48" s="330">
        <v>103.52</v>
      </c>
      <c r="R48" s="330">
        <v>41.18</v>
      </c>
      <c r="S48" s="330">
        <v>147.12</v>
      </c>
      <c r="T48" s="330">
        <v>2153</v>
      </c>
      <c r="U48" s="330">
        <v>171.58</v>
      </c>
      <c r="V48" s="330">
        <v>1746</v>
      </c>
      <c r="W48" s="330">
        <v>0</v>
      </c>
      <c r="X48" s="330">
        <v>0</v>
      </c>
      <c r="Y48" s="330">
        <v>0</v>
      </c>
      <c r="Z48" s="330">
        <v>2</v>
      </c>
      <c r="AA48" s="330">
        <v>10</v>
      </c>
      <c r="AB48" s="330">
        <v>66</v>
      </c>
      <c r="AC48" s="330">
        <v>19</v>
      </c>
      <c r="AD48" s="334">
        <v>15527</v>
      </c>
      <c r="AE48" s="334">
        <v>178</v>
      </c>
      <c r="AF48" s="334">
        <v>137</v>
      </c>
      <c r="AG48" s="334">
        <v>315</v>
      </c>
    </row>
    <row r="49" spans="1:33" x14ac:dyDescent="0.25">
      <c r="A49" s="329" t="s">
        <v>156</v>
      </c>
      <c r="B49" s="335" t="s">
        <v>157</v>
      </c>
      <c r="C49" s="331">
        <v>3394</v>
      </c>
      <c r="D49" s="331">
        <v>0</v>
      </c>
      <c r="E49" s="331">
        <v>83</v>
      </c>
      <c r="F49" s="331">
        <v>995</v>
      </c>
      <c r="G49" s="331">
        <v>427</v>
      </c>
      <c r="H49" s="331">
        <v>4899</v>
      </c>
      <c r="I49" s="330">
        <v>4472</v>
      </c>
      <c r="J49" s="330">
        <v>0</v>
      </c>
      <c r="K49" s="332">
        <v>91.2</v>
      </c>
      <c r="L49" s="332">
        <v>90.72</v>
      </c>
      <c r="M49" s="332">
        <v>4.5199999999999996</v>
      </c>
      <c r="N49" s="332">
        <v>93.9</v>
      </c>
      <c r="O49" s="333">
        <v>3022</v>
      </c>
      <c r="P49" s="330">
        <v>83.32</v>
      </c>
      <c r="Q49" s="330">
        <v>84.51</v>
      </c>
      <c r="R49" s="330">
        <v>24.94</v>
      </c>
      <c r="S49" s="330">
        <v>108.19</v>
      </c>
      <c r="T49" s="330">
        <v>1036</v>
      </c>
      <c r="U49" s="330">
        <v>114.15</v>
      </c>
      <c r="V49" s="330">
        <v>326</v>
      </c>
      <c r="W49" s="330">
        <v>0</v>
      </c>
      <c r="X49" s="330">
        <v>0</v>
      </c>
      <c r="Y49" s="330">
        <v>0</v>
      </c>
      <c r="Z49" s="330">
        <v>10</v>
      </c>
      <c r="AA49" s="330">
        <v>4</v>
      </c>
      <c r="AB49" s="330">
        <v>59</v>
      </c>
      <c r="AC49" s="330">
        <v>15</v>
      </c>
      <c r="AD49" s="334">
        <v>3394</v>
      </c>
      <c r="AE49" s="334">
        <v>24</v>
      </c>
      <c r="AF49" s="334">
        <v>4</v>
      </c>
      <c r="AG49" s="334">
        <v>28</v>
      </c>
    </row>
    <row r="50" spans="1:33" x14ac:dyDescent="0.25">
      <c r="A50" s="329" t="s">
        <v>158</v>
      </c>
      <c r="B50" s="335" t="s">
        <v>159</v>
      </c>
      <c r="C50" s="331">
        <v>4802</v>
      </c>
      <c r="D50" s="331">
        <v>0</v>
      </c>
      <c r="E50" s="331">
        <v>137</v>
      </c>
      <c r="F50" s="331">
        <v>383</v>
      </c>
      <c r="G50" s="331">
        <v>369</v>
      </c>
      <c r="H50" s="331">
        <v>5691</v>
      </c>
      <c r="I50" s="330">
        <v>5322</v>
      </c>
      <c r="J50" s="330">
        <v>5</v>
      </c>
      <c r="K50" s="332">
        <v>112.96</v>
      </c>
      <c r="L50" s="332">
        <v>109.86</v>
      </c>
      <c r="M50" s="332">
        <v>6.59</v>
      </c>
      <c r="N50" s="332">
        <v>116.89</v>
      </c>
      <c r="O50" s="333">
        <v>3988</v>
      </c>
      <c r="P50" s="330">
        <v>98.63</v>
      </c>
      <c r="Q50" s="330">
        <v>93.37</v>
      </c>
      <c r="R50" s="330">
        <v>34.99</v>
      </c>
      <c r="S50" s="330">
        <v>132.65</v>
      </c>
      <c r="T50" s="330">
        <v>504</v>
      </c>
      <c r="U50" s="330">
        <v>167</v>
      </c>
      <c r="V50" s="330">
        <v>796</v>
      </c>
      <c r="W50" s="330">
        <v>0</v>
      </c>
      <c r="X50" s="330">
        <v>0</v>
      </c>
      <c r="Y50" s="330">
        <v>0</v>
      </c>
      <c r="Z50" s="330">
        <v>16</v>
      </c>
      <c r="AA50" s="330">
        <v>2</v>
      </c>
      <c r="AB50" s="330">
        <v>3</v>
      </c>
      <c r="AC50" s="330">
        <v>6</v>
      </c>
      <c r="AD50" s="334">
        <v>4802</v>
      </c>
      <c r="AE50" s="334">
        <v>22</v>
      </c>
      <c r="AF50" s="334">
        <v>60</v>
      </c>
      <c r="AG50" s="334">
        <v>82</v>
      </c>
    </row>
    <row r="51" spans="1:33" x14ac:dyDescent="0.25">
      <c r="A51" s="329" t="s">
        <v>160</v>
      </c>
      <c r="B51" s="335" t="s">
        <v>161</v>
      </c>
      <c r="C51" s="331">
        <v>1091</v>
      </c>
      <c r="D51" s="331">
        <v>0</v>
      </c>
      <c r="E51" s="331">
        <v>109</v>
      </c>
      <c r="F51" s="331">
        <v>108</v>
      </c>
      <c r="G51" s="331">
        <v>112</v>
      </c>
      <c r="H51" s="331">
        <v>1420</v>
      </c>
      <c r="I51" s="330">
        <v>1308</v>
      </c>
      <c r="J51" s="330">
        <v>1</v>
      </c>
      <c r="K51" s="332">
        <v>80.17</v>
      </c>
      <c r="L51" s="332">
        <v>78.59</v>
      </c>
      <c r="M51" s="332">
        <v>7.42</v>
      </c>
      <c r="N51" s="332">
        <v>86.26</v>
      </c>
      <c r="O51" s="333">
        <v>919</v>
      </c>
      <c r="P51" s="330">
        <v>98</v>
      </c>
      <c r="Q51" s="330">
        <v>77.08</v>
      </c>
      <c r="R51" s="330">
        <v>57.48</v>
      </c>
      <c r="S51" s="330">
        <v>155.18</v>
      </c>
      <c r="T51" s="330">
        <v>190</v>
      </c>
      <c r="U51" s="330">
        <v>95.44</v>
      </c>
      <c r="V51" s="330">
        <v>159</v>
      </c>
      <c r="W51" s="330">
        <v>196.19</v>
      </c>
      <c r="X51" s="330">
        <v>27</v>
      </c>
      <c r="Y51" s="330">
        <v>0</v>
      </c>
      <c r="Z51" s="330">
        <v>0</v>
      </c>
      <c r="AA51" s="330">
        <v>3</v>
      </c>
      <c r="AB51" s="330">
        <v>0</v>
      </c>
      <c r="AC51" s="330">
        <v>4</v>
      </c>
      <c r="AD51" s="334">
        <v>1091</v>
      </c>
      <c r="AE51" s="334">
        <v>3</v>
      </c>
      <c r="AF51" s="334">
        <v>2</v>
      </c>
      <c r="AG51" s="334">
        <v>5</v>
      </c>
    </row>
    <row r="52" spans="1:33" ht="14.5" x14ac:dyDescent="0.35">
      <c r="A52" s="336" t="s">
        <v>775</v>
      </c>
      <c r="B52" s="336" t="s">
        <v>770</v>
      </c>
      <c r="C52" s="330">
        <v>24732</v>
      </c>
      <c r="D52" s="330">
        <v>68</v>
      </c>
      <c r="E52" s="330">
        <v>953</v>
      </c>
      <c r="F52" s="330">
        <v>3375</v>
      </c>
      <c r="G52" s="330">
        <v>2266</v>
      </c>
      <c r="H52" s="330">
        <v>31394</v>
      </c>
      <c r="I52" s="330">
        <v>29128</v>
      </c>
      <c r="J52" s="330">
        <v>45</v>
      </c>
      <c r="K52" s="337">
        <v>109.81</v>
      </c>
      <c r="L52" s="337">
        <v>109.77</v>
      </c>
      <c r="M52" s="337">
        <v>5.0599999999999996</v>
      </c>
      <c r="N52" s="337">
        <v>113.12</v>
      </c>
      <c r="O52" s="330">
        <v>21258</v>
      </c>
      <c r="P52" s="337">
        <v>102.78</v>
      </c>
      <c r="Q52" s="337">
        <v>98.5</v>
      </c>
      <c r="R52" s="337">
        <v>28.79</v>
      </c>
      <c r="S52" s="337">
        <v>128.24</v>
      </c>
      <c r="T52" s="330">
        <v>3916</v>
      </c>
      <c r="U52" s="337">
        <v>158.05000000000001</v>
      </c>
      <c r="V52" s="330">
        <v>3057</v>
      </c>
      <c r="W52" s="337">
        <v>105.86</v>
      </c>
      <c r="X52" s="330">
        <v>45</v>
      </c>
      <c r="Y52" s="330">
        <v>12</v>
      </c>
      <c r="Z52" s="330">
        <v>37</v>
      </c>
      <c r="AA52" s="330">
        <v>2</v>
      </c>
      <c r="AB52" s="330">
        <v>160</v>
      </c>
      <c r="AC52" s="330">
        <v>42</v>
      </c>
      <c r="AD52" s="330">
        <v>24370</v>
      </c>
      <c r="AE52" s="330">
        <v>59</v>
      </c>
      <c r="AF52" s="330">
        <v>195</v>
      </c>
      <c r="AG52" s="330">
        <v>254</v>
      </c>
    </row>
    <row r="53" spans="1:33" x14ac:dyDescent="0.25">
      <c r="A53" s="329" t="s">
        <v>162</v>
      </c>
      <c r="B53" s="335" t="s">
        <v>163</v>
      </c>
      <c r="C53" s="331">
        <v>4351</v>
      </c>
      <c r="D53" s="331">
        <v>0</v>
      </c>
      <c r="E53" s="331">
        <v>345</v>
      </c>
      <c r="F53" s="331">
        <v>1434</v>
      </c>
      <c r="G53" s="331">
        <v>22</v>
      </c>
      <c r="H53" s="331">
        <v>6152</v>
      </c>
      <c r="I53" s="330">
        <v>6130</v>
      </c>
      <c r="J53" s="330">
        <v>6</v>
      </c>
      <c r="K53" s="332">
        <v>80.010000000000005</v>
      </c>
      <c r="L53" s="332">
        <v>76.739999999999995</v>
      </c>
      <c r="M53" s="332">
        <v>2.52</v>
      </c>
      <c r="N53" s="332">
        <v>82.31</v>
      </c>
      <c r="O53" s="333">
        <v>3873</v>
      </c>
      <c r="P53" s="330">
        <v>80.42</v>
      </c>
      <c r="Q53" s="330">
        <v>69.37</v>
      </c>
      <c r="R53" s="330">
        <v>23.42</v>
      </c>
      <c r="S53" s="330">
        <v>103.35</v>
      </c>
      <c r="T53" s="330">
        <v>1571</v>
      </c>
      <c r="U53" s="330">
        <v>97.44</v>
      </c>
      <c r="V53" s="330">
        <v>439</v>
      </c>
      <c r="W53" s="330">
        <v>303.70999999999998</v>
      </c>
      <c r="X53" s="330">
        <v>67</v>
      </c>
      <c r="Y53" s="330">
        <v>0</v>
      </c>
      <c r="Z53" s="330">
        <v>28</v>
      </c>
      <c r="AA53" s="330">
        <v>5</v>
      </c>
      <c r="AB53" s="330">
        <v>0</v>
      </c>
      <c r="AC53" s="330">
        <v>0</v>
      </c>
      <c r="AD53" s="334">
        <v>4318</v>
      </c>
      <c r="AE53" s="334">
        <v>81</v>
      </c>
      <c r="AF53" s="334">
        <v>14</v>
      </c>
      <c r="AG53" s="334">
        <v>95</v>
      </c>
    </row>
    <row r="54" spans="1:33" x14ac:dyDescent="0.25">
      <c r="A54" s="329" t="s">
        <v>164</v>
      </c>
      <c r="B54" s="335" t="s">
        <v>165</v>
      </c>
      <c r="C54" s="331">
        <v>3908</v>
      </c>
      <c r="D54" s="331">
        <v>0</v>
      </c>
      <c r="E54" s="331">
        <v>425</v>
      </c>
      <c r="F54" s="331">
        <v>570</v>
      </c>
      <c r="G54" s="331">
        <v>136</v>
      </c>
      <c r="H54" s="331">
        <v>5039</v>
      </c>
      <c r="I54" s="330">
        <v>4903</v>
      </c>
      <c r="J54" s="330">
        <v>17</v>
      </c>
      <c r="K54" s="332">
        <v>81.59</v>
      </c>
      <c r="L54" s="332">
        <v>81.25</v>
      </c>
      <c r="M54" s="332">
        <v>6.37</v>
      </c>
      <c r="N54" s="332">
        <v>85.46</v>
      </c>
      <c r="O54" s="333">
        <v>3121</v>
      </c>
      <c r="P54" s="330">
        <v>91.34</v>
      </c>
      <c r="Q54" s="330">
        <v>79.3</v>
      </c>
      <c r="R54" s="330">
        <v>45.73</v>
      </c>
      <c r="S54" s="330">
        <v>135.22</v>
      </c>
      <c r="T54" s="330">
        <v>767</v>
      </c>
      <c r="U54" s="330">
        <v>103.81</v>
      </c>
      <c r="V54" s="330">
        <v>465</v>
      </c>
      <c r="W54" s="330">
        <v>108.78</v>
      </c>
      <c r="X54" s="330">
        <v>16</v>
      </c>
      <c r="Y54" s="330">
        <v>0</v>
      </c>
      <c r="Z54" s="330">
        <v>9</v>
      </c>
      <c r="AA54" s="330">
        <v>3</v>
      </c>
      <c r="AB54" s="330">
        <v>14</v>
      </c>
      <c r="AC54" s="330">
        <v>7</v>
      </c>
      <c r="AD54" s="334">
        <v>3499</v>
      </c>
      <c r="AE54" s="334">
        <v>14</v>
      </c>
      <c r="AF54" s="334">
        <v>15</v>
      </c>
      <c r="AG54" s="334">
        <v>29</v>
      </c>
    </row>
    <row r="55" spans="1:33" x14ac:dyDescent="0.25">
      <c r="A55" s="329" t="s">
        <v>166</v>
      </c>
      <c r="B55" s="335" t="s">
        <v>167</v>
      </c>
      <c r="C55" s="331">
        <v>12849</v>
      </c>
      <c r="D55" s="331">
        <v>0</v>
      </c>
      <c r="E55" s="331">
        <v>275</v>
      </c>
      <c r="F55" s="331">
        <v>897</v>
      </c>
      <c r="G55" s="331">
        <v>226</v>
      </c>
      <c r="H55" s="331">
        <v>14247</v>
      </c>
      <c r="I55" s="330">
        <v>14021</v>
      </c>
      <c r="J55" s="330">
        <v>9</v>
      </c>
      <c r="K55" s="332">
        <v>77.22</v>
      </c>
      <c r="L55" s="332">
        <v>75.8</v>
      </c>
      <c r="M55" s="332">
        <v>7.3</v>
      </c>
      <c r="N55" s="332">
        <v>84.12</v>
      </c>
      <c r="O55" s="333">
        <v>12171</v>
      </c>
      <c r="P55" s="330">
        <v>86.49</v>
      </c>
      <c r="Q55" s="330">
        <v>77.33</v>
      </c>
      <c r="R55" s="330">
        <v>35.11</v>
      </c>
      <c r="S55" s="330">
        <v>120.4</v>
      </c>
      <c r="T55" s="330">
        <v>1085</v>
      </c>
      <c r="U55" s="330">
        <v>96.63</v>
      </c>
      <c r="V55" s="330">
        <v>596</v>
      </c>
      <c r="W55" s="330">
        <v>0</v>
      </c>
      <c r="X55" s="330">
        <v>0</v>
      </c>
      <c r="Y55" s="330">
        <v>22</v>
      </c>
      <c r="Z55" s="330">
        <v>30</v>
      </c>
      <c r="AA55" s="330">
        <v>4</v>
      </c>
      <c r="AB55" s="330">
        <v>1</v>
      </c>
      <c r="AC55" s="330">
        <v>6</v>
      </c>
      <c r="AD55" s="334">
        <v>12823</v>
      </c>
      <c r="AE55" s="334">
        <v>160</v>
      </c>
      <c r="AF55" s="334">
        <v>313</v>
      </c>
      <c r="AG55" s="334">
        <v>473</v>
      </c>
    </row>
    <row r="56" spans="1:33" x14ac:dyDescent="0.25">
      <c r="A56" s="329" t="s">
        <v>168</v>
      </c>
      <c r="B56" s="335" t="s">
        <v>169</v>
      </c>
      <c r="C56" s="331">
        <v>3687</v>
      </c>
      <c r="D56" s="331">
        <v>610</v>
      </c>
      <c r="E56" s="331">
        <v>562</v>
      </c>
      <c r="F56" s="331">
        <v>501</v>
      </c>
      <c r="G56" s="331">
        <v>689</v>
      </c>
      <c r="H56" s="331">
        <v>6049</v>
      </c>
      <c r="I56" s="330">
        <v>5360</v>
      </c>
      <c r="J56" s="330">
        <v>0</v>
      </c>
      <c r="K56" s="332">
        <v>108.24</v>
      </c>
      <c r="L56" s="332">
        <v>106.49</v>
      </c>
      <c r="M56" s="332">
        <v>7.46</v>
      </c>
      <c r="N56" s="332">
        <v>113.36</v>
      </c>
      <c r="O56" s="333">
        <v>2596</v>
      </c>
      <c r="P56" s="330">
        <v>108.87</v>
      </c>
      <c r="Q56" s="330">
        <v>103.65</v>
      </c>
      <c r="R56" s="330">
        <v>63.65</v>
      </c>
      <c r="S56" s="330">
        <v>170.79</v>
      </c>
      <c r="T56" s="330">
        <v>953</v>
      </c>
      <c r="U56" s="330">
        <v>149.94</v>
      </c>
      <c r="V56" s="330">
        <v>816</v>
      </c>
      <c r="W56" s="330">
        <v>162.72999999999999</v>
      </c>
      <c r="X56" s="330">
        <v>2</v>
      </c>
      <c r="Y56" s="330">
        <v>3</v>
      </c>
      <c r="Z56" s="330">
        <v>0</v>
      </c>
      <c r="AA56" s="330">
        <v>2</v>
      </c>
      <c r="AB56" s="330">
        <v>69</v>
      </c>
      <c r="AC56" s="330">
        <v>32</v>
      </c>
      <c r="AD56" s="334">
        <v>3592</v>
      </c>
      <c r="AE56" s="334">
        <v>49</v>
      </c>
      <c r="AF56" s="334">
        <v>11</v>
      </c>
      <c r="AG56" s="334">
        <v>60</v>
      </c>
    </row>
    <row r="57" spans="1:33" x14ac:dyDescent="0.25">
      <c r="A57" s="329" t="s">
        <v>170</v>
      </c>
      <c r="B57" s="335" t="s">
        <v>171</v>
      </c>
      <c r="C57" s="331">
        <v>8567</v>
      </c>
      <c r="D57" s="331">
        <v>1569</v>
      </c>
      <c r="E57" s="331">
        <v>941</v>
      </c>
      <c r="F57" s="331">
        <v>948</v>
      </c>
      <c r="G57" s="331">
        <v>530</v>
      </c>
      <c r="H57" s="331">
        <v>12555</v>
      </c>
      <c r="I57" s="330">
        <v>12025</v>
      </c>
      <c r="J57" s="330">
        <v>118</v>
      </c>
      <c r="K57" s="332">
        <v>129.84</v>
      </c>
      <c r="L57" s="332">
        <v>134.86000000000001</v>
      </c>
      <c r="M57" s="332">
        <v>17.809999999999999</v>
      </c>
      <c r="N57" s="332">
        <v>146.53</v>
      </c>
      <c r="O57" s="333">
        <v>6742</v>
      </c>
      <c r="P57" s="330">
        <v>111.24</v>
      </c>
      <c r="Q57" s="330">
        <v>110.21</v>
      </c>
      <c r="R57" s="330">
        <v>71.849999999999994</v>
      </c>
      <c r="S57" s="330">
        <v>170.4</v>
      </c>
      <c r="T57" s="330">
        <v>1716</v>
      </c>
      <c r="U57" s="330">
        <v>214.56</v>
      </c>
      <c r="V57" s="330">
        <v>434</v>
      </c>
      <c r="W57" s="330">
        <v>0</v>
      </c>
      <c r="X57" s="330">
        <v>0</v>
      </c>
      <c r="Y57" s="330">
        <v>0</v>
      </c>
      <c r="Z57" s="330">
        <v>4</v>
      </c>
      <c r="AA57" s="330">
        <v>2</v>
      </c>
      <c r="AB57" s="330">
        <v>22</v>
      </c>
      <c r="AC57" s="330">
        <v>16</v>
      </c>
      <c r="AD57" s="334">
        <v>7187</v>
      </c>
      <c r="AE57" s="334">
        <v>93</v>
      </c>
      <c r="AF57" s="334">
        <v>103</v>
      </c>
      <c r="AG57" s="334">
        <v>196</v>
      </c>
    </row>
    <row r="58" spans="1:33" x14ac:dyDescent="0.25">
      <c r="A58" s="329" t="s">
        <v>172</v>
      </c>
      <c r="B58" s="335" t="s">
        <v>173</v>
      </c>
      <c r="C58" s="331">
        <v>1576</v>
      </c>
      <c r="D58" s="331">
        <v>2</v>
      </c>
      <c r="E58" s="331">
        <v>221</v>
      </c>
      <c r="F58" s="331">
        <v>269</v>
      </c>
      <c r="G58" s="331">
        <v>244</v>
      </c>
      <c r="H58" s="331">
        <v>2312</v>
      </c>
      <c r="I58" s="330">
        <v>2068</v>
      </c>
      <c r="J58" s="330">
        <v>0</v>
      </c>
      <c r="K58" s="332">
        <v>90.17</v>
      </c>
      <c r="L58" s="332">
        <v>88.43</v>
      </c>
      <c r="M58" s="332">
        <v>4.99</v>
      </c>
      <c r="N58" s="332">
        <v>93.27</v>
      </c>
      <c r="O58" s="333">
        <v>1258</v>
      </c>
      <c r="P58" s="330">
        <v>86.5</v>
      </c>
      <c r="Q58" s="330">
        <v>85.08</v>
      </c>
      <c r="R58" s="330">
        <v>56.96</v>
      </c>
      <c r="S58" s="330">
        <v>143.30000000000001</v>
      </c>
      <c r="T58" s="330">
        <v>343</v>
      </c>
      <c r="U58" s="330">
        <v>112.29</v>
      </c>
      <c r="V58" s="330">
        <v>279</v>
      </c>
      <c r="W58" s="330">
        <v>203</v>
      </c>
      <c r="X58" s="330">
        <v>63</v>
      </c>
      <c r="Y58" s="330">
        <v>0</v>
      </c>
      <c r="Z58" s="330">
        <v>1</v>
      </c>
      <c r="AA58" s="330">
        <v>1</v>
      </c>
      <c r="AB58" s="330">
        <v>6</v>
      </c>
      <c r="AC58" s="330">
        <v>8</v>
      </c>
      <c r="AD58" s="334">
        <v>1554</v>
      </c>
      <c r="AE58" s="334">
        <v>7</v>
      </c>
      <c r="AF58" s="334">
        <v>49</v>
      </c>
      <c r="AG58" s="334">
        <v>56</v>
      </c>
    </row>
    <row r="59" spans="1:33" x14ac:dyDescent="0.25">
      <c r="A59" s="329" t="s">
        <v>174</v>
      </c>
      <c r="B59" s="335" t="s">
        <v>175</v>
      </c>
      <c r="C59" s="331">
        <v>1996</v>
      </c>
      <c r="D59" s="331">
        <v>0</v>
      </c>
      <c r="E59" s="331">
        <v>170</v>
      </c>
      <c r="F59" s="331">
        <v>380</v>
      </c>
      <c r="G59" s="331">
        <v>456</v>
      </c>
      <c r="H59" s="331">
        <v>3002</v>
      </c>
      <c r="I59" s="330">
        <v>2546</v>
      </c>
      <c r="J59" s="330">
        <v>10</v>
      </c>
      <c r="K59" s="332">
        <v>103.27</v>
      </c>
      <c r="L59" s="332">
        <v>101.32</v>
      </c>
      <c r="M59" s="332">
        <v>7.38</v>
      </c>
      <c r="N59" s="332">
        <v>109.34</v>
      </c>
      <c r="O59" s="333">
        <v>1388</v>
      </c>
      <c r="P59" s="330">
        <v>93.66</v>
      </c>
      <c r="Q59" s="330">
        <v>83.12</v>
      </c>
      <c r="R59" s="330">
        <v>48.82</v>
      </c>
      <c r="S59" s="330">
        <v>139.24</v>
      </c>
      <c r="T59" s="330">
        <v>544</v>
      </c>
      <c r="U59" s="330">
        <v>145.44</v>
      </c>
      <c r="V59" s="330">
        <v>321</v>
      </c>
      <c r="W59" s="330">
        <v>118.25</v>
      </c>
      <c r="X59" s="330">
        <v>6</v>
      </c>
      <c r="Y59" s="330">
        <v>0</v>
      </c>
      <c r="Z59" s="330">
        <v>2</v>
      </c>
      <c r="AA59" s="330">
        <v>10</v>
      </c>
      <c r="AB59" s="330">
        <v>43</v>
      </c>
      <c r="AC59" s="330">
        <v>4</v>
      </c>
      <c r="AD59" s="334">
        <v>1810</v>
      </c>
      <c r="AE59" s="334">
        <v>6</v>
      </c>
      <c r="AF59" s="334">
        <v>7</v>
      </c>
      <c r="AG59" s="334">
        <v>13</v>
      </c>
    </row>
    <row r="60" spans="1:33" x14ac:dyDescent="0.25">
      <c r="A60" s="329" t="s">
        <v>176</v>
      </c>
      <c r="B60" s="335" t="s">
        <v>177</v>
      </c>
      <c r="C60" s="331">
        <v>7052</v>
      </c>
      <c r="D60" s="331">
        <v>11</v>
      </c>
      <c r="E60" s="331">
        <v>294</v>
      </c>
      <c r="F60" s="331">
        <v>337</v>
      </c>
      <c r="G60" s="331">
        <v>208</v>
      </c>
      <c r="H60" s="331">
        <v>7902</v>
      </c>
      <c r="I60" s="330">
        <v>7694</v>
      </c>
      <c r="J60" s="330">
        <v>0</v>
      </c>
      <c r="K60" s="332">
        <v>80.989999999999995</v>
      </c>
      <c r="L60" s="332">
        <v>77.81</v>
      </c>
      <c r="M60" s="332">
        <v>3.48</v>
      </c>
      <c r="N60" s="332">
        <v>83.63</v>
      </c>
      <c r="O60" s="333">
        <v>5718</v>
      </c>
      <c r="P60" s="330">
        <v>93.24</v>
      </c>
      <c r="Q60" s="330">
        <v>77.66</v>
      </c>
      <c r="R60" s="330">
        <v>51.59</v>
      </c>
      <c r="S60" s="330">
        <v>142.38999999999999</v>
      </c>
      <c r="T60" s="330">
        <v>547</v>
      </c>
      <c r="U60" s="330">
        <v>89.21</v>
      </c>
      <c r="V60" s="330">
        <v>1325</v>
      </c>
      <c r="W60" s="330">
        <v>0</v>
      </c>
      <c r="X60" s="330">
        <v>0</v>
      </c>
      <c r="Y60" s="330">
        <v>0</v>
      </c>
      <c r="Z60" s="330">
        <v>30</v>
      </c>
      <c r="AA60" s="330">
        <v>24</v>
      </c>
      <c r="AB60" s="330">
        <v>0</v>
      </c>
      <c r="AC60" s="330">
        <v>0</v>
      </c>
      <c r="AD60" s="334">
        <v>7036</v>
      </c>
      <c r="AE60" s="334">
        <v>35</v>
      </c>
      <c r="AF60" s="334">
        <v>37</v>
      </c>
      <c r="AG60" s="334">
        <v>72</v>
      </c>
    </row>
    <row r="61" spans="1:33" x14ac:dyDescent="0.25">
      <c r="A61" s="329" t="s">
        <v>178</v>
      </c>
      <c r="B61" s="335" t="s">
        <v>179</v>
      </c>
      <c r="C61" s="331">
        <v>460</v>
      </c>
      <c r="D61" s="331">
        <v>0</v>
      </c>
      <c r="E61" s="331">
        <v>71</v>
      </c>
      <c r="F61" s="331">
        <v>73</v>
      </c>
      <c r="G61" s="331">
        <v>94</v>
      </c>
      <c r="H61" s="331">
        <v>698</v>
      </c>
      <c r="I61" s="330">
        <v>604</v>
      </c>
      <c r="J61" s="330">
        <v>4</v>
      </c>
      <c r="K61" s="332">
        <v>107.58</v>
      </c>
      <c r="L61" s="332">
        <v>106.09</v>
      </c>
      <c r="M61" s="332">
        <v>6.82</v>
      </c>
      <c r="N61" s="332">
        <v>111.56</v>
      </c>
      <c r="O61" s="333">
        <v>370</v>
      </c>
      <c r="P61" s="330">
        <v>91.85</v>
      </c>
      <c r="Q61" s="330">
        <v>88.12</v>
      </c>
      <c r="R61" s="330">
        <v>61.28</v>
      </c>
      <c r="S61" s="330">
        <v>147.66</v>
      </c>
      <c r="T61" s="330">
        <v>123</v>
      </c>
      <c r="U61" s="330">
        <v>147.04</v>
      </c>
      <c r="V61" s="330">
        <v>75</v>
      </c>
      <c r="W61" s="330">
        <v>0</v>
      </c>
      <c r="X61" s="330">
        <v>0</v>
      </c>
      <c r="Y61" s="330">
        <v>29</v>
      </c>
      <c r="Z61" s="330">
        <v>0</v>
      </c>
      <c r="AA61" s="330">
        <v>1</v>
      </c>
      <c r="AB61" s="330">
        <v>0</v>
      </c>
      <c r="AC61" s="330">
        <v>3</v>
      </c>
      <c r="AD61" s="334">
        <v>455</v>
      </c>
      <c r="AE61" s="334">
        <v>2</v>
      </c>
      <c r="AF61" s="334">
        <v>0</v>
      </c>
      <c r="AG61" s="334">
        <v>2</v>
      </c>
    </row>
    <row r="62" spans="1:33" x14ac:dyDescent="0.25">
      <c r="A62" s="329" t="s">
        <v>180</v>
      </c>
      <c r="B62" s="335" t="s">
        <v>181</v>
      </c>
      <c r="C62" s="331">
        <v>8815</v>
      </c>
      <c r="D62" s="331">
        <v>0</v>
      </c>
      <c r="E62" s="331">
        <v>310</v>
      </c>
      <c r="F62" s="331">
        <v>1639</v>
      </c>
      <c r="G62" s="331">
        <v>1683</v>
      </c>
      <c r="H62" s="331">
        <v>12447</v>
      </c>
      <c r="I62" s="330">
        <v>10764</v>
      </c>
      <c r="J62" s="330">
        <v>6</v>
      </c>
      <c r="K62" s="332">
        <v>102.37</v>
      </c>
      <c r="L62" s="332">
        <v>103.67</v>
      </c>
      <c r="M62" s="332">
        <v>5</v>
      </c>
      <c r="N62" s="332">
        <v>104</v>
      </c>
      <c r="O62" s="333">
        <v>7553</v>
      </c>
      <c r="P62" s="330">
        <v>90.42</v>
      </c>
      <c r="Q62" s="330">
        <v>87.72</v>
      </c>
      <c r="R62" s="330">
        <v>34.35</v>
      </c>
      <c r="S62" s="330">
        <v>107.79</v>
      </c>
      <c r="T62" s="330">
        <v>1857</v>
      </c>
      <c r="U62" s="330">
        <v>137.80000000000001</v>
      </c>
      <c r="V62" s="330">
        <v>1097</v>
      </c>
      <c r="W62" s="330">
        <v>122.28</v>
      </c>
      <c r="X62" s="330">
        <v>50</v>
      </c>
      <c r="Y62" s="330">
        <v>0</v>
      </c>
      <c r="Z62" s="330">
        <v>12</v>
      </c>
      <c r="AA62" s="330">
        <v>2</v>
      </c>
      <c r="AB62" s="330">
        <v>272</v>
      </c>
      <c r="AC62" s="330">
        <v>27</v>
      </c>
      <c r="AD62" s="334">
        <v>8724</v>
      </c>
      <c r="AE62" s="334">
        <v>26</v>
      </c>
      <c r="AF62" s="334">
        <v>30</v>
      </c>
      <c r="AG62" s="334">
        <v>56</v>
      </c>
    </row>
    <row r="63" spans="1:33" x14ac:dyDescent="0.25">
      <c r="A63" s="329" t="s">
        <v>182</v>
      </c>
      <c r="B63" s="335" t="s">
        <v>183</v>
      </c>
      <c r="C63" s="331">
        <v>2950</v>
      </c>
      <c r="D63" s="331">
        <v>0</v>
      </c>
      <c r="E63" s="331">
        <v>322</v>
      </c>
      <c r="F63" s="331">
        <v>264</v>
      </c>
      <c r="G63" s="331">
        <v>637</v>
      </c>
      <c r="H63" s="331">
        <v>4173</v>
      </c>
      <c r="I63" s="330">
        <v>3536</v>
      </c>
      <c r="J63" s="330">
        <v>2</v>
      </c>
      <c r="K63" s="332">
        <v>91.05</v>
      </c>
      <c r="L63" s="332">
        <v>89.34</v>
      </c>
      <c r="M63" s="332">
        <v>6.83</v>
      </c>
      <c r="N63" s="332">
        <v>96.22</v>
      </c>
      <c r="O63" s="333">
        <v>2224</v>
      </c>
      <c r="P63" s="330">
        <v>94.29</v>
      </c>
      <c r="Q63" s="330">
        <v>84.64</v>
      </c>
      <c r="R63" s="330">
        <v>62.38</v>
      </c>
      <c r="S63" s="330">
        <v>154.24</v>
      </c>
      <c r="T63" s="330">
        <v>512</v>
      </c>
      <c r="U63" s="330">
        <v>106.59</v>
      </c>
      <c r="V63" s="330">
        <v>644</v>
      </c>
      <c r="W63" s="330">
        <v>0</v>
      </c>
      <c r="X63" s="330">
        <v>0</v>
      </c>
      <c r="Y63" s="330">
        <v>0</v>
      </c>
      <c r="Z63" s="330">
        <v>3</v>
      </c>
      <c r="AA63" s="330">
        <v>3</v>
      </c>
      <c r="AB63" s="330">
        <v>61</v>
      </c>
      <c r="AC63" s="330">
        <v>20</v>
      </c>
      <c r="AD63" s="334">
        <v>2950</v>
      </c>
      <c r="AE63" s="334">
        <v>16</v>
      </c>
      <c r="AF63" s="334">
        <v>6</v>
      </c>
      <c r="AG63" s="334">
        <v>22</v>
      </c>
    </row>
    <row r="64" spans="1:33" x14ac:dyDescent="0.25">
      <c r="A64" s="329" t="s">
        <v>184</v>
      </c>
      <c r="B64" s="335" t="s">
        <v>185</v>
      </c>
      <c r="C64" s="331">
        <v>9556</v>
      </c>
      <c r="D64" s="331">
        <v>251</v>
      </c>
      <c r="E64" s="331">
        <v>352</v>
      </c>
      <c r="F64" s="331">
        <v>286</v>
      </c>
      <c r="G64" s="331">
        <v>621</v>
      </c>
      <c r="H64" s="331">
        <v>11066</v>
      </c>
      <c r="I64" s="330">
        <v>10445</v>
      </c>
      <c r="J64" s="330">
        <v>8</v>
      </c>
      <c r="K64" s="332">
        <v>100.83</v>
      </c>
      <c r="L64" s="332">
        <v>100.55</v>
      </c>
      <c r="M64" s="332">
        <v>10.41</v>
      </c>
      <c r="N64" s="332">
        <v>105.83</v>
      </c>
      <c r="O64" s="333">
        <v>8637</v>
      </c>
      <c r="P64" s="330">
        <v>97.43</v>
      </c>
      <c r="Q64" s="330">
        <v>94.81</v>
      </c>
      <c r="R64" s="330">
        <v>75.36</v>
      </c>
      <c r="S64" s="330">
        <v>166.98</v>
      </c>
      <c r="T64" s="330">
        <v>518</v>
      </c>
      <c r="U64" s="330">
        <v>137.54</v>
      </c>
      <c r="V64" s="330">
        <v>730</v>
      </c>
      <c r="W64" s="330">
        <v>0</v>
      </c>
      <c r="X64" s="330">
        <v>0</v>
      </c>
      <c r="Y64" s="330">
        <v>8</v>
      </c>
      <c r="Z64" s="330">
        <v>7</v>
      </c>
      <c r="AA64" s="330">
        <v>2</v>
      </c>
      <c r="AB64" s="330">
        <v>127</v>
      </c>
      <c r="AC64" s="330">
        <v>13</v>
      </c>
      <c r="AD64" s="334">
        <v>9548</v>
      </c>
      <c r="AE64" s="334">
        <v>56</v>
      </c>
      <c r="AF64" s="334">
        <v>69</v>
      </c>
      <c r="AG64" s="334">
        <v>125</v>
      </c>
    </row>
    <row r="65" spans="1:33" x14ac:dyDescent="0.25">
      <c r="A65" s="329" t="s">
        <v>186</v>
      </c>
      <c r="B65" s="335" t="s">
        <v>187</v>
      </c>
      <c r="C65" s="331">
        <v>1852</v>
      </c>
      <c r="D65" s="331">
        <v>3</v>
      </c>
      <c r="E65" s="331">
        <v>396</v>
      </c>
      <c r="F65" s="331">
        <v>222</v>
      </c>
      <c r="G65" s="331">
        <v>344</v>
      </c>
      <c r="H65" s="331">
        <v>2817</v>
      </c>
      <c r="I65" s="330">
        <v>2473</v>
      </c>
      <c r="J65" s="330">
        <v>0</v>
      </c>
      <c r="K65" s="332">
        <v>95.93</v>
      </c>
      <c r="L65" s="332">
        <v>91.13</v>
      </c>
      <c r="M65" s="332">
        <v>5.15</v>
      </c>
      <c r="N65" s="332">
        <v>99.75</v>
      </c>
      <c r="O65" s="333">
        <v>1485</v>
      </c>
      <c r="P65" s="330">
        <v>89.69</v>
      </c>
      <c r="Q65" s="330">
        <v>81.8</v>
      </c>
      <c r="R65" s="330">
        <v>52.81</v>
      </c>
      <c r="S65" s="330">
        <v>136.82</v>
      </c>
      <c r="T65" s="330">
        <v>474</v>
      </c>
      <c r="U65" s="330">
        <v>130.63</v>
      </c>
      <c r="V65" s="330">
        <v>283</v>
      </c>
      <c r="W65" s="330">
        <v>234.74</v>
      </c>
      <c r="X65" s="330">
        <v>110</v>
      </c>
      <c r="Y65" s="330">
        <v>0</v>
      </c>
      <c r="Z65" s="330">
        <v>0</v>
      </c>
      <c r="AA65" s="330">
        <v>3</v>
      </c>
      <c r="AB65" s="330">
        <v>16</v>
      </c>
      <c r="AC65" s="330">
        <v>6</v>
      </c>
      <c r="AD65" s="334">
        <v>1695</v>
      </c>
      <c r="AE65" s="334">
        <v>8</v>
      </c>
      <c r="AF65" s="334">
        <v>38</v>
      </c>
      <c r="AG65" s="334">
        <v>46</v>
      </c>
    </row>
    <row r="66" spans="1:33" x14ac:dyDescent="0.25">
      <c r="A66" s="329" t="s">
        <v>188</v>
      </c>
      <c r="B66" s="335" t="s">
        <v>189</v>
      </c>
      <c r="C66" s="331">
        <v>6596</v>
      </c>
      <c r="D66" s="331">
        <v>7</v>
      </c>
      <c r="E66" s="331">
        <v>195</v>
      </c>
      <c r="F66" s="331">
        <v>1500</v>
      </c>
      <c r="G66" s="331">
        <v>724</v>
      </c>
      <c r="H66" s="331">
        <v>9022</v>
      </c>
      <c r="I66" s="330">
        <v>8298</v>
      </c>
      <c r="J66" s="330">
        <v>4</v>
      </c>
      <c r="K66" s="332">
        <v>104.44</v>
      </c>
      <c r="L66" s="332">
        <v>104.07</v>
      </c>
      <c r="M66" s="332">
        <v>6.15</v>
      </c>
      <c r="N66" s="332">
        <v>106.42</v>
      </c>
      <c r="O66" s="333">
        <v>5094</v>
      </c>
      <c r="P66" s="330">
        <v>94.65</v>
      </c>
      <c r="Q66" s="330">
        <v>96.18</v>
      </c>
      <c r="R66" s="330">
        <v>22.55</v>
      </c>
      <c r="S66" s="330">
        <v>116.37</v>
      </c>
      <c r="T66" s="330">
        <v>1526</v>
      </c>
      <c r="U66" s="330">
        <v>155.49</v>
      </c>
      <c r="V66" s="330">
        <v>1433</v>
      </c>
      <c r="W66" s="330">
        <v>186.38</v>
      </c>
      <c r="X66" s="330">
        <v>140</v>
      </c>
      <c r="Y66" s="330">
        <v>0</v>
      </c>
      <c r="Z66" s="330">
        <v>10</v>
      </c>
      <c r="AA66" s="330">
        <v>2</v>
      </c>
      <c r="AB66" s="330">
        <v>106</v>
      </c>
      <c r="AC66" s="330">
        <v>10</v>
      </c>
      <c r="AD66" s="334">
        <v>6501</v>
      </c>
      <c r="AE66" s="334">
        <v>33</v>
      </c>
      <c r="AF66" s="334">
        <v>56</v>
      </c>
      <c r="AG66" s="334">
        <v>89</v>
      </c>
    </row>
    <row r="67" spans="1:33" x14ac:dyDescent="0.25">
      <c r="A67" s="329" t="s">
        <v>190</v>
      </c>
      <c r="B67" s="335" t="s">
        <v>191</v>
      </c>
      <c r="C67" s="331">
        <v>16984</v>
      </c>
      <c r="D67" s="331">
        <v>23</v>
      </c>
      <c r="E67" s="331">
        <v>880</v>
      </c>
      <c r="F67" s="331">
        <v>2985</v>
      </c>
      <c r="G67" s="331">
        <v>1101</v>
      </c>
      <c r="H67" s="331">
        <v>21973</v>
      </c>
      <c r="I67" s="330">
        <v>20872</v>
      </c>
      <c r="J67" s="330">
        <v>366</v>
      </c>
      <c r="K67" s="332">
        <v>88.79</v>
      </c>
      <c r="L67" s="332">
        <v>87.8</v>
      </c>
      <c r="M67" s="332">
        <v>6.25</v>
      </c>
      <c r="N67" s="332">
        <v>91.36</v>
      </c>
      <c r="O67" s="333">
        <v>13283</v>
      </c>
      <c r="P67" s="330">
        <v>87.96</v>
      </c>
      <c r="Q67" s="330">
        <v>80.45</v>
      </c>
      <c r="R67" s="330">
        <v>28.73</v>
      </c>
      <c r="S67" s="330">
        <v>110.4</v>
      </c>
      <c r="T67" s="330">
        <v>3465</v>
      </c>
      <c r="U67" s="330">
        <v>109.35</v>
      </c>
      <c r="V67" s="330">
        <v>3622</v>
      </c>
      <c r="W67" s="330">
        <v>104.17</v>
      </c>
      <c r="X67" s="330">
        <v>160</v>
      </c>
      <c r="Y67" s="330">
        <v>0</v>
      </c>
      <c r="Z67" s="330">
        <v>61</v>
      </c>
      <c r="AA67" s="330">
        <v>8</v>
      </c>
      <c r="AB67" s="330">
        <v>183</v>
      </c>
      <c r="AC67" s="330">
        <v>23</v>
      </c>
      <c r="AD67" s="334">
        <v>16942</v>
      </c>
      <c r="AE67" s="334">
        <v>112</v>
      </c>
      <c r="AF67" s="334">
        <v>118</v>
      </c>
      <c r="AG67" s="334">
        <v>230</v>
      </c>
    </row>
    <row r="68" spans="1:33" x14ac:dyDescent="0.25">
      <c r="A68" s="329" t="s">
        <v>192</v>
      </c>
      <c r="B68" s="335" t="s">
        <v>193</v>
      </c>
      <c r="C68" s="331">
        <v>14274</v>
      </c>
      <c r="D68" s="331">
        <v>11</v>
      </c>
      <c r="E68" s="331">
        <v>767</v>
      </c>
      <c r="F68" s="331">
        <v>3344</v>
      </c>
      <c r="G68" s="331">
        <v>1612</v>
      </c>
      <c r="H68" s="331">
        <v>20008</v>
      </c>
      <c r="I68" s="330">
        <v>18396</v>
      </c>
      <c r="J68" s="330">
        <v>7</v>
      </c>
      <c r="K68" s="332">
        <v>91.96</v>
      </c>
      <c r="L68" s="332">
        <v>93.34</v>
      </c>
      <c r="M68" s="332">
        <v>4.3899999999999997</v>
      </c>
      <c r="N68" s="332">
        <v>93.49</v>
      </c>
      <c r="O68" s="333">
        <v>11877</v>
      </c>
      <c r="P68" s="330">
        <v>89.22</v>
      </c>
      <c r="Q68" s="330">
        <v>86.94</v>
      </c>
      <c r="R68" s="330">
        <v>29.79</v>
      </c>
      <c r="S68" s="330">
        <v>110.49</v>
      </c>
      <c r="T68" s="330">
        <v>3313</v>
      </c>
      <c r="U68" s="330">
        <v>111.72</v>
      </c>
      <c r="V68" s="330">
        <v>2112</v>
      </c>
      <c r="W68" s="330">
        <v>155.35</v>
      </c>
      <c r="X68" s="330">
        <v>453</v>
      </c>
      <c r="Y68" s="330">
        <v>0</v>
      </c>
      <c r="Z68" s="330">
        <v>57</v>
      </c>
      <c r="AA68" s="330">
        <v>1</v>
      </c>
      <c r="AB68" s="330">
        <v>140</v>
      </c>
      <c r="AC68" s="330">
        <v>29</v>
      </c>
      <c r="AD68" s="334">
        <v>14120</v>
      </c>
      <c r="AE68" s="334">
        <v>86</v>
      </c>
      <c r="AF68" s="334">
        <v>64</v>
      </c>
      <c r="AG68" s="334">
        <v>150</v>
      </c>
    </row>
    <row r="69" spans="1:33" x14ac:dyDescent="0.25">
      <c r="A69" s="329" t="s">
        <v>194</v>
      </c>
      <c r="B69" s="335" t="s">
        <v>195</v>
      </c>
      <c r="C69" s="331">
        <v>827</v>
      </c>
      <c r="D69" s="331">
        <v>0</v>
      </c>
      <c r="E69" s="331">
        <v>152</v>
      </c>
      <c r="F69" s="331">
        <v>496</v>
      </c>
      <c r="G69" s="331">
        <v>98</v>
      </c>
      <c r="H69" s="331">
        <v>1573</v>
      </c>
      <c r="I69" s="330">
        <v>1475</v>
      </c>
      <c r="J69" s="330">
        <v>0</v>
      </c>
      <c r="K69" s="332">
        <v>86.78</v>
      </c>
      <c r="L69" s="332">
        <v>84.96</v>
      </c>
      <c r="M69" s="332">
        <v>6.31</v>
      </c>
      <c r="N69" s="332">
        <v>89.38</v>
      </c>
      <c r="O69" s="333">
        <v>651</v>
      </c>
      <c r="P69" s="330">
        <v>89.13</v>
      </c>
      <c r="Q69" s="330">
        <v>83.65</v>
      </c>
      <c r="R69" s="330">
        <v>26</v>
      </c>
      <c r="S69" s="330">
        <v>114.08</v>
      </c>
      <c r="T69" s="330">
        <v>591</v>
      </c>
      <c r="U69" s="330">
        <v>96.27</v>
      </c>
      <c r="V69" s="330">
        <v>70</v>
      </c>
      <c r="W69" s="330">
        <v>0</v>
      </c>
      <c r="X69" s="330">
        <v>0</v>
      </c>
      <c r="Y69" s="330">
        <v>0</v>
      </c>
      <c r="Z69" s="330">
        <v>0</v>
      </c>
      <c r="AA69" s="330">
        <v>3</v>
      </c>
      <c r="AB69" s="330">
        <v>4</v>
      </c>
      <c r="AC69" s="330">
        <v>2</v>
      </c>
      <c r="AD69" s="334">
        <v>722</v>
      </c>
      <c r="AE69" s="334">
        <v>17</v>
      </c>
      <c r="AF69" s="334">
        <v>1</v>
      </c>
      <c r="AG69" s="334">
        <v>18</v>
      </c>
    </row>
    <row r="70" spans="1:33" x14ac:dyDescent="0.25">
      <c r="A70" s="329" t="s">
        <v>196</v>
      </c>
      <c r="B70" s="335" t="s">
        <v>197</v>
      </c>
      <c r="C70" s="331">
        <v>7275</v>
      </c>
      <c r="D70" s="331">
        <v>0</v>
      </c>
      <c r="E70" s="331">
        <v>156</v>
      </c>
      <c r="F70" s="331">
        <v>736</v>
      </c>
      <c r="G70" s="331">
        <v>646</v>
      </c>
      <c r="H70" s="331">
        <v>8813</v>
      </c>
      <c r="I70" s="330">
        <v>8167</v>
      </c>
      <c r="J70" s="330">
        <v>227</v>
      </c>
      <c r="K70" s="332">
        <v>104.87</v>
      </c>
      <c r="L70" s="332">
        <v>105.6</v>
      </c>
      <c r="M70" s="332">
        <v>7.47</v>
      </c>
      <c r="N70" s="332">
        <v>108.44</v>
      </c>
      <c r="O70" s="333">
        <v>6294</v>
      </c>
      <c r="P70" s="330">
        <v>95.25</v>
      </c>
      <c r="Q70" s="330">
        <v>94.94</v>
      </c>
      <c r="R70" s="330">
        <v>29.85</v>
      </c>
      <c r="S70" s="330">
        <v>123.46</v>
      </c>
      <c r="T70" s="330">
        <v>675</v>
      </c>
      <c r="U70" s="330">
        <v>155.66</v>
      </c>
      <c r="V70" s="330">
        <v>931</v>
      </c>
      <c r="W70" s="330">
        <v>141.1</v>
      </c>
      <c r="X70" s="330">
        <v>4</v>
      </c>
      <c r="Y70" s="330">
        <v>7</v>
      </c>
      <c r="Z70" s="330">
        <v>6</v>
      </c>
      <c r="AA70" s="330">
        <v>3</v>
      </c>
      <c r="AB70" s="330">
        <v>53</v>
      </c>
      <c r="AC70" s="330">
        <v>16</v>
      </c>
      <c r="AD70" s="334">
        <v>7261</v>
      </c>
      <c r="AE70" s="334">
        <v>88</v>
      </c>
      <c r="AF70" s="334">
        <v>14</v>
      </c>
      <c r="AG70" s="334">
        <v>102</v>
      </c>
    </row>
    <row r="71" spans="1:33" x14ac:dyDescent="0.25">
      <c r="A71" s="329" t="s">
        <v>198</v>
      </c>
      <c r="B71" s="335" t="s">
        <v>199</v>
      </c>
      <c r="C71" s="331">
        <v>6054</v>
      </c>
      <c r="D71" s="331">
        <v>1</v>
      </c>
      <c r="E71" s="331">
        <v>379</v>
      </c>
      <c r="F71" s="331">
        <v>525</v>
      </c>
      <c r="G71" s="331">
        <v>209</v>
      </c>
      <c r="H71" s="331">
        <v>7168</v>
      </c>
      <c r="I71" s="330">
        <v>6959</v>
      </c>
      <c r="J71" s="330">
        <v>10</v>
      </c>
      <c r="K71" s="332">
        <v>80.180000000000007</v>
      </c>
      <c r="L71" s="332">
        <v>77.37</v>
      </c>
      <c r="M71" s="332">
        <v>6.06</v>
      </c>
      <c r="N71" s="332">
        <v>84.56</v>
      </c>
      <c r="O71" s="333">
        <v>5255</v>
      </c>
      <c r="P71" s="330">
        <v>89.14</v>
      </c>
      <c r="Q71" s="330">
        <v>69.900000000000006</v>
      </c>
      <c r="R71" s="330">
        <v>28.8</v>
      </c>
      <c r="S71" s="330">
        <v>116.8</v>
      </c>
      <c r="T71" s="330">
        <v>784</v>
      </c>
      <c r="U71" s="330">
        <v>100.87</v>
      </c>
      <c r="V71" s="330">
        <v>746</v>
      </c>
      <c r="W71" s="330">
        <v>0</v>
      </c>
      <c r="X71" s="330">
        <v>0</v>
      </c>
      <c r="Y71" s="330">
        <v>5</v>
      </c>
      <c r="Z71" s="330">
        <v>19</v>
      </c>
      <c r="AA71" s="330">
        <v>8</v>
      </c>
      <c r="AB71" s="330">
        <v>4</v>
      </c>
      <c r="AC71" s="330">
        <v>5</v>
      </c>
      <c r="AD71" s="334">
        <v>6022</v>
      </c>
      <c r="AE71" s="334">
        <v>48</v>
      </c>
      <c r="AF71" s="334">
        <v>9</v>
      </c>
      <c r="AG71" s="334">
        <v>57</v>
      </c>
    </row>
    <row r="72" spans="1:33" x14ac:dyDescent="0.25">
      <c r="A72" s="329" t="s">
        <v>200</v>
      </c>
      <c r="B72" s="335" t="s">
        <v>201</v>
      </c>
      <c r="C72" s="331">
        <v>194</v>
      </c>
      <c r="D72" s="331">
        <v>0</v>
      </c>
      <c r="E72" s="331">
        <v>17</v>
      </c>
      <c r="F72" s="331">
        <v>19</v>
      </c>
      <c r="G72" s="331">
        <v>0</v>
      </c>
      <c r="H72" s="331">
        <v>230</v>
      </c>
      <c r="I72" s="330">
        <v>230</v>
      </c>
      <c r="J72" s="330">
        <v>0</v>
      </c>
      <c r="K72" s="332">
        <v>126.59</v>
      </c>
      <c r="L72" s="332">
        <v>128.87</v>
      </c>
      <c r="M72" s="332">
        <v>15.74</v>
      </c>
      <c r="N72" s="332">
        <v>142.22999999999999</v>
      </c>
      <c r="O72" s="333">
        <v>160</v>
      </c>
      <c r="P72" s="330">
        <v>114.68</v>
      </c>
      <c r="Q72" s="330">
        <v>111.67</v>
      </c>
      <c r="R72" s="330">
        <v>109.21</v>
      </c>
      <c r="S72" s="330">
        <v>223.89</v>
      </c>
      <c r="T72" s="330">
        <v>36</v>
      </c>
      <c r="U72" s="330">
        <v>210.07</v>
      </c>
      <c r="V72" s="330">
        <v>34</v>
      </c>
      <c r="W72" s="330">
        <v>0</v>
      </c>
      <c r="X72" s="330">
        <v>0</v>
      </c>
      <c r="Y72" s="330">
        <v>0</v>
      </c>
      <c r="Z72" s="330">
        <v>0</v>
      </c>
      <c r="AA72" s="330">
        <v>0</v>
      </c>
      <c r="AB72" s="330">
        <v>0</v>
      </c>
      <c r="AC72" s="330">
        <v>0</v>
      </c>
      <c r="AD72" s="334">
        <v>194</v>
      </c>
      <c r="AE72" s="334">
        <v>1</v>
      </c>
      <c r="AF72" s="334">
        <v>0</v>
      </c>
      <c r="AG72" s="334">
        <v>1</v>
      </c>
    </row>
    <row r="73" spans="1:33" x14ac:dyDescent="0.25">
      <c r="A73" s="329" t="s">
        <v>202</v>
      </c>
      <c r="B73" s="335" t="s">
        <v>203</v>
      </c>
      <c r="C73" s="331">
        <v>4066</v>
      </c>
      <c r="D73" s="331">
        <v>173</v>
      </c>
      <c r="E73" s="331">
        <v>668</v>
      </c>
      <c r="F73" s="331">
        <v>348</v>
      </c>
      <c r="G73" s="331">
        <v>311</v>
      </c>
      <c r="H73" s="331">
        <v>5566</v>
      </c>
      <c r="I73" s="330">
        <v>5255</v>
      </c>
      <c r="J73" s="330">
        <v>43</v>
      </c>
      <c r="K73" s="332">
        <v>102.31</v>
      </c>
      <c r="L73" s="332">
        <v>102.02</v>
      </c>
      <c r="M73" s="332">
        <v>6.12</v>
      </c>
      <c r="N73" s="332">
        <v>107.35</v>
      </c>
      <c r="O73" s="333">
        <v>2792</v>
      </c>
      <c r="P73" s="330">
        <v>99.52</v>
      </c>
      <c r="Q73" s="330">
        <v>82.91</v>
      </c>
      <c r="R73" s="330">
        <v>56.14</v>
      </c>
      <c r="S73" s="330">
        <v>148.80000000000001</v>
      </c>
      <c r="T73" s="330">
        <v>655</v>
      </c>
      <c r="U73" s="330">
        <v>130.72</v>
      </c>
      <c r="V73" s="330">
        <v>988</v>
      </c>
      <c r="W73" s="330">
        <v>117.2</v>
      </c>
      <c r="X73" s="330">
        <v>34</v>
      </c>
      <c r="Y73" s="330">
        <v>43</v>
      </c>
      <c r="Z73" s="330">
        <v>1</v>
      </c>
      <c r="AA73" s="330">
        <v>10</v>
      </c>
      <c r="AB73" s="330">
        <v>30</v>
      </c>
      <c r="AC73" s="330">
        <v>4</v>
      </c>
      <c r="AD73" s="334">
        <v>3991</v>
      </c>
      <c r="AE73" s="334">
        <v>58</v>
      </c>
      <c r="AF73" s="334">
        <v>44</v>
      </c>
      <c r="AG73" s="334">
        <v>102</v>
      </c>
    </row>
    <row r="74" spans="1:33" x14ac:dyDescent="0.25">
      <c r="A74" s="329" t="s">
        <v>204</v>
      </c>
      <c r="B74" s="335" t="s">
        <v>205</v>
      </c>
      <c r="C74" s="331">
        <v>5633</v>
      </c>
      <c r="D74" s="331">
        <v>26</v>
      </c>
      <c r="E74" s="331">
        <v>77</v>
      </c>
      <c r="F74" s="331">
        <v>308</v>
      </c>
      <c r="G74" s="331">
        <v>7</v>
      </c>
      <c r="H74" s="331">
        <v>6051</v>
      </c>
      <c r="I74" s="330">
        <v>6044</v>
      </c>
      <c r="J74" s="330">
        <v>2</v>
      </c>
      <c r="K74" s="332">
        <v>85.3</v>
      </c>
      <c r="L74" s="332">
        <v>82.13</v>
      </c>
      <c r="M74" s="332">
        <v>1.1599999999999999</v>
      </c>
      <c r="N74" s="332">
        <v>86.32</v>
      </c>
      <c r="O74" s="333">
        <v>5332</v>
      </c>
      <c r="P74" s="330">
        <v>79.3</v>
      </c>
      <c r="Q74" s="330">
        <v>74.86</v>
      </c>
      <c r="R74" s="330">
        <v>43.06</v>
      </c>
      <c r="S74" s="330">
        <v>121.3</v>
      </c>
      <c r="T74" s="330">
        <v>367</v>
      </c>
      <c r="U74" s="330">
        <v>93.59</v>
      </c>
      <c r="V74" s="330">
        <v>294</v>
      </c>
      <c r="W74" s="330">
        <v>0</v>
      </c>
      <c r="X74" s="330">
        <v>0</v>
      </c>
      <c r="Y74" s="330">
        <v>0</v>
      </c>
      <c r="Z74" s="330">
        <v>0</v>
      </c>
      <c r="AA74" s="330">
        <v>1</v>
      </c>
      <c r="AB74" s="330">
        <v>0</v>
      </c>
      <c r="AC74" s="330">
        <v>0</v>
      </c>
      <c r="AD74" s="334">
        <v>5600</v>
      </c>
      <c r="AE74" s="334">
        <v>70</v>
      </c>
      <c r="AF74" s="334">
        <v>153</v>
      </c>
      <c r="AG74" s="334">
        <v>223</v>
      </c>
    </row>
    <row r="75" spans="1:33" x14ac:dyDescent="0.25">
      <c r="A75" s="329" t="s">
        <v>206</v>
      </c>
      <c r="B75" s="335" t="s">
        <v>207</v>
      </c>
      <c r="C75" s="331">
        <v>18622</v>
      </c>
      <c r="D75" s="331">
        <v>0</v>
      </c>
      <c r="E75" s="331">
        <v>939</v>
      </c>
      <c r="F75" s="331">
        <v>2468</v>
      </c>
      <c r="G75" s="331">
        <v>2240</v>
      </c>
      <c r="H75" s="331">
        <v>24269</v>
      </c>
      <c r="I75" s="330">
        <v>22029</v>
      </c>
      <c r="J75" s="330">
        <v>10</v>
      </c>
      <c r="K75" s="332">
        <v>83.94</v>
      </c>
      <c r="L75" s="332">
        <v>78.66</v>
      </c>
      <c r="M75" s="332">
        <v>3.32</v>
      </c>
      <c r="N75" s="332">
        <v>86.68</v>
      </c>
      <c r="O75" s="333">
        <v>14250</v>
      </c>
      <c r="P75" s="330">
        <v>81.569999999999993</v>
      </c>
      <c r="Q75" s="330">
        <v>71.44</v>
      </c>
      <c r="R75" s="330">
        <v>39.18</v>
      </c>
      <c r="S75" s="330">
        <v>119.49</v>
      </c>
      <c r="T75" s="330">
        <v>3162</v>
      </c>
      <c r="U75" s="330">
        <v>117.34</v>
      </c>
      <c r="V75" s="330">
        <v>2979</v>
      </c>
      <c r="W75" s="330">
        <v>136.66999999999999</v>
      </c>
      <c r="X75" s="330">
        <v>59</v>
      </c>
      <c r="Y75" s="330">
        <v>1</v>
      </c>
      <c r="Z75" s="330">
        <v>20</v>
      </c>
      <c r="AA75" s="330">
        <v>80</v>
      </c>
      <c r="AB75" s="330">
        <v>209</v>
      </c>
      <c r="AC75" s="330">
        <v>34</v>
      </c>
      <c r="AD75" s="334">
        <v>18204</v>
      </c>
      <c r="AE75" s="334">
        <v>108</v>
      </c>
      <c r="AF75" s="334">
        <v>68</v>
      </c>
      <c r="AG75" s="334">
        <v>176</v>
      </c>
    </row>
    <row r="76" spans="1:33" x14ac:dyDescent="0.25">
      <c r="A76" s="329" t="s">
        <v>208</v>
      </c>
      <c r="B76" s="335" t="s">
        <v>209</v>
      </c>
      <c r="C76" s="331">
        <v>5531</v>
      </c>
      <c r="D76" s="331">
        <v>0</v>
      </c>
      <c r="E76" s="331">
        <v>58</v>
      </c>
      <c r="F76" s="331">
        <v>553</v>
      </c>
      <c r="G76" s="331">
        <v>725</v>
      </c>
      <c r="H76" s="331">
        <v>6867</v>
      </c>
      <c r="I76" s="330">
        <v>6142</v>
      </c>
      <c r="J76" s="330">
        <v>0</v>
      </c>
      <c r="K76" s="332">
        <v>103.16</v>
      </c>
      <c r="L76" s="332">
        <v>98.68</v>
      </c>
      <c r="M76" s="332">
        <v>4.0199999999999996</v>
      </c>
      <c r="N76" s="332">
        <v>104.71</v>
      </c>
      <c r="O76" s="333">
        <v>4439</v>
      </c>
      <c r="P76" s="330">
        <v>95.34</v>
      </c>
      <c r="Q76" s="330">
        <v>87.01</v>
      </c>
      <c r="R76" s="330">
        <v>22.99</v>
      </c>
      <c r="S76" s="330">
        <v>117.21</v>
      </c>
      <c r="T76" s="330">
        <v>552</v>
      </c>
      <c r="U76" s="330">
        <v>135.09</v>
      </c>
      <c r="V76" s="330">
        <v>854</v>
      </c>
      <c r="W76" s="330">
        <v>172.5</v>
      </c>
      <c r="X76" s="330">
        <v>52</v>
      </c>
      <c r="Y76" s="330">
        <v>0</v>
      </c>
      <c r="Z76" s="330">
        <v>6</v>
      </c>
      <c r="AA76" s="330">
        <v>3</v>
      </c>
      <c r="AB76" s="330">
        <v>84</v>
      </c>
      <c r="AC76" s="330">
        <v>13</v>
      </c>
      <c r="AD76" s="334">
        <v>5286</v>
      </c>
      <c r="AE76" s="334">
        <v>35</v>
      </c>
      <c r="AF76" s="334">
        <v>107</v>
      </c>
      <c r="AG76" s="334">
        <v>142</v>
      </c>
    </row>
    <row r="77" spans="1:33" x14ac:dyDescent="0.25">
      <c r="A77" s="329" t="s">
        <v>210</v>
      </c>
      <c r="B77" s="335" t="s">
        <v>211</v>
      </c>
      <c r="C77" s="331">
        <v>45436</v>
      </c>
      <c r="D77" s="331">
        <v>82</v>
      </c>
      <c r="E77" s="331">
        <v>1066</v>
      </c>
      <c r="F77" s="331">
        <v>1438</v>
      </c>
      <c r="G77" s="331">
        <v>279</v>
      </c>
      <c r="H77" s="331">
        <v>48301</v>
      </c>
      <c r="I77" s="330">
        <v>48022</v>
      </c>
      <c r="J77" s="330">
        <v>11</v>
      </c>
      <c r="K77" s="332">
        <v>72.12</v>
      </c>
      <c r="L77" s="332">
        <v>72.31</v>
      </c>
      <c r="M77" s="332">
        <v>6.78</v>
      </c>
      <c r="N77" s="332">
        <v>73.11</v>
      </c>
      <c r="O77" s="333">
        <v>41194</v>
      </c>
      <c r="P77" s="330">
        <v>100.31</v>
      </c>
      <c r="Q77" s="330">
        <v>78.19</v>
      </c>
      <c r="R77" s="330">
        <v>53.79</v>
      </c>
      <c r="S77" s="330">
        <v>151.69</v>
      </c>
      <c r="T77" s="330">
        <v>1964</v>
      </c>
      <c r="U77" s="330">
        <v>90.12</v>
      </c>
      <c r="V77" s="330">
        <v>3511</v>
      </c>
      <c r="W77" s="330">
        <v>150.5</v>
      </c>
      <c r="X77" s="330">
        <v>155</v>
      </c>
      <c r="Y77" s="330">
        <v>0</v>
      </c>
      <c r="Z77" s="330">
        <v>225</v>
      </c>
      <c r="AA77" s="330">
        <v>42</v>
      </c>
      <c r="AB77" s="330">
        <v>31</v>
      </c>
      <c r="AC77" s="330">
        <v>11</v>
      </c>
      <c r="AD77" s="334">
        <v>44499</v>
      </c>
      <c r="AE77" s="334">
        <v>527</v>
      </c>
      <c r="AF77" s="334">
        <v>311</v>
      </c>
      <c r="AG77" s="334">
        <v>838</v>
      </c>
    </row>
    <row r="78" spans="1:33" x14ac:dyDescent="0.25">
      <c r="A78" s="329" t="s">
        <v>212</v>
      </c>
      <c r="B78" s="335" t="s">
        <v>213</v>
      </c>
      <c r="C78" s="331">
        <v>22402</v>
      </c>
      <c r="D78" s="331">
        <v>4</v>
      </c>
      <c r="E78" s="331">
        <v>689</v>
      </c>
      <c r="F78" s="331">
        <v>1765</v>
      </c>
      <c r="G78" s="331">
        <v>652</v>
      </c>
      <c r="H78" s="331">
        <v>25512</v>
      </c>
      <c r="I78" s="330">
        <v>24860</v>
      </c>
      <c r="J78" s="330">
        <v>3</v>
      </c>
      <c r="K78" s="332">
        <v>84.26</v>
      </c>
      <c r="L78" s="332">
        <v>84.56</v>
      </c>
      <c r="M78" s="332">
        <v>5.66</v>
      </c>
      <c r="N78" s="332">
        <v>89.52</v>
      </c>
      <c r="O78" s="333">
        <v>19986</v>
      </c>
      <c r="P78" s="330">
        <v>90.83</v>
      </c>
      <c r="Q78" s="330">
        <v>86.47</v>
      </c>
      <c r="R78" s="330">
        <v>49.94</v>
      </c>
      <c r="S78" s="330">
        <v>139.66999999999999</v>
      </c>
      <c r="T78" s="330">
        <v>2189</v>
      </c>
      <c r="U78" s="330">
        <v>109.07</v>
      </c>
      <c r="V78" s="330">
        <v>2068</v>
      </c>
      <c r="W78" s="330">
        <v>0</v>
      </c>
      <c r="X78" s="330">
        <v>0</v>
      </c>
      <c r="Y78" s="330">
        <v>309</v>
      </c>
      <c r="Z78" s="330">
        <v>75</v>
      </c>
      <c r="AA78" s="330">
        <v>19</v>
      </c>
      <c r="AB78" s="330">
        <v>59</v>
      </c>
      <c r="AC78" s="330">
        <v>22</v>
      </c>
      <c r="AD78" s="334">
        <v>22277</v>
      </c>
      <c r="AE78" s="334">
        <v>137</v>
      </c>
      <c r="AF78" s="334">
        <v>146</v>
      </c>
      <c r="AG78" s="334">
        <v>283</v>
      </c>
    </row>
    <row r="79" spans="1:33" x14ac:dyDescent="0.25">
      <c r="A79" s="329" t="s">
        <v>214</v>
      </c>
      <c r="B79" s="335" t="s">
        <v>215</v>
      </c>
      <c r="C79" s="331">
        <v>2228</v>
      </c>
      <c r="D79" s="331">
        <v>17</v>
      </c>
      <c r="E79" s="331">
        <v>30</v>
      </c>
      <c r="F79" s="331">
        <v>169</v>
      </c>
      <c r="G79" s="331">
        <v>63</v>
      </c>
      <c r="H79" s="331">
        <v>2507</v>
      </c>
      <c r="I79" s="330">
        <v>2444</v>
      </c>
      <c r="J79" s="330">
        <v>7</v>
      </c>
      <c r="K79" s="332">
        <v>84.81</v>
      </c>
      <c r="L79" s="332">
        <v>81.290000000000006</v>
      </c>
      <c r="M79" s="332">
        <v>6.59</v>
      </c>
      <c r="N79" s="332">
        <v>88.53</v>
      </c>
      <c r="O79" s="333">
        <v>1596</v>
      </c>
      <c r="P79" s="330">
        <v>78.47</v>
      </c>
      <c r="Q79" s="330">
        <v>71.75</v>
      </c>
      <c r="R79" s="330">
        <v>28.37</v>
      </c>
      <c r="S79" s="330">
        <v>105.51</v>
      </c>
      <c r="T79" s="330">
        <v>149</v>
      </c>
      <c r="U79" s="330">
        <v>94.46</v>
      </c>
      <c r="V79" s="330">
        <v>597</v>
      </c>
      <c r="W79" s="330">
        <v>155.69999999999999</v>
      </c>
      <c r="X79" s="330">
        <v>34</v>
      </c>
      <c r="Y79" s="330">
        <v>34</v>
      </c>
      <c r="Z79" s="330">
        <v>6</v>
      </c>
      <c r="AA79" s="330">
        <v>8</v>
      </c>
      <c r="AB79" s="330">
        <v>19</v>
      </c>
      <c r="AC79" s="330">
        <v>2</v>
      </c>
      <c r="AD79" s="334">
        <v>2212</v>
      </c>
      <c r="AE79" s="334">
        <v>6</v>
      </c>
      <c r="AF79" s="334">
        <v>5</v>
      </c>
      <c r="AG79" s="334">
        <v>11</v>
      </c>
    </row>
    <row r="80" spans="1:33" x14ac:dyDescent="0.25">
      <c r="A80" s="329" t="s">
        <v>216</v>
      </c>
      <c r="B80" s="335" t="s">
        <v>217</v>
      </c>
      <c r="C80" s="331">
        <v>2061</v>
      </c>
      <c r="D80" s="331">
        <v>0</v>
      </c>
      <c r="E80" s="331">
        <v>174</v>
      </c>
      <c r="F80" s="331">
        <v>285</v>
      </c>
      <c r="G80" s="331">
        <v>400</v>
      </c>
      <c r="H80" s="331">
        <v>2920</v>
      </c>
      <c r="I80" s="330">
        <v>2520</v>
      </c>
      <c r="J80" s="330">
        <v>1</v>
      </c>
      <c r="K80" s="332">
        <v>110.98</v>
      </c>
      <c r="L80" s="332">
        <v>103.99</v>
      </c>
      <c r="M80" s="332">
        <v>8.93</v>
      </c>
      <c r="N80" s="332">
        <v>118.94</v>
      </c>
      <c r="O80" s="333">
        <v>1678</v>
      </c>
      <c r="P80" s="330">
        <v>100.53</v>
      </c>
      <c r="Q80" s="330">
        <v>99.77</v>
      </c>
      <c r="R80" s="330">
        <v>36.6</v>
      </c>
      <c r="S80" s="330">
        <v>130.54</v>
      </c>
      <c r="T80" s="330">
        <v>200</v>
      </c>
      <c r="U80" s="330">
        <v>155.54</v>
      </c>
      <c r="V80" s="330">
        <v>404</v>
      </c>
      <c r="W80" s="330">
        <v>254.56</v>
      </c>
      <c r="X80" s="330">
        <v>103</v>
      </c>
      <c r="Y80" s="330">
        <v>0</v>
      </c>
      <c r="Z80" s="330">
        <v>7</v>
      </c>
      <c r="AA80" s="330">
        <v>2</v>
      </c>
      <c r="AB80" s="330">
        <v>25</v>
      </c>
      <c r="AC80" s="330">
        <v>7</v>
      </c>
      <c r="AD80" s="334">
        <v>2032</v>
      </c>
      <c r="AE80" s="334">
        <v>21</v>
      </c>
      <c r="AF80" s="334">
        <v>7</v>
      </c>
      <c r="AG80" s="334">
        <v>28</v>
      </c>
    </row>
    <row r="81" spans="1:33" x14ac:dyDescent="0.25">
      <c r="A81" s="329" t="s">
        <v>218</v>
      </c>
      <c r="B81" s="335" t="s">
        <v>219</v>
      </c>
      <c r="C81" s="331">
        <v>11198</v>
      </c>
      <c r="D81" s="331">
        <v>106</v>
      </c>
      <c r="E81" s="331">
        <v>998</v>
      </c>
      <c r="F81" s="331">
        <v>801</v>
      </c>
      <c r="G81" s="331">
        <v>1988</v>
      </c>
      <c r="H81" s="331">
        <v>15091</v>
      </c>
      <c r="I81" s="330">
        <v>13103</v>
      </c>
      <c r="J81" s="330">
        <v>62</v>
      </c>
      <c r="K81" s="332">
        <v>122.2</v>
      </c>
      <c r="L81" s="332">
        <v>121.24</v>
      </c>
      <c r="M81" s="332">
        <v>9.39</v>
      </c>
      <c r="N81" s="332">
        <v>128.08000000000001</v>
      </c>
      <c r="O81" s="333">
        <v>8839</v>
      </c>
      <c r="P81" s="330">
        <v>101.76</v>
      </c>
      <c r="Q81" s="330">
        <v>96.84</v>
      </c>
      <c r="R81" s="330">
        <v>61.63</v>
      </c>
      <c r="S81" s="330">
        <v>157.91999999999999</v>
      </c>
      <c r="T81" s="330">
        <v>1139</v>
      </c>
      <c r="U81" s="330">
        <v>184.07</v>
      </c>
      <c r="V81" s="330">
        <v>1827</v>
      </c>
      <c r="W81" s="330">
        <v>0</v>
      </c>
      <c r="X81" s="330">
        <v>0</v>
      </c>
      <c r="Y81" s="330">
        <v>1</v>
      </c>
      <c r="Z81" s="330">
        <v>3</v>
      </c>
      <c r="AA81" s="330">
        <v>15</v>
      </c>
      <c r="AB81" s="330">
        <v>105</v>
      </c>
      <c r="AC81" s="330">
        <v>46</v>
      </c>
      <c r="AD81" s="334">
        <v>10952</v>
      </c>
      <c r="AE81" s="334">
        <v>75</v>
      </c>
      <c r="AF81" s="334">
        <v>54</v>
      </c>
      <c r="AG81" s="334">
        <v>129</v>
      </c>
    </row>
    <row r="82" spans="1:33" x14ac:dyDescent="0.25">
      <c r="A82" s="329" t="s">
        <v>220</v>
      </c>
      <c r="B82" s="335" t="s">
        <v>221</v>
      </c>
      <c r="C82" s="331">
        <v>2864</v>
      </c>
      <c r="D82" s="331">
        <v>0</v>
      </c>
      <c r="E82" s="331">
        <v>250</v>
      </c>
      <c r="F82" s="331">
        <v>267</v>
      </c>
      <c r="G82" s="331">
        <v>334</v>
      </c>
      <c r="H82" s="331">
        <v>3715</v>
      </c>
      <c r="I82" s="330">
        <v>3381</v>
      </c>
      <c r="J82" s="330">
        <v>8</v>
      </c>
      <c r="K82" s="332">
        <v>116.28</v>
      </c>
      <c r="L82" s="332">
        <v>114.12</v>
      </c>
      <c r="M82" s="332">
        <v>6.82</v>
      </c>
      <c r="N82" s="332">
        <v>122.1</v>
      </c>
      <c r="O82" s="333">
        <v>1961</v>
      </c>
      <c r="P82" s="330">
        <v>115.97</v>
      </c>
      <c r="Q82" s="330">
        <v>98.69</v>
      </c>
      <c r="R82" s="330">
        <v>35.299999999999997</v>
      </c>
      <c r="S82" s="330">
        <v>150.16999999999999</v>
      </c>
      <c r="T82" s="330">
        <v>417</v>
      </c>
      <c r="U82" s="330">
        <v>169.49</v>
      </c>
      <c r="V82" s="330">
        <v>706</v>
      </c>
      <c r="W82" s="330">
        <v>153.99</v>
      </c>
      <c r="X82" s="330">
        <v>8</v>
      </c>
      <c r="Y82" s="330">
        <v>0</v>
      </c>
      <c r="Z82" s="330">
        <v>3</v>
      </c>
      <c r="AA82" s="330">
        <v>1</v>
      </c>
      <c r="AB82" s="330">
        <v>6</v>
      </c>
      <c r="AC82" s="330">
        <v>7</v>
      </c>
      <c r="AD82" s="334">
        <v>2831</v>
      </c>
      <c r="AE82" s="334">
        <v>21</v>
      </c>
      <c r="AF82" s="334">
        <v>5</v>
      </c>
      <c r="AG82" s="334">
        <v>26</v>
      </c>
    </row>
    <row r="83" spans="1:33" x14ac:dyDescent="0.25">
      <c r="A83" s="329" t="s">
        <v>222</v>
      </c>
      <c r="B83" s="335" t="s">
        <v>223</v>
      </c>
      <c r="C83" s="331">
        <v>2040</v>
      </c>
      <c r="D83" s="331">
        <v>22</v>
      </c>
      <c r="E83" s="331">
        <v>298</v>
      </c>
      <c r="F83" s="331">
        <v>525</v>
      </c>
      <c r="G83" s="331">
        <v>125</v>
      </c>
      <c r="H83" s="331">
        <v>3010</v>
      </c>
      <c r="I83" s="330">
        <v>2885</v>
      </c>
      <c r="J83" s="330">
        <v>1</v>
      </c>
      <c r="K83" s="332">
        <v>79.55</v>
      </c>
      <c r="L83" s="332">
        <v>76.959999999999994</v>
      </c>
      <c r="M83" s="332">
        <v>4.6500000000000004</v>
      </c>
      <c r="N83" s="332">
        <v>82.49</v>
      </c>
      <c r="O83" s="333">
        <v>1161</v>
      </c>
      <c r="P83" s="330">
        <v>88.52</v>
      </c>
      <c r="Q83" s="330">
        <v>79.38</v>
      </c>
      <c r="R83" s="330">
        <v>49.52</v>
      </c>
      <c r="S83" s="330">
        <v>137.88</v>
      </c>
      <c r="T83" s="330">
        <v>581</v>
      </c>
      <c r="U83" s="330">
        <v>94.76</v>
      </c>
      <c r="V83" s="330">
        <v>537</v>
      </c>
      <c r="W83" s="330">
        <v>95.53</v>
      </c>
      <c r="X83" s="330">
        <v>22</v>
      </c>
      <c r="Y83" s="330">
        <v>0</v>
      </c>
      <c r="Z83" s="330">
        <v>0</v>
      </c>
      <c r="AA83" s="330">
        <v>4</v>
      </c>
      <c r="AB83" s="330">
        <v>0</v>
      </c>
      <c r="AC83" s="330">
        <v>5</v>
      </c>
      <c r="AD83" s="334">
        <v>1807</v>
      </c>
      <c r="AE83" s="334">
        <v>40</v>
      </c>
      <c r="AF83" s="334">
        <v>7</v>
      </c>
      <c r="AG83" s="334">
        <v>47</v>
      </c>
    </row>
    <row r="84" spans="1:33" x14ac:dyDescent="0.25">
      <c r="A84" s="329" t="s">
        <v>224</v>
      </c>
      <c r="B84" s="335" t="s">
        <v>225</v>
      </c>
      <c r="C84" s="331">
        <v>1739</v>
      </c>
      <c r="D84" s="331">
        <v>12</v>
      </c>
      <c r="E84" s="331">
        <v>151</v>
      </c>
      <c r="F84" s="331">
        <v>107</v>
      </c>
      <c r="G84" s="331">
        <v>892</v>
      </c>
      <c r="H84" s="331">
        <v>2901</v>
      </c>
      <c r="I84" s="330">
        <v>2009</v>
      </c>
      <c r="J84" s="330">
        <v>2</v>
      </c>
      <c r="K84" s="332">
        <v>107.99</v>
      </c>
      <c r="L84" s="332">
        <v>103.82</v>
      </c>
      <c r="M84" s="332">
        <v>6.88</v>
      </c>
      <c r="N84" s="332">
        <v>114.28</v>
      </c>
      <c r="O84" s="333">
        <v>860</v>
      </c>
      <c r="P84" s="330">
        <v>124.19</v>
      </c>
      <c r="Q84" s="330">
        <v>84.1</v>
      </c>
      <c r="R84" s="330">
        <v>38.78</v>
      </c>
      <c r="S84" s="330">
        <v>159.69</v>
      </c>
      <c r="T84" s="330">
        <v>142</v>
      </c>
      <c r="U84" s="330">
        <v>156.69</v>
      </c>
      <c r="V84" s="330">
        <v>438</v>
      </c>
      <c r="W84" s="330">
        <v>0</v>
      </c>
      <c r="X84" s="330">
        <v>0</v>
      </c>
      <c r="Y84" s="330">
        <v>0</v>
      </c>
      <c r="Z84" s="330">
        <v>0</v>
      </c>
      <c r="AA84" s="330">
        <v>0</v>
      </c>
      <c r="AB84" s="330">
        <v>114</v>
      </c>
      <c r="AC84" s="330">
        <v>21</v>
      </c>
      <c r="AD84" s="334">
        <v>1361</v>
      </c>
      <c r="AE84" s="334">
        <v>8</v>
      </c>
      <c r="AF84" s="334">
        <v>7</v>
      </c>
      <c r="AG84" s="334">
        <v>15</v>
      </c>
    </row>
    <row r="85" spans="1:33" x14ac:dyDescent="0.25">
      <c r="A85" s="329" t="s">
        <v>226</v>
      </c>
      <c r="B85" s="335" t="s">
        <v>227</v>
      </c>
      <c r="C85" s="331">
        <v>5999</v>
      </c>
      <c r="D85" s="331">
        <v>18</v>
      </c>
      <c r="E85" s="331">
        <v>604</v>
      </c>
      <c r="F85" s="331">
        <v>1315</v>
      </c>
      <c r="G85" s="331">
        <v>511</v>
      </c>
      <c r="H85" s="331">
        <v>8447</v>
      </c>
      <c r="I85" s="330">
        <v>7936</v>
      </c>
      <c r="J85" s="330">
        <v>2</v>
      </c>
      <c r="K85" s="332">
        <v>87.91</v>
      </c>
      <c r="L85" s="332">
        <v>86.75</v>
      </c>
      <c r="M85" s="332">
        <v>6.35</v>
      </c>
      <c r="N85" s="332">
        <v>92.41</v>
      </c>
      <c r="O85" s="333">
        <v>5470</v>
      </c>
      <c r="P85" s="330">
        <v>100.18</v>
      </c>
      <c r="Q85" s="330">
        <v>91.71</v>
      </c>
      <c r="R85" s="330">
        <v>51.97</v>
      </c>
      <c r="S85" s="330">
        <v>150.74</v>
      </c>
      <c r="T85" s="330">
        <v>1468</v>
      </c>
      <c r="U85" s="330">
        <v>100.54</v>
      </c>
      <c r="V85" s="330">
        <v>386</v>
      </c>
      <c r="W85" s="330">
        <v>149.08000000000001</v>
      </c>
      <c r="X85" s="330">
        <v>107</v>
      </c>
      <c r="Y85" s="330">
        <v>0</v>
      </c>
      <c r="Z85" s="330">
        <v>0</v>
      </c>
      <c r="AA85" s="330">
        <v>8</v>
      </c>
      <c r="AB85" s="330">
        <v>4</v>
      </c>
      <c r="AC85" s="330">
        <v>14</v>
      </c>
      <c r="AD85" s="334">
        <v>5867</v>
      </c>
      <c r="AE85" s="334">
        <v>56</v>
      </c>
      <c r="AF85" s="334">
        <v>5</v>
      </c>
      <c r="AG85" s="334">
        <v>61</v>
      </c>
    </row>
    <row r="86" spans="1:33" x14ac:dyDescent="0.25">
      <c r="A86" s="329" t="s">
        <v>228</v>
      </c>
      <c r="B86" s="335" t="s">
        <v>229</v>
      </c>
      <c r="C86" s="331">
        <v>3758</v>
      </c>
      <c r="D86" s="331">
        <v>0</v>
      </c>
      <c r="E86" s="331">
        <v>61</v>
      </c>
      <c r="F86" s="331">
        <v>274</v>
      </c>
      <c r="G86" s="331">
        <v>215</v>
      </c>
      <c r="H86" s="331">
        <v>4308</v>
      </c>
      <c r="I86" s="330">
        <v>4093</v>
      </c>
      <c r="J86" s="330">
        <v>0</v>
      </c>
      <c r="K86" s="332">
        <v>91.32</v>
      </c>
      <c r="L86" s="332">
        <v>93.48</v>
      </c>
      <c r="M86" s="332">
        <v>2.75</v>
      </c>
      <c r="N86" s="332">
        <v>93.73</v>
      </c>
      <c r="O86" s="333">
        <v>3382</v>
      </c>
      <c r="P86" s="330">
        <v>85.39</v>
      </c>
      <c r="Q86" s="330">
        <v>82.93</v>
      </c>
      <c r="R86" s="330">
        <v>27.65</v>
      </c>
      <c r="S86" s="330">
        <v>112.19</v>
      </c>
      <c r="T86" s="330">
        <v>323</v>
      </c>
      <c r="U86" s="330">
        <v>110.15</v>
      </c>
      <c r="V86" s="330">
        <v>266</v>
      </c>
      <c r="W86" s="330">
        <v>189.69</v>
      </c>
      <c r="X86" s="330">
        <v>2</v>
      </c>
      <c r="Y86" s="330">
        <v>0</v>
      </c>
      <c r="Z86" s="330">
        <v>7</v>
      </c>
      <c r="AA86" s="330">
        <v>2</v>
      </c>
      <c r="AB86" s="330">
        <v>30</v>
      </c>
      <c r="AC86" s="330">
        <v>3</v>
      </c>
      <c r="AD86" s="334">
        <v>3643</v>
      </c>
      <c r="AE86" s="334">
        <v>21</v>
      </c>
      <c r="AF86" s="334">
        <v>10</v>
      </c>
      <c r="AG86" s="334">
        <v>31</v>
      </c>
    </row>
    <row r="87" spans="1:33" x14ac:dyDescent="0.25">
      <c r="A87" s="329" t="s">
        <v>230</v>
      </c>
      <c r="B87" s="335" t="s">
        <v>231</v>
      </c>
      <c r="C87" s="331">
        <v>2419</v>
      </c>
      <c r="D87" s="331">
        <v>3</v>
      </c>
      <c r="E87" s="331">
        <v>659</v>
      </c>
      <c r="F87" s="331">
        <v>888</v>
      </c>
      <c r="G87" s="331">
        <v>199</v>
      </c>
      <c r="H87" s="331">
        <v>4168</v>
      </c>
      <c r="I87" s="330">
        <v>3969</v>
      </c>
      <c r="J87" s="330">
        <v>0</v>
      </c>
      <c r="K87" s="332">
        <v>81.17</v>
      </c>
      <c r="L87" s="332">
        <v>78.81</v>
      </c>
      <c r="M87" s="332">
        <v>5.93</v>
      </c>
      <c r="N87" s="332">
        <v>84.75</v>
      </c>
      <c r="O87" s="333">
        <v>1716</v>
      </c>
      <c r="P87" s="330">
        <v>97.73</v>
      </c>
      <c r="Q87" s="330">
        <v>78.599999999999994</v>
      </c>
      <c r="R87" s="330">
        <v>34.06</v>
      </c>
      <c r="S87" s="330">
        <v>131.44</v>
      </c>
      <c r="T87" s="330">
        <v>1341</v>
      </c>
      <c r="U87" s="330">
        <v>93.23</v>
      </c>
      <c r="V87" s="330">
        <v>593</v>
      </c>
      <c r="W87" s="330">
        <v>145.12</v>
      </c>
      <c r="X87" s="330">
        <v>91</v>
      </c>
      <c r="Y87" s="330">
        <v>0</v>
      </c>
      <c r="Z87" s="330">
        <v>1</v>
      </c>
      <c r="AA87" s="330">
        <v>5</v>
      </c>
      <c r="AB87" s="330">
        <v>15</v>
      </c>
      <c r="AC87" s="330">
        <v>4</v>
      </c>
      <c r="AD87" s="334">
        <v>2354</v>
      </c>
      <c r="AE87" s="334">
        <v>32</v>
      </c>
      <c r="AF87" s="334">
        <v>10</v>
      </c>
      <c r="AG87" s="334">
        <v>42</v>
      </c>
    </row>
    <row r="88" spans="1:33" x14ac:dyDescent="0.25">
      <c r="A88" s="329" t="s">
        <v>232</v>
      </c>
      <c r="B88" s="335" t="s">
        <v>233</v>
      </c>
      <c r="C88" s="330">
        <v>16237</v>
      </c>
      <c r="D88" s="330">
        <v>39</v>
      </c>
      <c r="E88" s="330">
        <v>759</v>
      </c>
      <c r="F88" s="330">
        <v>3935</v>
      </c>
      <c r="G88" s="330">
        <v>1124</v>
      </c>
      <c r="H88" s="330">
        <v>22094</v>
      </c>
      <c r="I88" s="330">
        <v>20970</v>
      </c>
      <c r="J88" s="330">
        <v>0</v>
      </c>
      <c r="K88" s="330">
        <v>98.54</v>
      </c>
      <c r="L88" s="332">
        <v>98.19</v>
      </c>
      <c r="M88" s="332">
        <v>3.26</v>
      </c>
      <c r="N88" s="332">
        <v>100.77</v>
      </c>
      <c r="O88" s="333">
        <v>14643</v>
      </c>
      <c r="P88" s="330">
        <v>92.45</v>
      </c>
      <c r="Q88" s="330">
        <v>87.11</v>
      </c>
      <c r="R88" s="330">
        <v>23.24</v>
      </c>
      <c r="S88" s="330">
        <v>115.51</v>
      </c>
      <c r="T88" s="330">
        <v>4178</v>
      </c>
      <c r="U88" s="330">
        <v>133.36000000000001</v>
      </c>
      <c r="V88" s="330">
        <v>1471</v>
      </c>
      <c r="W88" s="330">
        <v>161.94</v>
      </c>
      <c r="X88" s="330">
        <v>86</v>
      </c>
      <c r="Y88" s="330">
        <v>65</v>
      </c>
      <c r="Z88" s="330">
        <v>12</v>
      </c>
      <c r="AA88" s="330">
        <v>53</v>
      </c>
      <c r="AB88" s="330">
        <v>55</v>
      </c>
      <c r="AC88" s="330">
        <v>12</v>
      </c>
      <c r="AD88" s="330">
        <v>16098</v>
      </c>
      <c r="AE88" s="330">
        <v>45</v>
      </c>
      <c r="AF88" s="330">
        <v>43</v>
      </c>
      <c r="AG88" s="330">
        <v>88</v>
      </c>
    </row>
    <row r="89" spans="1:33" x14ac:dyDescent="0.25">
      <c r="A89" s="329" t="s">
        <v>234</v>
      </c>
      <c r="B89" s="335" t="s">
        <v>235</v>
      </c>
      <c r="C89" s="331">
        <v>2106</v>
      </c>
      <c r="D89" s="331">
        <v>0</v>
      </c>
      <c r="E89" s="331">
        <v>123</v>
      </c>
      <c r="F89" s="331">
        <v>460</v>
      </c>
      <c r="G89" s="331">
        <v>232</v>
      </c>
      <c r="H89" s="331">
        <v>2921</v>
      </c>
      <c r="I89" s="330">
        <v>2689</v>
      </c>
      <c r="J89" s="330">
        <v>2</v>
      </c>
      <c r="K89" s="332">
        <v>89.35</v>
      </c>
      <c r="L89" s="332">
        <v>88.2</v>
      </c>
      <c r="M89" s="332">
        <v>7.4</v>
      </c>
      <c r="N89" s="332">
        <v>95.17</v>
      </c>
      <c r="O89" s="333">
        <v>1784</v>
      </c>
      <c r="P89" s="330">
        <v>107.27</v>
      </c>
      <c r="Q89" s="330">
        <v>89.93</v>
      </c>
      <c r="R89" s="330">
        <v>42.67</v>
      </c>
      <c r="S89" s="330">
        <v>149.72</v>
      </c>
      <c r="T89" s="330">
        <v>579</v>
      </c>
      <c r="U89" s="330">
        <v>119.9</v>
      </c>
      <c r="V89" s="330">
        <v>237</v>
      </c>
      <c r="W89" s="330">
        <v>0</v>
      </c>
      <c r="X89" s="330">
        <v>0</v>
      </c>
      <c r="Y89" s="330">
        <v>0</v>
      </c>
      <c r="Z89" s="330">
        <v>1</v>
      </c>
      <c r="AA89" s="330">
        <v>1</v>
      </c>
      <c r="AB89" s="330">
        <v>33</v>
      </c>
      <c r="AC89" s="330">
        <v>3</v>
      </c>
      <c r="AD89" s="334">
        <v>2054</v>
      </c>
      <c r="AE89" s="334">
        <v>4</v>
      </c>
      <c r="AF89" s="334">
        <v>8</v>
      </c>
      <c r="AG89" s="334">
        <v>12</v>
      </c>
    </row>
    <row r="90" spans="1:33" x14ac:dyDescent="0.25">
      <c r="A90" s="329" t="s">
        <v>236</v>
      </c>
      <c r="B90" s="335" t="s">
        <v>237</v>
      </c>
      <c r="C90" s="331">
        <v>3703</v>
      </c>
      <c r="D90" s="331">
        <v>0</v>
      </c>
      <c r="E90" s="331">
        <v>417</v>
      </c>
      <c r="F90" s="331">
        <v>789</v>
      </c>
      <c r="G90" s="331">
        <v>696</v>
      </c>
      <c r="H90" s="331">
        <v>5605</v>
      </c>
      <c r="I90" s="330">
        <v>4909</v>
      </c>
      <c r="J90" s="330">
        <v>0</v>
      </c>
      <c r="K90" s="332">
        <v>93.21</v>
      </c>
      <c r="L90" s="332">
        <v>90.22</v>
      </c>
      <c r="M90" s="332">
        <v>6.42</v>
      </c>
      <c r="N90" s="332">
        <v>98.52</v>
      </c>
      <c r="O90" s="333">
        <v>3283</v>
      </c>
      <c r="P90" s="330">
        <v>104.2</v>
      </c>
      <c r="Q90" s="330">
        <v>94.9</v>
      </c>
      <c r="R90" s="330">
        <v>52.23</v>
      </c>
      <c r="S90" s="330">
        <v>154.19999999999999</v>
      </c>
      <c r="T90" s="330">
        <v>865</v>
      </c>
      <c r="U90" s="330">
        <v>109.91</v>
      </c>
      <c r="V90" s="330">
        <v>347</v>
      </c>
      <c r="W90" s="330">
        <v>177.81</v>
      </c>
      <c r="X90" s="330">
        <v>100</v>
      </c>
      <c r="Y90" s="330">
        <v>0</v>
      </c>
      <c r="Z90" s="330">
        <v>14</v>
      </c>
      <c r="AA90" s="330">
        <v>7</v>
      </c>
      <c r="AB90" s="330">
        <v>12</v>
      </c>
      <c r="AC90" s="330">
        <v>16</v>
      </c>
      <c r="AD90" s="334">
        <v>3703</v>
      </c>
      <c r="AE90" s="334">
        <v>10</v>
      </c>
      <c r="AF90" s="334">
        <v>26</v>
      </c>
      <c r="AG90" s="334">
        <v>36</v>
      </c>
    </row>
    <row r="91" spans="1:33" x14ac:dyDescent="0.25">
      <c r="A91" s="329" t="s">
        <v>238</v>
      </c>
      <c r="B91" s="335" t="s">
        <v>239</v>
      </c>
      <c r="C91" s="331">
        <v>10109</v>
      </c>
      <c r="D91" s="331">
        <v>346</v>
      </c>
      <c r="E91" s="331">
        <v>929</v>
      </c>
      <c r="F91" s="331">
        <v>787</v>
      </c>
      <c r="G91" s="331">
        <v>2422</v>
      </c>
      <c r="H91" s="331">
        <v>14593</v>
      </c>
      <c r="I91" s="330">
        <v>12171</v>
      </c>
      <c r="J91" s="330">
        <v>89</v>
      </c>
      <c r="K91" s="332">
        <v>130.37</v>
      </c>
      <c r="L91" s="332">
        <v>127.4</v>
      </c>
      <c r="M91" s="332">
        <v>10.68</v>
      </c>
      <c r="N91" s="332">
        <v>138.12</v>
      </c>
      <c r="O91" s="333">
        <v>8387</v>
      </c>
      <c r="P91" s="330">
        <v>122.93</v>
      </c>
      <c r="Q91" s="330">
        <v>115.33</v>
      </c>
      <c r="R91" s="330">
        <v>45.06</v>
      </c>
      <c r="S91" s="330">
        <v>161.87</v>
      </c>
      <c r="T91" s="330">
        <v>1089</v>
      </c>
      <c r="U91" s="330">
        <v>194.56</v>
      </c>
      <c r="V91" s="330">
        <v>1180</v>
      </c>
      <c r="W91" s="330">
        <v>192.02</v>
      </c>
      <c r="X91" s="330">
        <v>44</v>
      </c>
      <c r="Y91" s="330">
        <v>1</v>
      </c>
      <c r="Z91" s="330">
        <v>1</v>
      </c>
      <c r="AA91" s="330">
        <v>3</v>
      </c>
      <c r="AB91" s="330">
        <v>115</v>
      </c>
      <c r="AC91" s="330">
        <v>49</v>
      </c>
      <c r="AD91" s="334">
        <v>9730</v>
      </c>
      <c r="AE91" s="334">
        <v>56</v>
      </c>
      <c r="AF91" s="334">
        <v>44</v>
      </c>
      <c r="AG91" s="334">
        <v>100</v>
      </c>
    </row>
    <row r="92" spans="1:33" x14ac:dyDescent="0.25">
      <c r="A92" s="329" t="s">
        <v>240</v>
      </c>
      <c r="B92" s="335" t="s">
        <v>241</v>
      </c>
      <c r="C92" s="331">
        <v>4085</v>
      </c>
      <c r="D92" s="331">
        <v>5</v>
      </c>
      <c r="E92" s="331">
        <v>127</v>
      </c>
      <c r="F92" s="331">
        <v>1023</v>
      </c>
      <c r="G92" s="331">
        <v>430</v>
      </c>
      <c r="H92" s="331">
        <v>5670</v>
      </c>
      <c r="I92" s="330">
        <v>5240</v>
      </c>
      <c r="J92" s="330">
        <v>4</v>
      </c>
      <c r="K92" s="332">
        <v>101.29</v>
      </c>
      <c r="L92" s="332">
        <v>101.12</v>
      </c>
      <c r="M92" s="332">
        <v>3.14</v>
      </c>
      <c r="N92" s="332">
        <v>102.51</v>
      </c>
      <c r="O92" s="333">
        <v>3664</v>
      </c>
      <c r="P92" s="330">
        <v>98.26</v>
      </c>
      <c r="Q92" s="330">
        <v>98.16</v>
      </c>
      <c r="R92" s="330">
        <v>24.22</v>
      </c>
      <c r="S92" s="330">
        <v>122.19</v>
      </c>
      <c r="T92" s="330">
        <v>1139</v>
      </c>
      <c r="U92" s="330">
        <v>126.26</v>
      </c>
      <c r="V92" s="330">
        <v>364</v>
      </c>
      <c r="W92" s="330">
        <v>0</v>
      </c>
      <c r="X92" s="330">
        <v>0</v>
      </c>
      <c r="Y92" s="330">
        <v>2</v>
      </c>
      <c r="Z92" s="330">
        <v>1</v>
      </c>
      <c r="AA92" s="330">
        <v>1</v>
      </c>
      <c r="AB92" s="330">
        <v>15</v>
      </c>
      <c r="AC92" s="330">
        <v>8</v>
      </c>
      <c r="AD92" s="334">
        <v>4077</v>
      </c>
      <c r="AE92" s="334">
        <v>3</v>
      </c>
      <c r="AF92" s="334">
        <v>14</v>
      </c>
      <c r="AG92" s="334">
        <v>17</v>
      </c>
    </row>
    <row r="93" spans="1:33" x14ac:dyDescent="0.25">
      <c r="A93" s="329" t="s">
        <v>242</v>
      </c>
      <c r="B93" s="335" t="s">
        <v>243</v>
      </c>
      <c r="C93" s="331">
        <v>2217</v>
      </c>
      <c r="D93" s="331">
        <v>1</v>
      </c>
      <c r="E93" s="331">
        <v>179</v>
      </c>
      <c r="F93" s="331">
        <v>154</v>
      </c>
      <c r="G93" s="331">
        <v>565</v>
      </c>
      <c r="H93" s="331">
        <v>3116</v>
      </c>
      <c r="I93" s="330">
        <v>2551</v>
      </c>
      <c r="J93" s="330">
        <v>0</v>
      </c>
      <c r="K93" s="332">
        <v>93.31</v>
      </c>
      <c r="L93" s="332">
        <v>90.71</v>
      </c>
      <c r="M93" s="332">
        <v>2.77</v>
      </c>
      <c r="N93" s="332">
        <v>95.39</v>
      </c>
      <c r="O93" s="333">
        <v>1484</v>
      </c>
      <c r="P93" s="330">
        <v>110.26</v>
      </c>
      <c r="Q93" s="330">
        <v>78.81</v>
      </c>
      <c r="R93" s="330">
        <v>56.37</v>
      </c>
      <c r="S93" s="330">
        <v>162.30000000000001</v>
      </c>
      <c r="T93" s="330">
        <v>234</v>
      </c>
      <c r="U93" s="330">
        <v>127.04</v>
      </c>
      <c r="V93" s="330">
        <v>520</v>
      </c>
      <c r="W93" s="330">
        <v>0</v>
      </c>
      <c r="X93" s="330">
        <v>0</v>
      </c>
      <c r="Y93" s="330">
        <v>0</v>
      </c>
      <c r="Z93" s="330">
        <v>0</v>
      </c>
      <c r="AA93" s="330">
        <v>5</v>
      </c>
      <c r="AB93" s="330">
        <v>82</v>
      </c>
      <c r="AC93" s="330">
        <v>4</v>
      </c>
      <c r="AD93" s="334">
        <v>2172</v>
      </c>
      <c r="AE93" s="334">
        <v>24</v>
      </c>
      <c r="AF93" s="334">
        <v>3</v>
      </c>
      <c r="AG93" s="334">
        <v>27</v>
      </c>
    </row>
    <row r="94" spans="1:33" x14ac:dyDescent="0.25">
      <c r="A94" s="329" t="s">
        <v>244</v>
      </c>
      <c r="B94" s="335" t="s">
        <v>245</v>
      </c>
      <c r="C94" s="331">
        <v>5650</v>
      </c>
      <c r="D94" s="331">
        <v>9</v>
      </c>
      <c r="E94" s="331">
        <v>92</v>
      </c>
      <c r="F94" s="331">
        <v>785</v>
      </c>
      <c r="G94" s="331">
        <v>597</v>
      </c>
      <c r="H94" s="331">
        <v>7133</v>
      </c>
      <c r="I94" s="330">
        <v>6536</v>
      </c>
      <c r="J94" s="330">
        <v>0</v>
      </c>
      <c r="K94" s="332">
        <v>114.8</v>
      </c>
      <c r="L94" s="332">
        <v>112.62</v>
      </c>
      <c r="M94" s="332">
        <v>4.21</v>
      </c>
      <c r="N94" s="332">
        <v>116.22</v>
      </c>
      <c r="O94" s="333">
        <v>4256</v>
      </c>
      <c r="P94" s="330">
        <v>95.11</v>
      </c>
      <c r="Q94" s="330">
        <v>93.43</v>
      </c>
      <c r="R94" s="330">
        <v>14.29</v>
      </c>
      <c r="S94" s="330">
        <v>109</v>
      </c>
      <c r="T94" s="330">
        <v>873</v>
      </c>
      <c r="U94" s="330">
        <v>151.9</v>
      </c>
      <c r="V94" s="330">
        <v>997</v>
      </c>
      <c r="W94" s="330">
        <v>0</v>
      </c>
      <c r="X94" s="330">
        <v>0</v>
      </c>
      <c r="Y94" s="330">
        <v>17</v>
      </c>
      <c r="Z94" s="330">
        <v>3</v>
      </c>
      <c r="AA94" s="330">
        <v>0</v>
      </c>
      <c r="AB94" s="330">
        <v>49</v>
      </c>
      <c r="AC94" s="330">
        <v>7</v>
      </c>
      <c r="AD94" s="334">
        <v>5337</v>
      </c>
      <c r="AE94" s="334">
        <v>44</v>
      </c>
      <c r="AF94" s="334">
        <v>4</v>
      </c>
      <c r="AG94" s="334">
        <v>48</v>
      </c>
    </row>
    <row r="95" spans="1:33" x14ac:dyDescent="0.25">
      <c r="A95" s="329" t="s">
        <v>246</v>
      </c>
      <c r="B95" s="335" t="s">
        <v>247</v>
      </c>
      <c r="C95" s="331">
        <v>6909</v>
      </c>
      <c r="D95" s="331">
        <v>6</v>
      </c>
      <c r="E95" s="331">
        <v>190</v>
      </c>
      <c r="F95" s="331">
        <v>1060</v>
      </c>
      <c r="G95" s="331">
        <v>706</v>
      </c>
      <c r="H95" s="331">
        <v>8871</v>
      </c>
      <c r="I95" s="330">
        <v>8165</v>
      </c>
      <c r="J95" s="330">
        <v>24</v>
      </c>
      <c r="K95" s="332">
        <v>115.39</v>
      </c>
      <c r="L95" s="332">
        <v>117.04</v>
      </c>
      <c r="M95" s="332">
        <v>4.97</v>
      </c>
      <c r="N95" s="332">
        <v>117.15</v>
      </c>
      <c r="O95" s="333">
        <v>5125</v>
      </c>
      <c r="P95" s="330">
        <v>104.63</v>
      </c>
      <c r="Q95" s="330">
        <v>104.44</v>
      </c>
      <c r="R95" s="330">
        <v>31.46</v>
      </c>
      <c r="S95" s="330">
        <v>135.25</v>
      </c>
      <c r="T95" s="330">
        <v>1207</v>
      </c>
      <c r="U95" s="330">
        <v>160.33000000000001</v>
      </c>
      <c r="V95" s="330">
        <v>1673</v>
      </c>
      <c r="W95" s="330">
        <v>0</v>
      </c>
      <c r="X95" s="330">
        <v>0</v>
      </c>
      <c r="Y95" s="330">
        <v>0</v>
      </c>
      <c r="Z95" s="330">
        <v>7</v>
      </c>
      <c r="AA95" s="330">
        <v>2</v>
      </c>
      <c r="AB95" s="330">
        <v>109</v>
      </c>
      <c r="AC95" s="330">
        <v>17</v>
      </c>
      <c r="AD95" s="334">
        <v>6899</v>
      </c>
      <c r="AE95" s="334">
        <v>42</v>
      </c>
      <c r="AF95" s="334">
        <v>12</v>
      </c>
      <c r="AG95" s="334">
        <v>54</v>
      </c>
    </row>
    <row r="96" spans="1:33" x14ac:dyDescent="0.25">
      <c r="A96" s="329" t="s">
        <v>248</v>
      </c>
      <c r="B96" s="335" t="s">
        <v>249</v>
      </c>
      <c r="C96" s="331">
        <v>6819</v>
      </c>
      <c r="D96" s="331">
        <v>11</v>
      </c>
      <c r="E96" s="331">
        <v>252</v>
      </c>
      <c r="F96" s="331">
        <v>594</v>
      </c>
      <c r="G96" s="331">
        <v>559</v>
      </c>
      <c r="H96" s="331">
        <v>8235</v>
      </c>
      <c r="I96" s="330">
        <v>7676</v>
      </c>
      <c r="J96" s="330">
        <v>1</v>
      </c>
      <c r="K96" s="332">
        <v>82.46</v>
      </c>
      <c r="L96" s="332">
        <v>82.1</v>
      </c>
      <c r="M96" s="332">
        <v>2.95</v>
      </c>
      <c r="N96" s="332">
        <v>84.9</v>
      </c>
      <c r="O96" s="333">
        <v>5209</v>
      </c>
      <c r="P96" s="330">
        <v>83.56</v>
      </c>
      <c r="Q96" s="330">
        <v>77.77</v>
      </c>
      <c r="R96" s="330">
        <v>40.74</v>
      </c>
      <c r="S96" s="330">
        <v>122.62</v>
      </c>
      <c r="T96" s="330">
        <v>779</v>
      </c>
      <c r="U96" s="330">
        <v>92.4</v>
      </c>
      <c r="V96" s="330">
        <v>1399</v>
      </c>
      <c r="W96" s="330">
        <v>132.18</v>
      </c>
      <c r="X96" s="330">
        <v>59</v>
      </c>
      <c r="Y96" s="330">
        <v>0</v>
      </c>
      <c r="Z96" s="330">
        <v>7</v>
      </c>
      <c r="AA96" s="330">
        <v>3</v>
      </c>
      <c r="AB96" s="330">
        <v>35</v>
      </c>
      <c r="AC96" s="330">
        <v>2</v>
      </c>
      <c r="AD96" s="334">
        <v>6684</v>
      </c>
      <c r="AE96" s="334">
        <v>38</v>
      </c>
      <c r="AF96" s="334">
        <v>15</v>
      </c>
      <c r="AG96" s="334">
        <v>53</v>
      </c>
    </row>
    <row r="97" spans="1:33" x14ac:dyDescent="0.25">
      <c r="A97" s="329" t="s">
        <v>250</v>
      </c>
      <c r="B97" s="335" t="s">
        <v>251</v>
      </c>
      <c r="C97" s="331">
        <v>2106</v>
      </c>
      <c r="D97" s="331">
        <v>1</v>
      </c>
      <c r="E97" s="331">
        <v>269</v>
      </c>
      <c r="F97" s="331">
        <v>634</v>
      </c>
      <c r="G97" s="331">
        <v>181</v>
      </c>
      <c r="H97" s="331">
        <v>3191</v>
      </c>
      <c r="I97" s="330">
        <v>3010</v>
      </c>
      <c r="J97" s="330">
        <v>6</v>
      </c>
      <c r="K97" s="332">
        <v>89.63</v>
      </c>
      <c r="L97" s="332">
        <v>85.84</v>
      </c>
      <c r="M97" s="332">
        <v>5.2</v>
      </c>
      <c r="N97" s="332">
        <v>92.71</v>
      </c>
      <c r="O97" s="333">
        <v>1402</v>
      </c>
      <c r="P97" s="330">
        <v>89.61</v>
      </c>
      <c r="Q97" s="330">
        <v>82.6</v>
      </c>
      <c r="R97" s="330">
        <v>45.41</v>
      </c>
      <c r="S97" s="330">
        <v>134.21</v>
      </c>
      <c r="T97" s="330">
        <v>781</v>
      </c>
      <c r="U97" s="330">
        <v>101.6</v>
      </c>
      <c r="V97" s="330">
        <v>366</v>
      </c>
      <c r="W97" s="330">
        <v>115.98</v>
      </c>
      <c r="X97" s="330">
        <v>36</v>
      </c>
      <c r="Y97" s="330">
        <v>0</v>
      </c>
      <c r="Z97" s="330">
        <v>0</v>
      </c>
      <c r="AA97" s="330">
        <v>1</v>
      </c>
      <c r="AB97" s="330">
        <v>22</v>
      </c>
      <c r="AC97" s="330">
        <v>8</v>
      </c>
      <c r="AD97" s="334">
        <v>1924</v>
      </c>
      <c r="AE97" s="334">
        <v>22</v>
      </c>
      <c r="AF97" s="334">
        <v>5</v>
      </c>
      <c r="AG97" s="334">
        <v>27</v>
      </c>
    </row>
    <row r="98" spans="1:33" x14ac:dyDescent="0.25">
      <c r="A98" s="329" t="s">
        <v>252</v>
      </c>
      <c r="B98" s="335" t="s">
        <v>253</v>
      </c>
      <c r="C98" s="331">
        <v>6131</v>
      </c>
      <c r="D98" s="331">
        <v>4</v>
      </c>
      <c r="E98" s="331">
        <v>134</v>
      </c>
      <c r="F98" s="331">
        <v>463</v>
      </c>
      <c r="G98" s="331">
        <v>205</v>
      </c>
      <c r="H98" s="331">
        <v>6937</v>
      </c>
      <c r="I98" s="330">
        <v>6732</v>
      </c>
      <c r="J98" s="330">
        <v>2</v>
      </c>
      <c r="K98" s="332">
        <v>81.53</v>
      </c>
      <c r="L98" s="332">
        <v>78.81</v>
      </c>
      <c r="M98" s="332">
        <v>7.4</v>
      </c>
      <c r="N98" s="332">
        <v>84.48</v>
      </c>
      <c r="O98" s="333">
        <v>5036</v>
      </c>
      <c r="P98" s="330">
        <v>79.48</v>
      </c>
      <c r="Q98" s="330">
        <v>77.52</v>
      </c>
      <c r="R98" s="330">
        <v>46.66</v>
      </c>
      <c r="S98" s="330">
        <v>125.98</v>
      </c>
      <c r="T98" s="330">
        <v>591</v>
      </c>
      <c r="U98" s="330">
        <v>93.14</v>
      </c>
      <c r="V98" s="330">
        <v>1075</v>
      </c>
      <c r="W98" s="330">
        <v>0</v>
      </c>
      <c r="X98" s="330">
        <v>0</v>
      </c>
      <c r="Y98" s="330">
        <v>0</v>
      </c>
      <c r="Z98" s="330">
        <v>25</v>
      </c>
      <c r="AA98" s="330">
        <v>19</v>
      </c>
      <c r="AB98" s="330">
        <v>21</v>
      </c>
      <c r="AC98" s="330">
        <v>2</v>
      </c>
      <c r="AD98" s="334">
        <v>6131</v>
      </c>
      <c r="AE98" s="334">
        <v>33</v>
      </c>
      <c r="AF98" s="334">
        <v>23</v>
      </c>
      <c r="AG98" s="334">
        <v>56</v>
      </c>
    </row>
    <row r="99" spans="1:33" x14ac:dyDescent="0.25">
      <c r="A99" s="329" t="s">
        <v>254</v>
      </c>
      <c r="B99" s="335" t="s">
        <v>255</v>
      </c>
      <c r="C99" s="330">
        <v>8121</v>
      </c>
      <c r="D99" s="330">
        <v>0</v>
      </c>
      <c r="E99" s="330">
        <v>421</v>
      </c>
      <c r="F99" s="330">
        <v>1385</v>
      </c>
      <c r="G99" s="330">
        <v>256</v>
      </c>
      <c r="H99" s="330">
        <v>10183</v>
      </c>
      <c r="I99" s="330">
        <v>9927</v>
      </c>
      <c r="J99" s="330">
        <v>8</v>
      </c>
      <c r="K99" s="330">
        <v>91.46</v>
      </c>
      <c r="L99" s="332">
        <v>91.59</v>
      </c>
      <c r="M99" s="332">
        <v>3.7</v>
      </c>
      <c r="N99" s="332">
        <v>93.06</v>
      </c>
      <c r="O99" s="333">
        <v>7056</v>
      </c>
      <c r="P99" s="330">
        <v>83.33</v>
      </c>
      <c r="Q99" s="330">
        <v>77.5</v>
      </c>
      <c r="R99" s="330">
        <v>32.69</v>
      </c>
      <c r="S99" s="330">
        <v>114.53</v>
      </c>
      <c r="T99" s="330">
        <v>1724</v>
      </c>
      <c r="U99" s="330">
        <v>102.32</v>
      </c>
      <c r="V99" s="330">
        <v>888</v>
      </c>
      <c r="W99" s="330">
        <v>151.01</v>
      </c>
      <c r="X99" s="330">
        <v>44</v>
      </c>
      <c r="Y99" s="330">
        <v>0</v>
      </c>
      <c r="Z99" s="330">
        <v>3</v>
      </c>
      <c r="AA99" s="330">
        <v>3</v>
      </c>
      <c r="AB99" s="330">
        <v>11</v>
      </c>
      <c r="AC99" s="330">
        <v>4</v>
      </c>
      <c r="AD99" s="330">
        <v>8080</v>
      </c>
      <c r="AE99" s="330">
        <v>32</v>
      </c>
      <c r="AF99" s="330">
        <v>27</v>
      </c>
      <c r="AG99" s="330">
        <v>59</v>
      </c>
    </row>
    <row r="100" spans="1:33" x14ac:dyDescent="0.25">
      <c r="A100" s="329" t="s">
        <v>256</v>
      </c>
      <c r="B100" s="335" t="s">
        <v>257</v>
      </c>
      <c r="C100" s="331">
        <v>1791</v>
      </c>
      <c r="D100" s="331">
        <v>0</v>
      </c>
      <c r="E100" s="331">
        <v>383</v>
      </c>
      <c r="F100" s="331">
        <v>550</v>
      </c>
      <c r="G100" s="331">
        <v>174</v>
      </c>
      <c r="H100" s="331">
        <v>2898</v>
      </c>
      <c r="I100" s="330">
        <v>2724</v>
      </c>
      <c r="J100" s="330">
        <v>1</v>
      </c>
      <c r="K100" s="332">
        <v>93.91</v>
      </c>
      <c r="L100" s="332">
        <v>90.15</v>
      </c>
      <c r="M100" s="332">
        <v>8.3000000000000007</v>
      </c>
      <c r="N100" s="332">
        <v>101.02</v>
      </c>
      <c r="O100" s="333">
        <v>1545</v>
      </c>
      <c r="P100" s="330">
        <v>80.72</v>
      </c>
      <c r="Q100" s="330">
        <v>75.89</v>
      </c>
      <c r="R100" s="330">
        <v>41.42</v>
      </c>
      <c r="S100" s="330">
        <v>121.8</v>
      </c>
      <c r="T100" s="330">
        <v>618</v>
      </c>
      <c r="U100" s="330">
        <v>133.54</v>
      </c>
      <c r="V100" s="330">
        <v>221</v>
      </c>
      <c r="W100" s="330">
        <v>154.6</v>
      </c>
      <c r="X100" s="330">
        <v>47</v>
      </c>
      <c r="Y100" s="330">
        <v>33</v>
      </c>
      <c r="Z100" s="330">
        <v>1</v>
      </c>
      <c r="AA100" s="330">
        <v>2</v>
      </c>
      <c r="AB100" s="330">
        <v>0</v>
      </c>
      <c r="AC100" s="330">
        <v>4</v>
      </c>
      <c r="AD100" s="334">
        <v>1789</v>
      </c>
      <c r="AE100" s="334">
        <v>3</v>
      </c>
      <c r="AF100" s="334">
        <v>4</v>
      </c>
      <c r="AG100" s="334">
        <v>7</v>
      </c>
    </row>
    <row r="101" spans="1:33" x14ac:dyDescent="0.25">
      <c r="A101" s="329" t="s">
        <v>258</v>
      </c>
      <c r="B101" s="335" t="s">
        <v>259</v>
      </c>
      <c r="C101" s="331">
        <v>6270</v>
      </c>
      <c r="D101" s="331">
        <v>0</v>
      </c>
      <c r="E101" s="331">
        <v>152</v>
      </c>
      <c r="F101" s="331">
        <v>707</v>
      </c>
      <c r="G101" s="331">
        <v>786</v>
      </c>
      <c r="H101" s="331">
        <v>7915</v>
      </c>
      <c r="I101" s="330">
        <v>7129</v>
      </c>
      <c r="J101" s="330">
        <v>0</v>
      </c>
      <c r="K101" s="332">
        <v>107.44</v>
      </c>
      <c r="L101" s="332">
        <v>102.97</v>
      </c>
      <c r="M101" s="332">
        <v>4.8</v>
      </c>
      <c r="N101" s="332">
        <v>109.98</v>
      </c>
      <c r="O101" s="333">
        <v>4723</v>
      </c>
      <c r="P101" s="330">
        <v>93.36</v>
      </c>
      <c r="Q101" s="330">
        <v>88.35</v>
      </c>
      <c r="R101" s="330">
        <v>35.520000000000003</v>
      </c>
      <c r="S101" s="330">
        <v>128.35</v>
      </c>
      <c r="T101" s="330">
        <v>739</v>
      </c>
      <c r="U101" s="330">
        <v>147.54</v>
      </c>
      <c r="V101" s="330">
        <v>1400</v>
      </c>
      <c r="W101" s="330">
        <v>176.51</v>
      </c>
      <c r="X101" s="330">
        <v>50</v>
      </c>
      <c r="Y101" s="330">
        <v>44</v>
      </c>
      <c r="Z101" s="330">
        <v>7</v>
      </c>
      <c r="AA101" s="330">
        <v>0</v>
      </c>
      <c r="AB101" s="330">
        <v>129</v>
      </c>
      <c r="AC101" s="330">
        <v>25</v>
      </c>
      <c r="AD101" s="334">
        <v>6270</v>
      </c>
      <c r="AE101" s="334">
        <v>32</v>
      </c>
      <c r="AF101" s="334">
        <v>6</v>
      </c>
      <c r="AG101" s="334">
        <v>38</v>
      </c>
    </row>
    <row r="102" spans="1:33" x14ac:dyDescent="0.25">
      <c r="A102" s="329" t="s">
        <v>260</v>
      </c>
      <c r="B102" s="335" t="s">
        <v>261</v>
      </c>
      <c r="C102" s="331">
        <v>2174</v>
      </c>
      <c r="D102" s="331">
        <v>9</v>
      </c>
      <c r="E102" s="331">
        <v>179</v>
      </c>
      <c r="F102" s="331">
        <v>185</v>
      </c>
      <c r="G102" s="331">
        <v>196</v>
      </c>
      <c r="H102" s="331">
        <v>2743</v>
      </c>
      <c r="I102" s="330">
        <v>2547</v>
      </c>
      <c r="J102" s="330">
        <v>32</v>
      </c>
      <c r="K102" s="332">
        <v>95.11</v>
      </c>
      <c r="L102" s="332">
        <v>94.43</v>
      </c>
      <c r="M102" s="332">
        <v>4.76</v>
      </c>
      <c r="N102" s="332">
        <v>97.13</v>
      </c>
      <c r="O102" s="333">
        <v>1962</v>
      </c>
      <c r="P102" s="330">
        <v>87.15</v>
      </c>
      <c r="Q102" s="330">
        <v>81.53</v>
      </c>
      <c r="R102" s="330">
        <v>36.85</v>
      </c>
      <c r="S102" s="330">
        <v>122.01</v>
      </c>
      <c r="T102" s="330">
        <v>351</v>
      </c>
      <c r="U102" s="330">
        <v>107.2</v>
      </c>
      <c r="V102" s="330">
        <v>188</v>
      </c>
      <c r="W102" s="330">
        <v>0</v>
      </c>
      <c r="X102" s="330">
        <v>0</v>
      </c>
      <c r="Y102" s="330">
        <v>0</v>
      </c>
      <c r="Z102" s="330">
        <v>4</v>
      </c>
      <c r="AA102" s="330">
        <v>2</v>
      </c>
      <c r="AB102" s="330">
        <v>16</v>
      </c>
      <c r="AC102" s="330">
        <v>0</v>
      </c>
      <c r="AD102" s="334">
        <v>2136</v>
      </c>
      <c r="AE102" s="334">
        <v>33</v>
      </c>
      <c r="AF102" s="334">
        <v>3</v>
      </c>
      <c r="AG102" s="334">
        <v>36</v>
      </c>
    </row>
    <row r="103" spans="1:33" x14ac:dyDescent="0.25">
      <c r="A103" s="329" t="s">
        <v>262</v>
      </c>
      <c r="B103" s="335" t="s">
        <v>263</v>
      </c>
      <c r="C103" s="331">
        <v>4405</v>
      </c>
      <c r="D103" s="331">
        <v>5</v>
      </c>
      <c r="E103" s="331">
        <v>147</v>
      </c>
      <c r="F103" s="331">
        <v>952</v>
      </c>
      <c r="G103" s="331">
        <v>473</v>
      </c>
      <c r="H103" s="331">
        <v>5982</v>
      </c>
      <c r="I103" s="330">
        <v>5509</v>
      </c>
      <c r="J103" s="330">
        <v>1</v>
      </c>
      <c r="K103" s="332">
        <v>125.65</v>
      </c>
      <c r="L103" s="332">
        <v>127.89</v>
      </c>
      <c r="M103" s="332">
        <v>8.93</v>
      </c>
      <c r="N103" s="332">
        <v>130.13</v>
      </c>
      <c r="O103" s="333">
        <v>3763</v>
      </c>
      <c r="P103" s="330">
        <v>119.87</v>
      </c>
      <c r="Q103" s="330">
        <v>115.67</v>
      </c>
      <c r="R103" s="330">
        <v>21.68</v>
      </c>
      <c r="S103" s="330">
        <v>141.49</v>
      </c>
      <c r="T103" s="330">
        <v>817</v>
      </c>
      <c r="U103" s="330">
        <v>194.96</v>
      </c>
      <c r="V103" s="330">
        <v>546</v>
      </c>
      <c r="W103" s="330">
        <v>126.25</v>
      </c>
      <c r="X103" s="330">
        <v>17</v>
      </c>
      <c r="Y103" s="330">
        <v>0</v>
      </c>
      <c r="Z103" s="330">
        <v>6</v>
      </c>
      <c r="AA103" s="330">
        <v>5</v>
      </c>
      <c r="AB103" s="330">
        <v>20</v>
      </c>
      <c r="AC103" s="330">
        <v>9</v>
      </c>
      <c r="AD103" s="334">
        <v>4280</v>
      </c>
      <c r="AE103" s="334">
        <v>10</v>
      </c>
      <c r="AF103" s="334">
        <v>2</v>
      </c>
      <c r="AG103" s="334">
        <v>12</v>
      </c>
    </row>
    <row r="104" spans="1:33" x14ac:dyDescent="0.25">
      <c r="A104" s="329" t="s">
        <v>264</v>
      </c>
      <c r="B104" s="335" t="s">
        <v>265</v>
      </c>
      <c r="C104" s="331">
        <v>6981</v>
      </c>
      <c r="D104" s="331">
        <v>315</v>
      </c>
      <c r="E104" s="331">
        <v>578</v>
      </c>
      <c r="F104" s="331">
        <v>692</v>
      </c>
      <c r="G104" s="331">
        <v>1252</v>
      </c>
      <c r="H104" s="331">
        <v>9818</v>
      </c>
      <c r="I104" s="330">
        <v>8566</v>
      </c>
      <c r="J104" s="330">
        <v>3</v>
      </c>
      <c r="K104" s="332">
        <v>121</v>
      </c>
      <c r="L104" s="332">
        <v>120.02</v>
      </c>
      <c r="M104" s="332">
        <v>13.94</v>
      </c>
      <c r="N104" s="332">
        <v>132.29</v>
      </c>
      <c r="O104" s="333">
        <v>5861</v>
      </c>
      <c r="P104" s="330">
        <v>113.07</v>
      </c>
      <c r="Q104" s="330">
        <v>101.29</v>
      </c>
      <c r="R104" s="330">
        <v>64.81</v>
      </c>
      <c r="S104" s="330">
        <v>173.92</v>
      </c>
      <c r="T104" s="330">
        <v>1114</v>
      </c>
      <c r="U104" s="330">
        <v>193.17</v>
      </c>
      <c r="V104" s="330">
        <v>678</v>
      </c>
      <c r="W104" s="330">
        <v>0</v>
      </c>
      <c r="X104" s="330">
        <v>0</v>
      </c>
      <c r="Y104" s="330">
        <v>27</v>
      </c>
      <c r="Z104" s="330">
        <v>5</v>
      </c>
      <c r="AA104" s="330">
        <v>7</v>
      </c>
      <c r="AB104" s="330">
        <v>58</v>
      </c>
      <c r="AC104" s="330">
        <v>41</v>
      </c>
      <c r="AD104" s="334">
        <v>6530</v>
      </c>
      <c r="AE104" s="334">
        <v>49</v>
      </c>
      <c r="AF104" s="334">
        <v>30</v>
      </c>
      <c r="AG104" s="334">
        <v>79</v>
      </c>
    </row>
    <row r="105" spans="1:33" x14ac:dyDescent="0.25">
      <c r="A105" s="329" t="s">
        <v>266</v>
      </c>
      <c r="B105" s="335" t="s">
        <v>267</v>
      </c>
      <c r="C105" s="331">
        <v>1416</v>
      </c>
      <c r="D105" s="331">
        <v>0</v>
      </c>
      <c r="E105" s="331">
        <v>114</v>
      </c>
      <c r="F105" s="331">
        <v>275</v>
      </c>
      <c r="G105" s="331">
        <v>251</v>
      </c>
      <c r="H105" s="331">
        <v>2056</v>
      </c>
      <c r="I105" s="330">
        <v>1805</v>
      </c>
      <c r="J105" s="330">
        <v>2</v>
      </c>
      <c r="K105" s="332">
        <v>119.49</v>
      </c>
      <c r="L105" s="332">
        <v>116.96</v>
      </c>
      <c r="M105" s="332">
        <v>5.81</v>
      </c>
      <c r="N105" s="332">
        <v>124.57</v>
      </c>
      <c r="O105" s="333">
        <v>1222</v>
      </c>
      <c r="P105" s="330">
        <v>96.93</v>
      </c>
      <c r="Q105" s="330">
        <v>87.73</v>
      </c>
      <c r="R105" s="330">
        <v>61.17</v>
      </c>
      <c r="S105" s="330">
        <v>148.47</v>
      </c>
      <c r="T105" s="330">
        <v>286</v>
      </c>
      <c r="U105" s="330">
        <v>177.11</v>
      </c>
      <c r="V105" s="330">
        <v>177</v>
      </c>
      <c r="W105" s="330">
        <v>0</v>
      </c>
      <c r="X105" s="330">
        <v>0</v>
      </c>
      <c r="Y105" s="330">
        <v>6</v>
      </c>
      <c r="Z105" s="330">
        <v>0</v>
      </c>
      <c r="AA105" s="330">
        <v>0</v>
      </c>
      <c r="AB105" s="330">
        <v>23</v>
      </c>
      <c r="AC105" s="330">
        <v>7</v>
      </c>
      <c r="AD105" s="334">
        <v>1415</v>
      </c>
      <c r="AE105" s="334">
        <v>10</v>
      </c>
      <c r="AF105" s="334">
        <v>2</v>
      </c>
      <c r="AG105" s="334">
        <v>12</v>
      </c>
    </row>
    <row r="106" spans="1:33" x14ac:dyDescent="0.25">
      <c r="A106" s="329" t="s">
        <v>268</v>
      </c>
      <c r="B106" s="335" t="s">
        <v>269</v>
      </c>
      <c r="C106" s="331">
        <v>2130</v>
      </c>
      <c r="D106" s="331">
        <v>0</v>
      </c>
      <c r="E106" s="331">
        <v>170</v>
      </c>
      <c r="F106" s="331">
        <v>382</v>
      </c>
      <c r="G106" s="331">
        <v>350</v>
      </c>
      <c r="H106" s="331">
        <v>3032</v>
      </c>
      <c r="I106" s="330">
        <v>2682</v>
      </c>
      <c r="J106" s="330">
        <v>0</v>
      </c>
      <c r="K106" s="332">
        <v>121.38</v>
      </c>
      <c r="L106" s="332">
        <v>113.84</v>
      </c>
      <c r="M106" s="332">
        <v>9.6</v>
      </c>
      <c r="N106" s="332">
        <v>126.67</v>
      </c>
      <c r="O106" s="333">
        <v>1959</v>
      </c>
      <c r="P106" s="330">
        <v>111.56</v>
      </c>
      <c r="Q106" s="330">
        <v>96.53</v>
      </c>
      <c r="R106" s="330">
        <v>25.05</v>
      </c>
      <c r="S106" s="330">
        <v>136.16</v>
      </c>
      <c r="T106" s="330">
        <v>333</v>
      </c>
      <c r="U106" s="330">
        <v>195.02</v>
      </c>
      <c r="V106" s="330">
        <v>248</v>
      </c>
      <c r="W106" s="330">
        <v>156.25</v>
      </c>
      <c r="X106" s="330">
        <v>50</v>
      </c>
      <c r="Y106" s="330">
        <v>0</v>
      </c>
      <c r="Z106" s="330">
        <v>0</v>
      </c>
      <c r="AA106" s="330">
        <v>3</v>
      </c>
      <c r="AB106" s="330">
        <v>20</v>
      </c>
      <c r="AC106" s="330">
        <v>4</v>
      </c>
      <c r="AD106" s="334">
        <v>2130</v>
      </c>
      <c r="AE106" s="334">
        <v>6</v>
      </c>
      <c r="AF106" s="334">
        <v>2</v>
      </c>
      <c r="AG106" s="334">
        <v>8</v>
      </c>
    </row>
    <row r="107" spans="1:33" x14ac:dyDescent="0.25">
      <c r="A107" s="329" t="s">
        <v>270</v>
      </c>
      <c r="B107" s="335" t="s">
        <v>271</v>
      </c>
      <c r="C107" s="331">
        <v>4595</v>
      </c>
      <c r="D107" s="331">
        <v>0</v>
      </c>
      <c r="E107" s="331">
        <v>97</v>
      </c>
      <c r="F107" s="331">
        <v>1902</v>
      </c>
      <c r="G107" s="331">
        <v>173</v>
      </c>
      <c r="H107" s="331">
        <v>6767</v>
      </c>
      <c r="I107" s="330">
        <v>6594</v>
      </c>
      <c r="J107" s="330">
        <v>0</v>
      </c>
      <c r="K107" s="332">
        <v>87.64</v>
      </c>
      <c r="L107" s="332">
        <v>87.26</v>
      </c>
      <c r="M107" s="332">
        <v>3.68</v>
      </c>
      <c r="N107" s="332">
        <v>89.76</v>
      </c>
      <c r="O107" s="333">
        <v>4249</v>
      </c>
      <c r="P107" s="330">
        <v>80.819999999999993</v>
      </c>
      <c r="Q107" s="330">
        <v>79.09</v>
      </c>
      <c r="R107" s="330">
        <v>11.49</v>
      </c>
      <c r="S107" s="330">
        <v>91.59</v>
      </c>
      <c r="T107" s="330">
        <v>1996</v>
      </c>
      <c r="U107" s="330">
        <v>95.22</v>
      </c>
      <c r="V107" s="330">
        <v>307</v>
      </c>
      <c r="W107" s="330">
        <v>0</v>
      </c>
      <c r="X107" s="330">
        <v>0</v>
      </c>
      <c r="Y107" s="330">
        <v>0</v>
      </c>
      <c r="Z107" s="330">
        <v>20</v>
      </c>
      <c r="AA107" s="330">
        <v>3</v>
      </c>
      <c r="AB107" s="330">
        <v>3</v>
      </c>
      <c r="AC107" s="330">
        <v>6</v>
      </c>
      <c r="AD107" s="334">
        <v>4595</v>
      </c>
      <c r="AE107" s="334">
        <v>26</v>
      </c>
      <c r="AF107" s="334">
        <v>9</v>
      </c>
      <c r="AG107" s="334">
        <v>35</v>
      </c>
    </row>
    <row r="108" spans="1:33" x14ac:dyDescent="0.25">
      <c r="A108" s="329" t="s">
        <v>272</v>
      </c>
      <c r="B108" s="335" t="s">
        <v>273</v>
      </c>
      <c r="C108" s="331">
        <v>3647</v>
      </c>
      <c r="D108" s="331">
        <v>4</v>
      </c>
      <c r="E108" s="331">
        <v>542</v>
      </c>
      <c r="F108" s="331">
        <v>274</v>
      </c>
      <c r="G108" s="331">
        <v>466</v>
      </c>
      <c r="H108" s="331">
        <v>4933</v>
      </c>
      <c r="I108" s="330">
        <v>4467</v>
      </c>
      <c r="J108" s="330">
        <v>0</v>
      </c>
      <c r="K108" s="332">
        <v>87.26</v>
      </c>
      <c r="L108" s="332">
        <v>85.99</v>
      </c>
      <c r="M108" s="332">
        <v>6.44</v>
      </c>
      <c r="N108" s="332">
        <v>92.23</v>
      </c>
      <c r="O108" s="333">
        <v>3296</v>
      </c>
      <c r="P108" s="330">
        <v>92.38</v>
      </c>
      <c r="Q108" s="330">
        <v>68.02</v>
      </c>
      <c r="R108" s="330">
        <v>88.34</v>
      </c>
      <c r="S108" s="330">
        <v>174.85</v>
      </c>
      <c r="T108" s="330">
        <v>482</v>
      </c>
      <c r="U108" s="330">
        <v>123.1</v>
      </c>
      <c r="V108" s="330">
        <v>216</v>
      </c>
      <c r="W108" s="330">
        <v>120.11</v>
      </c>
      <c r="X108" s="330">
        <v>37</v>
      </c>
      <c r="Y108" s="330">
        <v>0</v>
      </c>
      <c r="Z108" s="330">
        <v>0</v>
      </c>
      <c r="AA108" s="330">
        <v>35</v>
      </c>
      <c r="AB108" s="330">
        <v>23</v>
      </c>
      <c r="AC108" s="330">
        <v>12</v>
      </c>
      <c r="AD108" s="334">
        <v>3519</v>
      </c>
      <c r="AE108" s="334">
        <v>29</v>
      </c>
      <c r="AF108" s="334">
        <v>43</v>
      </c>
      <c r="AG108" s="334">
        <v>72</v>
      </c>
    </row>
    <row r="109" spans="1:33" x14ac:dyDescent="0.25">
      <c r="A109" s="329" t="s">
        <v>274</v>
      </c>
      <c r="B109" s="335" t="s">
        <v>275</v>
      </c>
      <c r="C109" s="331">
        <v>1491</v>
      </c>
      <c r="D109" s="331">
        <v>2</v>
      </c>
      <c r="E109" s="331">
        <v>174</v>
      </c>
      <c r="F109" s="331">
        <v>182</v>
      </c>
      <c r="G109" s="331">
        <v>245</v>
      </c>
      <c r="H109" s="331">
        <v>2094</v>
      </c>
      <c r="I109" s="330">
        <v>1849</v>
      </c>
      <c r="J109" s="330">
        <v>4</v>
      </c>
      <c r="K109" s="332">
        <v>102.54</v>
      </c>
      <c r="L109" s="332">
        <v>102.33</v>
      </c>
      <c r="M109" s="332">
        <v>8.18</v>
      </c>
      <c r="N109" s="332">
        <v>108.49</v>
      </c>
      <c r="O109" s="333">
        <v>1061</v>
      </c>
      <c r="P109" s="330">
        <v>98.51</v>
      </c>
      <c r="Q109" s="330">
        <v>88.49</v>
      </c>
      <c r="R109" s="330">
        <v>45.75</v>
      </c>
      <c r="S109" s="330">
        <v>139.54</v>
      </c>
      <c r="T109" s="330">
        <v>242</v>
      </c>
      <c r="U109" s="330">
        <v>143.93</v>
      </c>
      <c r="V109" s="330">
        <v>318</v>
      </c>
      <c r="W109" s="330">
        <v>0</v>
      </c>
      <c r="X109" s="330">
        <v>0</v>
      </c>
      <c r="Y109" s="330">
        <v>14</v>
      </c>
      <c r="Z109" s="330">
        <v>0</v>
      </c>
      <c r="AA109" s="330">
        <v>0</v>
      </c>
      <c r="AB109" s="330">
        <v>3</v>
      </c>
      <c r="AC109" s="330">
        <v>8</v>
      </c>
      <c r="AD109" s="334">
        <v>1479</v>
      </c>
      <c r="AE109" s="334">
        <v>5</v>
      </c>
      <c r="AF109" s="334">
        <v>4</v>
      </c>
      <c r="AG109" s="334">
        <v>9</v>
      </c>
    </row>
    <row r="110" spans="1:33" x14ac:dyDescent="0.25">
      <c r="A110" s="329" t="s">
        <v>276</v>
      </c>
      <c r="B110" s="335" t="s">
        <v>277</v>
      </c>
      <c r="C110" s="331">
        <v>4799</v>
      </c>
      <c r="D110" s="331">
        <v>0</v>
      </c>
      <c r="E110" s="331">
        <v>202</v>
      </c>
      <c r="F110" s="331">
        <v>680</v>
      </c>
      <c r="G110" s="331">
        <v>162</v>
      </c>
      <c r="H110" s="331">
        <v>5843</v>
      </c>
      <c r="I110" s="330">
        <v>5681</v>
      </c>
      <c r="J110" s="330">
        <v>9</v>
      </c>
      <c r="K110" s="332">
        <v>89.25</v>
      </c>
      <c r="L110" s="332">
        <v>85.97</v>
      </c>
      <c r="M110" s="332">
        <v>4.08</v>
      </c>
      <c r="N110" s="332">
        <v>90.62</v>
      </c>
      <c r="O110" s="333">
        <v>4416</v>
      </c>
      <c r="P110" s="330">
        <v>91.44</v>
      </c>
      <c r="Q110" s="330">
        <v>84.12</v>
      </c>
      <c r="R110" s="330">
        <v>41.72</v>
      </c>
      <c r="S110" s="330">
        <v>132.26</v>
      </c>
      <c r="T110" s="330">
        <v>840</v>
      </c>
      <c r="U110" s="330">
        <v>107.85</v>
      </c>
      <c r="V110" s="330">
        <v>359</v>
      </c>
      <c r="W110" s="330">
        <v>0</v>
      </c>
      <c r="X110" s="330">
        <v>0</v>
      </c>
      <c r="Y110" s="330">
        <v>51</v>
      </c>
      <c r="Z110" s="330">
        <v>14</v>
      </c>
      <c r="AA110" s="330">
        <v>0</v>
      </c>
      <c r="AB110" s="330">
        <v>5</v>
      </c>
      <c r="AC110" s="330">
        <v>2</v>
      </c>
      <c r="AD110" s="334">
        <v>4799</v>
      </c>
      <c r="AE110" s="334">
        <v>27</v>
      </c>
      <c r="AF110" s="334">
        <v>3</v>
      </c>
      <c r="AG110" s="334">
        <v>30</v>
      </c>
    </row>
    <row r="111" spans="1:33" x14ac:dyDescent="0.25">
      <c r="A111" s="329" t="s">
        <v>278</v>
      </c>
      <c r="B111" s="335" t="s">
        <v>279</v>
      </c>
      <c r="C111" s="331">
        <v>1544</v>
      </c>
      <c r="D111" s="331">
        <v>2</v>
      </c>
      <c r="E111" s="331">
        <v>140</v>
      </c>
      <c r="F111" s="331">
        <v>264</v>
      </c>
      <c r="G111" s="331">
        <v>289</v>
      </c>
      <c r="H111" s="331">
        <v>2239</v>
      </c>
      <c r="I111" s="330">
        <v>1950</v>
      </c>
      <c r="J111" s="330">
        <v>2</v>
      </c>
      <c r="K111" s="332">
        <v>94.1</v>
      </c>
      <c r="L111" s="332">
        <v>92.76</v>
      </c>
      <c r="M111" s="332">
        <v>7.59</v>
      </c>
      <c r="N111" s="332">
        <v>99.72</v>
      </c>
      <c r="O111" s="333">
        <v>1185</v>
      </c>
      <c r="P111" s="330">
        <v>98.85</v>
      </c>
      <c r="Q111" s="330">
        <v>82.9</v>
      </c>
      <c r="R111" s="330">
        <v>51.58</v>
      </c>
      <c r="S111" s="330">
        <v>148.62</v>
      </c>
      <c r="T111" s="330">
        <v>370</v>
      </c>
      <c r="U111" s="330">
        <v>138.62</v>
      </c>
      <c r="V111" s="330">
        <v>176</v>
      </c>
      <c r="W111" s="330">
        <v>74.06</v>
      </c>
      <c r="X111" s="330">
        <v>7</v>
      </c>
      <c r="Y111" s="330">
        <v>0</v>
      </c>
      <c r="Z111" s="330">
        <v>8</v>
      </c>
      <c r="AA111" s="330">
        <v>26</v>
      </c>
      <c r="AB111" s="330">
        <v>26</v>
      </c>
      <c r="AC111" s="330">
        <v>3</v>
      </c>
      <c r="AD111" s="334">
        <v>1385</v>
      </c>
      <c r="AE111" s="334">
        <v>1</v>
      </c>
      <c r="AF111" s="334">
        <v>49</v>
      </c>
      <c r="AG111" s="334">
        <v>50</v>
      </c>
    </row>
    <row r="112" spans="1:33" x14ac:dyDescent="0.25">
      <c r="A112" s="329" t="s">
        <v>280</v>
      </c>
      <c r="B112" s="335" t="s">
        <v>281</v>
      </c>
      <c r="C112" s="331">
        <v>4188</v>
      </c>
      <c r="D112" s="331">
        <v>0</v>
      </c>
      <c r="E112" s="331">
        <v>108</v>
      </c>
      <c r="F112" s="331">
        <v>785</v>
      </c>
      <c r="G112" s="331">
        <v>206</v>
      </c>
      <c r="H112" s="331">
        <v>5287</v>
      </c>
      <c r="I112" s="330">
        <v>5081</v>
      </c>
      <c r="J112" s="330">
        <v>6</v>
      </c>
      <c r="K112" s="332">
        <v>93.39</v>
      </c>
      <c r="L112" s="332">
        <v>90.92</v>
      </c>
      <c r="M112" s="332">
        <v>2</v>
      </c>
      <c r="N112" s="332">
        <v>95.13</v>
      </c>
      <c r="O112" s="333">
        <v>3339</v>
      </c>
      <c r="P112" s="330">
        <v>90.47</v>
      </c>
      <c r="Q112" s="330">
        <v>87.27</v>
      </c>
      <c r="R112" s="330">
        <v>22.93</v>
      </c>
      <c r="S112" s="330">
        <v>112.59</v>
      </c>
      <c r="T112" s="330">
        <v>768</v>
      </c>
      <c r="U112" s="330">
        <v>109.16</v>
      </c>
      <c r="V112" s="330">
        <v>416</v>
      </c>
      <c r="W112" s="330">
        <v>214.95</v>
      </c>
      <c r="X112" s="330">
        <v>67</v>
      </c>
      <c r="Y112" s="330">
        <v>0</v>
      </c>
      <c r="Z112" s="330">
        <v>12</v>
      </c>
      <c r="AA112" s="330">
        <v>7</v>
      </c>
      <c r="AB112" s="330">
        <v>9</v>
      </c>
      <c r="AC112" s="330">
        <v>4</v>
      </c>
      <c r="AD112" s="334">
        <v>3753</v>
      </c>
      <c r="AE112" s="334">
        <v>5</v>
      </c>
      <c r="AF112" s="334">
        <v>5</v>
      </c>
      <c r="AG112" s="334">
        <v>10</v>
      </c>
    </row>
    <row r="113" spans="1:33" x14ac:dyDescent="0.25">
      <c r="A113" s="329" t="s">
        <v>282</v>
      </c>
      <c r="B113" s="335" t="s">
        <v>283</v>
      </c>
      <c r="C113" s="331">
        <v>2189</v>
      </c>
      <c r="D113" s="331">
        <v>0</v>
      </c>
      <c r="E113" s="331">
        <v>142</v>
      </c>
      <c r="F113" s="331">
        <v>528</v>
      </c>
      <c r="G113" s="331">
        <v>142</v>
      </c>
      <c r="H113" s="331">
        <v>3001</v>
      </c>
      <c r="I113" s="330">
        <v>2859</v>
      </c>
      <c r="J113" s="330">
        <v>0</v>
      </c>
      <c r="K113" s="332">
        <v>86.41</v>
      </c>
      <c r="L113" s="332">
        <v>85.84</v>
      </c>
      <c r="M113" s="332">
        <v>3.25</v>
      </c>
      <c r="N113" s="332">
        <v>89.4</v>
      </c>
      <c r="O113" s="333">
        <v>1749</v>
      </c>
      <c r="P113" s="330">
        <v>90.92</v>
      </c>
      <c r="Q113" s="330">
        <v>78.22</v>
      </c>
      <c r="R113" s="330">
        <v>21.85</v>
      </c>
      <c r="S113" s="330">
        <v>112.7</v>
      </c>
      <c r="T113" s="330">
        <v>626</v>
      </c>
      <c r="U113" s="330">
        <v>107.14</v>
      </c>
      <c r="V113" s="330">
        <v>416</v>
      </c>
      <c r="W113" s="330">
        <v>0</v>
      </c>
      <c r="X113" s="330">
        <v>0</v>
      </c>
      <c r="Y113" s="330">
        <v>0</v>
      </c>
      <c r="Z113" s="330">
        <v>4</v>
      </c>
      <c r="AA113" s="330">
        <v>0</v>
      </c>
      <c r="AB113" s="330">
        <v>24</v>
      </c>
      <c r="AC113" s="330">
        <v>3</v>
      </c>
      <c r="AD113" s="334">
        <v>2173</v>
      </c>
      <c r="AE113" s="334">
        <v>15</v>
      </c>
      <c r="AF113" s="334">
        <v>1</v>
      </c>
      <c r="AG113" s="334">
        <v>16</v>
      </c>
    </row>
    <row r="114" spans="1:33" x14ac:dyDescent="0.25">
      <c r="A114" s="329" t="s">
        <v>284</v>
      </c>
      <c r="B114" s="335" t="s">
        <v>285</v>
      </c>
      <c r="C114" s="331">
        <v>3978</v>
      </c>
      <c r="D114" s="331">
        <v>27</v>
      </c>
      <c r="E114" s="331">
        <v>352</v>
      </c>
      <c r="F114" s="331">
        <v>930</v>
      </c>
      <c r="G114" s="331">
        <v>193</v>
      </c>
      <c r="H114" s="331">
        <v>5480</v>
      </c>
      <c r="I114" s="330">
        <v>5287</v>
      </c>
      <c r="J114" s="330">
        <v>0</v>
      </c>
      <c r="K114" s="332">
        <v>78.47</v>
      </c>
      <c r="L114" s="332">
        <v>74.98</v>
      </c>
      <c r="M114" s="332">
        <v>7.81</v>
      </c>
      <c r="N114" s="332">
        <v>83.16</v>
      </c>
      <c r="O114" s="333">
        <v>2939</v>
      </c>
      <c r="P114" s="330">
        <v>88.85</v>
      </c>
      <c r="Q114" s="330">
        <v>78.459999999999994</v>
      </c>
      <c r="R114" s="330">
        <v>46.4</v>
      </c>
      <c r="S114" s="330">
        <v>134.63999999999999</v>
      </c>
      <c r="T114" s="330">
        <v>1070</v>
      </c>
      <c r="U114" s="330">
        <v>96.01</v>
      </c>
      <c r="V114" s="330">
        <v>1052</v>
      </c>
      <c r="W114" s="330">
        <v>145.75</v>
      </c>
      <c r="X114" s="330">
        <v>193</v>
      </c>
      <c r="Y114" s="330">
        <v>30</v>
      </c>
      <c r="Z114" s="330">
        <v>4</v>
      </c>
      <c r="AA114" s="330">
        <v>8</v>
      </c>
      <c r="AB114" s="330">
        <v>12</v>
      </c>
      <c r="AC114" s="330">
        <v>4</v>
      </c>
      <c r="AD114" s="334">
        <v>3726</v>
      </c>
      <c r="AE114" s="334">
        <v>64</v>
      </c>
      <c r="AF114" s="334">
        <v>67</v>
      </c>
      <c r="AG114" s="334">
        <v>131</v>
      </c>
    </row>
    <row r="115" spans="1:33" x14ac:dyDescent="0.25">
      <c r="A115" s="329" t="s">
        <v>286</v>
      </c>
      <c r="B115" s="335" t="s">
        <v>287</v>
      </c>
      <c r="C115" s="331">
        <v>3775</v>
      </c>
      <c r="D115" s="331">
        <v>0</v>
      </c>
      <c r="E115" s="331">
        <v>191</v>
      </c>
      <c r="F115" s="331">
        <v>1182</v>
      </c>
      <c r="G115" s="331">
        <v>225</v>
      </c>
      <c r="H115" s="331">
        <v>5373</v>
      </c>
      <c r="I115" s="330">
        <v>5148</v>
      </c>
      <c r="J115" s="330">
        <v>0</v>
      </c>
      <c r="K115" s="332">
        <v>82.29</v>
      </c>
      <c r="L115" s="332">
        <v>80.48</v>
      </c>
      <c r="M115" s="332">
        <v>4.68</v>
      </c>
      <c r="N115" s="332">
        <v>84.08</v>
      </c>
      <c r="O115" s="333">
        <v>3529</v>
      </c>
      <c r="P115" s="330">
        <v>84.87</v>
      </c>
      <c r="Q115" s="330">
        <v>72.61</v>
      </c>
      <c r="R115" s="330">
        <v>28.69</v>
      </c>
      <c r="S115" s="330">
        <v>113.31</v>
      </c>
      <c r="T115" s="330">
        <v>1353</v>
      </c>
      <c r="U115" s="330">
        <v>105.72</v>
      </c>
      <c r="V115" s="330">
        <v>223</v>
      </c>
      <c r="W115" s="330">
        <v>172.65</v>
      </c>
      <c r="X115" s="330">
        <v>17</v>
      </c>
      <c r="Y115" s="330">
        <v>0</v>
      </c>
      <c r="Z115" s="330">
        <v>14</v>
      </c>
      <c r="AA115" s="330">
        <v>4</v>
      </c>
      <c r="AB115" s="330">
        <v>22</v>
      </c>
      <c r="AC115" s="330">
        <v>5</v>
      </c>
      <c r="AD115" s="334">
        <v>3775</v>
      </c>
      <c r="AE115" s="334">
        <v>9</v>
      </c>
      <c r="AF115" s="334">
        <v>1</v>
      </c>
      <c r="AG115" s="334">
        <v>10</v>
      </c>
    </row>
    <row r="116" spans="1:33" x14ac:dyDescent="0.25">
      <c r="A116" s="329" t="s">
        <v>288</v>
      </c>
      <c r="B116" s="335" t="s">
        <v>289</v>
      </c>
      <c r="C116" s="331">
        <v>6640</v>
      </c>
      <c r="D116" s="331">
        <v>95</v>
      </c>
      <c r="E116" s="331">
        <v>567</v>
      </c>
      <c r="F116" s="331">
        <v>950</v>
      </c>
      <c r="G116" s="331">
        <v>495</v>
      </c>
      <c r="H116" s="331">
        <v>8747</v>
      </c>
      <c r="I116" s="330">
        <v>8252</v>
      </c>
      <c r="J116" s="330">
        <v>111</v>
      </c>
      <c r="K116" s="332">
        <v>93.06</v>
      </c>
      <c r="L116" s="332">
        <v>84.48</v>
      </c>
      <c r="M116" s="332">
        <v>7.57</v>
      </c>
      <c r="N116" s="332">
        <v>93.2</v>
      </c>
      <c r="O116" s="333">
        <v>6369</v>
      </c>
      <c r="P116" s="330">
        <v>97.4</v>
      </c>
      <c r="Q116" s="330">
        <v>83.65</v>
      </c>
      <c r="R116" s="330">
        <v>49.16</v>
      </c>
      <c r="S116" s="330">
        <v>145.22</v>
      </c>
      <c r="T116" s="330">
        <v>1170</v>
      </c>
      <c r="U116" s="330">
        <v>113.32</v>
      </c>
      <c r="V116" s="330">
        <v>288</v>
      </c>
      <c r="W116" s="330">
        <v>187.86</v>
      </c>
      <c r="X116" s="330">
        <v>31</v>
      </c>
      <c r="Y116" s="330">
        <v>0</v>
      </c>
      <c r="Z116" s="330">
        <v>34</v>
      </c>
      <c r="AA116" s="330">
        <v>0</v>
      </c>
      <c r="AB116" s="330">
        <v>19</v>
      </c>
      <c r="AC116" s="330">
        <v>9</v>
      </c>
      <c r="AD116" s="334">
        <v>6581</v>
      </c>
      <c r="AE116" s="334">
        <v>36</v>
      </c>
      <c r="AF116" s="334">
        <v>34</v>
      </c>
      <c r="AG116" s="334">
        <v>70</v>
      </c>
    </row>
    <row r="117" spans="1:33" x14ac:dyDescent="0.25">
      <c r="A117" s="329" t="s">
        <v>290</v>
      </c>
      <c r="B117" s="335" t="s">
        <v>291</v>
      </c>
      <c r="C117" s="331">
        <v>2477</v>
      </c>
      <c r="D117" s="331">
        <v>10</v>
      </c>
      <c r="E117" s="331">
        <v>71</v>
      </c>
      <c r="F117" s="331">
        <v>477</v>
      </c>
      <c r="G117" s="331">
        <v>375</v>
      </c>
      <c r="H117" s="331">
        <v>3410</v>
      </c>
      <c r="I117" s="330">
        <v>3035</v>
      </c>
      <c r="J117" s="330">
        <v>1</v>
      </c>
      <c r="K117" s="332">
        <v>97.67</v>
      </c>
      <c r="L117" s="332">
        <v>93</v>
      </c>
      <c r="M117" s="332">
        <v>9.6</v>
      </c>
      <c r="N117" s="332">
        <v>106</v>
      </c>
      <c r="O117" s="333">
        <v>2019</v>
      </c>
      <c r="P117" s="330">
        <v>97.6</v>
      </c>
      <c r="Q117" s="330">
        <v>89.57</v>
      </c>
      <c r="R117" s="330">
        <v>57.91</v>
      </c>
      <c r="S117" s="330">
        <v>154.25</v>
      </c>
      <c r="T117" s="330">
        <v>277</v>
      </c>
      <c r="U117" s="330">
        <v>126.11</v>
      </c>
      <c r="V117" s="330">
        <v>299</v>
      </c>
      <c r="W117" s="330">
        <v>126.26</v>
      </c>
      <c r="X117" s="330">
        <v>27</v>
      </c>
      <c r="Y117" s="330">
        <v>0</v>
      </c>
      <c r="Z117" s="330">
        <v>0</v>
      </c>
      <c r="AA117" s="330">
        <v>1</v>
      </c>
      <c r="AB117" s="330">
        <v>1</v>
      </c>
      <c r="AC117" s="330">
        <v>13</v>
      </c>
      <c r="AD117" s="334">
        <v>2441</v>
      </c>
      <c r="AE117" s="334">
        <v>9</v>
      </c>
      <c r="AF117" s="334">
        <v>1</v>
      </c>
      <c r="AG117" s="334">
        <v>10</v>
      </c>
    </row>
    <row r="118" spans="1:33" x14ac:dyDescent="0.25">
      <c r="A118" s="329" t="s">
        <v>292</v>
      </c>
      <c r="B118" s="335" t="s">
        <v>293</v>
      </c>
      <c r="C118" s="331">
        <v>1516</v>
      </c>
      <c r="D118" s="331">
        <v>0</v>
      </c>
      <c r="E118" s="331">
        <v>76</v>
      </c>
      <c r="F118" s="331">
        <v>179</v>
      </c>
      <c r="G118" s="331">
        <v>336</v>
      </c>
      <c r="H118" s="331">
        <v>2107</v>
      </c>
      <c r="I118" s="330">
        <v>1771</v>
      </c>
      <c r="J118" s="330">
        <v>0</v>
      </c>
      <c r="K118" s="332">
        <v>107.03</v>
      </c>
      <c r="L118" s="332">
        <v>101.96</v>
      </c>
      <c r="M118" s="332">
        <v>6.91</v>
      </c>
      <c r="N118" s="332">
        <v>111.13</v>
      </c>
      <c r="O118" s="333">
        <v>755</v>
      </c>
      <c r="P118" s="330">
        <v>94.85</v>
      </c>
      <c r="Q118" s="330">
        <v>91.69</v>
      </c>
      <c r="R118" s="330">
        <v>64.239999999999995</v>
      </c>
      <c r="S118" s="330">
        <v>157.19999999999999</v>
      </c>
      <c r="T118" s="330">
        <v>68</v>
      </c>
      <c r="U118" s="330">
        <v>141.74</v>
      </c>
      <c r="V118" s="330">
        <v>363</v>
      </c>
      <c r="W118" s="330">
        <v>207.82</v>
      </c>
      <c r="X118" s="330">
        <v>57</v>
      </c>
      <c r="Y118" s="330">
        <v>0</v>
      </c>
      <c r="Z118" s="330">
        <v>3</v>
      </c>
      <c r="AA118" s="330">
        <v>1</v>
      </c>
      <c r="AB118" s="330">
        <v>48</v>
      </c>
      <c r="AC118" s="330">
        <v>12</v>
      </c>
      <c r="AD118" s="334">
        <v>1129</v>
      </c>
      <c r="AE118" s="334">
        <v>8</v>
      </c>
      <c r="AF118" s="334">
        <v>2</v>
      </c>
      <c r="AG118" s="334">
        <v>10</v>
      </c>
    </row>
    <row r="119" spans="1:33" x14ac:dyDescent="0.25">
      <c r="A119" s="329" t="s">
        <v>294</v>
      </c>
      <c r="B119" s="335" t="s">
        <v>295</v>
      </c>
      <c r="C119" s="331">
        <v>1438</v>
      </c>
      <c r="D119" s="331">
        <v>0</v>
      </c>
      <c r="E119" s="331">
        <v>248</v>
      </c>
      <c r="F119" s="331">
        <v>141</v>
      </c>
      <c r="G119" s="331">
        <v>87</v>
      </c>
      <c r="H119" s="331">
        <v>1914</v>
      </c>
      <c r="I119" s="330">
        <v>1827</v>
      </c>
      <c r="J119" s="330">
        <v>2</v>
      </c>
      <c r="K119" s="332">
        <v>86.67</v>
      </c>
      <c r="L119" s="332">
        <v>86.43</v>
      </c>
      <c r="M119" s="332">
        <v>5.38</v>
      </c>
      <c r="N119" s="332">
        <v>90.12</v>
      </c>
      <c r="O119" s="333">
        <v>1234</v>
      </c>
      <c r="P119" s="330">
        <v>93.71</v>
      </c>
      <c r="Q119" s="330">
        <v>82.41</v>
      </c>
      <c r="R119" s="330">
        <v>71.77</v>
      </c>
      <c r="S119" s="330">
        <v>165.25</v>
      </c>
      <c r="T119" s="330">
        <v>297</v>
      </c>
      <c r="U119" s="330">
        <v>98.05</v>
      </c>
      <c r="V119" s="330">
        <v>169</v>
      </c>
      <c r="W119" s="330">
        <v>0</v>
      </c>
      <c r="X119" s="330">
        <v>0</v>
      </c>
      <c r="Y119" s="330">
        <v>4</v>
      </c>
      <c r="Z119" s="330">
        <v>1</v>
      </c>
      <c r="AA119" s="330">
        <v>5</v>
      </c>
      <c r="AB119" s="330">
        <v>0</v>
      </c>
      <c r="AC119" s="330">
        <v>3</v>
      </c>
      <c r="AD119" s="334">
        <v>1438</v>
      </c>
      <c r="AE119" s="334">
        <v>12</v>
      </c>
      <c r="AF119" s="334">
        <v>22</v>
      </c>
      <c r="AG119" s="334">
        <v>34</v>
      </c>
    </row>
    <row r="120" spans="1:33" x14ac:dyDescent="0.25">
      <c r="A120" s="329" t="s">
        <v>296</v>
      </c>
      <c r="B120" s="335" t="s">
        <v>297</v>
      </c>
      <c r="C120" s="331">
        <v>13036</v>
      </c>
      <c r="D120" s="331">
        <v>154</v>
      </c>
      <c r="E120" s="331">
        <v>450</v>
      </c>
      <c r="F120" s="331">
        <v>990</v>
      </c>
      <c r="G120" s="331">
        <v>2485</v>
      </c>
      <c r="H120" s="331">
        <v>17115</v>
      </c>
      <c r="I120" s="330">
        <v>14630</v>
      </c>
      <c r="J120" s="330">
        <v>77</v>
      </c>
      <c r="K120" s="332">
        <v>118.43</v>
      </c>
      <c r="L120" s="332">
        <v>118.26</v>
      </c>
      <c r="M120" s="332">
        <v>14.78</v>
      </c>
      <c r="N120" s="332">
        <v>130.07</v>
      </c>
      <c r="O120" s="333">
        <v>10039</v>
      </c>
      <c r="P120" s="330">
        <v>114.03</v>
      </c>
      <c r="Q120" s="330">
        <v>107.47</v>
      </c>
      <c r="R120" s="330">
        <v>55.02</v>
      </c>
      <c r="S120" s="330">
        <v>158.71</v>
      </c>
      <c r="T120" s="330">
        <v>1219</v>
      </c>
      <c r="U120" s="330">
        <v>172.21</v>
      </c>
      <c r="V120" s="330">
        <v>1225</v>
      </c>
      <c r="W120" s="330">
        <v>0</v>
      </c>
      <c r="X120" s="330">
        <v>0</v>
      </c>
      <c r="Y120" s="330">
        <v>0</v>
      </c>
      <c r="Z120" s="330">
        <v>39</v>
      </c>
      <c r="AA120" s="330">
        <v>18</v>
      </c>
      <c r="AB120" s="330">
        <v>119</v>
      </c>
      <c r="AC120" s="330">
        <v>77</v>
      </c>
      <c r="AD120" s="334">
        <v>11692</v>
      </c>
      <c r="AE120" s="334">
        <v>99</v>
      </c>
      <c r="AF120" s="334">
        <v>87</v>
      </c>
      <c r="AG120" s="334">
        <v>186</v>
      </c>
    </row>
    <row r="121" spans="1:33" x14ac:dyDescent="0.25">
      <c r="A121" s="329" t="s">
        <v>298</v>
      </c>
      <c r="B121" s="335" t="s">
        <v>299</v>
      </c>
      <c r="C121" s="331">
        <v>1751</v>
      </c>
      <c r="D121" s="331">
        <v>11</v>
      </c>
      <c r="E121" s="331">
        <v>274</v>
      </c>
      <c r="F121" s="331">
        <v>226</v>
      </c>
      <c r="G121" s="331">
        <v>413</v>
      </c>
      <c r="H121" s="331">
        <v>2675</v>
      </c>
      <c r="I121" s="330">
        <v>2262</v>
      </c>
      <c r="J121" s="330">
        <v>0</v>
      </c>
      <c r="K121" s="332">
        <v>124.71</v>
      </c>
      <c r="L121" s="332">
        <v>122.42</v>
      </c>
      <c r="M121" s="332">
        <v>7.63</v>
      </c>
      <c r="N121" s="332">
        <v>130.97999999999999</v>
      </c>
      <c r="O121" s="333">
        <v>1335</v>
      </c>
      <c r="P121" s="330">
        <v>104.3</v>
      </c>
      <c r="Q121" s="330">
        <v>88.95</v>
      </c>
      <c r="R121" s="330">
        <v>79.180000000000007</v>
      </c>
      <c r="S121" s="330">
        <v>179.42</v>
      </c>
      <c r="T121" s="330">
        <v>234</v>
      </c>
      <c r="U121" s="330">
        <v>166</v>
      </c>
      <c r="V121" s="330">
        <v>284</v>
      </c>
      <c r="W121" s="330">
        <v>234.99</v>
      </c>
      <c r="X121" s="330">
        <v>39</v>
      </c>
      <c r="Y121" s="330">
        <v>0</v>
      </c>
      <c r="Z121" s="330">
        <v>0</v>
      </c>
      <c r="AA121" s="330">
        <v>2</v>
      </c>
      <c r="AB121" s="330">
        <v>25</v>
      </c>
      <c r="AC121" s="330">
        <v>5</v>
      </c>
      <c r="AD121" s="334">
        <v>1601</v>
      </c>
      <c r="AE121" s="334">
        <v>12</v>
      </c>
      <c r="AF121" s="334">
        <v>1</v>
      </c>
      <c r="AG121" s="334">
        <v>13</v>
      </c>
    </row>
    <row r="122" spans="1:33" x14ac:dyDescent="0.25">
      <c r="A122" s="329" t="s">
        <v>300</v>
      </c>
      <c r="B122" s="335" t="s">
        <v>301</v>
      </c>
      <c r="C122" s="331">
        <v>20112</v>
      </c>
      <c r="D122" s="331">
        <v>559</v>
      </c>
      <c r="E122" s="331">
        <v>1428</v>
      </c>
      <c r="F122" s="331">
        <v>1640</v>
      </c>
      <c r="G122" s="331">
        <v>2509</v>
      </c>
      <c r="H122" s="331">
        <v>26248</v>
      </c>
      <c r="I122" s="330">
        <v>23739</v>
      </c>
      <c r="J122" s="330">
        <v>56</v>
      </c>
      <c r="K122" s="332">
        <v>119.13</v>
      </c>
      <c r="L122" s="332">
        <v>124.79</v>
      </c>
      <c r="M122" s="332">
        <v>14.13</v>
      </c>
      <c r="N122" s="332">
        <v>129.81</v>
      </c>
      <c r="O122" s="333">
        <v>17115</v>
      </c>
      <c r="P122" s="330">
        <v>111.22</v>
      </c>
      <c r="Q122" s="330">
        <v>108.51</v>
      </c>
      <c r="R122" s="330">
        <v>51.46</v>
      </c>
      <c r="S122" s="330">
        <v>158.34</v>
      </c>
      <c r="T122" s="330">
        <v>2705</v>
      </c>
      <c r="U122" s="330">
        <v>207.01</v>
      </c>
      <c r="V122" s="330">
        <v>1090</v>
      </c>
      <c r="W122" s="330">
        <v>250.22</v>
      </c>
      <c r="X122" s="330">
        <v>18</v>
      </c>
      <c r="Y122" s="330">
        <v>20</v>
      </c>
      <c r="Z122" s="330">
        <v>51</v>
      </c>
      <c r="AA122" s="330">
        <v>71</v>
      </c>
      <c r="AB122" s="330">
        <v>22</v>
      </c>
      <c r="AC122" s="330">
        <v>63</v>
      </c>
      <c r="AD122" s="334">
        <v>18396</v>
      </c>
      <c r="AE122" s="334">
        <v>73</v>
      </c>
      <c r="AF122" s="334">
        <v>112</v>
      </c>
      <c r="AG122" s="334">
        <v>185</v>
      </c>
    </row>
    <row r="123" spans="1:33" x14ac:dyDescent="0.25">
      <c r="A123" s="329" t="s">
        <v>302</v>
      </c>
      <c r="B123" s="335" t="s">
        <v>303</v>
      </c>
      <c r="C123" s="331">
        <v>13381</v>
      </c>
      <c r="D123" s="331">
        <v>2</v>
      </c>
      <c r="E123" s="331">
        <v>486</v>
      </c>
      <c r="F123" s="331">
        <v>511</v>
      </c>
      <c r="G123" s="331">
        <v>313</v>
      </c>
      <c r="H123" s="331">
        <v>14693</v>
      </c>
      <c r="I123" s="330">
        <v>14380</v>
      </c>
      <c r="J123" s="330">
        <v>22</v>
      </c>
      <c r="K123" s="332">
        <v>82.81</v>
      </c>
      <c r="L123" s="332">
        <v>82.38</v>
      </c>
      <c r="M123" s="332">
        <v>3.84</v>
      </c>
      <c r="N123" s="332">
        <v>86.51</v>
      </c>
      <c r="O123" s="333">
        <v>11356</v>
      </c>
      <c r="P123" s="330">
        <v>87.12</v>
      </c>
      <c r="Q123" s="330">
        <v>72.91</v>
      </c>
      <c r="R123" s="330">
        <v>30.87</v>
      </c>
      <c r="S123" s="330">
        <v>117.39</v>
      </c>
      <c r="T123" s="330">
        <v>870</v>
      </c>
      <c r="U123" s="330">
        <v>98.58</v>
      </c>
      <c r="V123" s="330">
        <v>2003</v>
      </c>
      <c r="W123" s="330">
        <v>146.47</v>
      </c>
      <c r="X123" s="330">
        <v>82</v>
      </c>
      <c r="Y123" s="330">
        <v>6</v>
      </c>
      <c r="Z123" s="330">
        <v>68</v>
      </c>
      <c r="AA123" s="330">
        <v>4</v>
      </c>
      <c r="AB123" s="330">
        <v>10</v>
      </c>
      <c r="AC123" s="330">
        <v>9</v>
      </c>
      <c r="AD123" s="334">
        <v>13381</v>
      </c>
      <c r="AE123" s="334">
        <v>56</v>
      </c>
      <c r="AF123" s="334">
        <v>41</v>
      </c>
      <c r="AG123" s="334">
        <v>97</v>
      </c>
    </row>
    <row r="124" spans="1:33" x14ac:dyDescent="0.25">
      <c r="A124" s="329" t="s">
        <v>304</v>
      </c>
      <c r="B124" s="335" t="s">
        <v>305</v>
      </c>
      <c r="C124" s="331">
        <v>5039</v>
      </c>
      <c r="D124" s="331">
        <v>5</v>
      </c>
      <c r="E124" s="331">
        <v>408</v>
      </c>
      <c r="F124" s="331">
        <v>78</v>
      </c>
      <c r="G124" s="331">
        <v>168</v>
      </c>
      <c r="H124" s="331">
        <v>5698</v>
      </c>
      <c r="I124" s="330">
        <v>5530</v>
      </c>
      <c r="J124" s="330">
        <v>200</v>
      </c>
      <c r="K124" s="332">
        <v>90.84</v>
      </c>
      <c r="L124" s="332">
        <v>91.72</v>
      </c>
      <c r="M124" s="332">
        <v>1.78</v>
      </c>
      <c r="N124" s="332">
        <v>92.4</v>
      </c>
      <c r="O124" s="333">
        <v>4786</v>
      </c>
      <c r="P124" s="330">
        <v>109.03</v>
      </c>
      <c r="Q124" s="330">
        <v>85.55</v>
      </c>
      <c r="R124" s="330">
        <v>64.239999999999995</v>
      </c>
      <c r="S124" s="330">
        <v>172.7</v>
      </c>
      <c r="T124" s="330">
        <v>339</v>
      </c>
      <c r="U124" s="330">
        <v>107.91</v>
      </c>
      <c r="V124" s="330">
        <v>142</v>
      </c>
      <c r="W124" s="330">
        <v>167.56</v>
      </c>
      <c r="X124" s="330">
        <v>119</v>
      </c>
      <c r="Y124" s="330">
        <v>0</v>
      </c>
      <c r="Z124" s="330">
        <v>4</v>
      </c>
      <c r="AA124" s="330">
        <v>0</v>
      </c>
      <c r="AB124" s="330">
        <v>1</v>
      </c>
      <c r="AC124" s="330">
        <v>1</v>
      </c>
      <c r="AD124" s="334">
        <v>5027</v>
      </c>
      <c r="AE124" s="334">
        <v>15</v>
      </c>
      <c r="AF124" s="334">
        <v>97</v>
      </c>
      <c r="AG124" s="334">
        <v>112</v>
      </c>
    </row>
    <row r="125" spans="1:33" x14ac:dyDescent="0.25">
      <c r="A125" s="329" t="s">
        <v>306</v>
      </c>
      <c r="B125" s="335" t="s">
        <v>307</v>
      </c>
      <c r="C125" s="331">
        <v>11700</v>
      </c>
      <c r="D125" s="331">
        <v>45</v>
      </c>
      <c r="E125" s="331">
        <v>947</v>
      </c>
      <c r="F125" s="331">
        <v>551</v>
      </c>
      <c r="G125" s="331">
        <v>1020</v>
      </c>
      <c r="H125" s="331">
        <v>14263</v>
      </c>
      <c r="I125" s="330">
        <v>13243</v>
      </c>
      <c r="J125" s="330">
        <v>307</v>
      </c>
      <c r="K125" s="332">
        <v>128.47</v>
      </c>
      <c r="L125" s="332">
        <v>139.16</v>
      </c>
      <c r="M125" s="332">
        <v>11.94</v>
      </c>
      <c r="N125" s="332">
        <v>134.6</v>
      </c>
      <c r="O125" s="333">
        <v>9915</v>
      </c>
      <c r="P125" s="330">
        <v>124.48</v>
      </c>
      <c r="Q125" s="330">
        <v>123.63</v>
      </c>
      <c r="R125" s="330">
        <v>68.06</v>
      </c>
      <c r="S125" s="330">
        <v>177.77</v>
      </c>
      <c r="T125" s="330">
        <v>1032</v>
      </c>
      <c r="U125" s="330">
        <v>204.66</v>
      </c>
      <c r="V125" s="330">
        <v>1132</v>
      </c>
      <c r="W125" s="330">
        <v>209.02</v>
      </c>
      <c r="X125" s="330">
        <v>86</v>
      </c>
      <c r="Y125" s="330">
        <v>3</v>
      </c>
      <c r="Z125" s="330">
        <v>2</v>
      </c>
      <c r="AA125" s="330">
        <v>0</v>
      </c>
      <c r="AB125" s="330">
        <v>10</v>
      </c>
      <c r="AC125" s="330">
        <v>29</v>
      </c>
      <c r="AD125" s="334">
        <v>11304</v>
      </c>
      <c r="AE125" s="334">
        <v>30</v>
      </c>
      <c r="AF125" s="334">
        <v>226</v>
      </c>
      <c r="AG125" s="334">
        <v>256</v>
      </c>
    </row>
    <row r="126" spans="1:33" x14ac:dyDescent="0.25">
      <c r="A126" s="329" t="s">
        <v>308</v>
      </c>
      <c r="B126" s="335" t="s">
        <v>309</v>
      </c>
      <c r="C126" s="331">
        <v>2907</v>
      </c>
      <c r="D126" s="331">
        <v>0</v>
      </c>
      <c r="E126" s="331">
        <v>96</v>
      </c>
      <c r="F126" s="331">
        <v>311</v>
      </c>
      <c r="G126" s="331">
        <v>576</v>
      </c>
      <c r="H126" s="331">
        <v>3890</v>
      </c>
      <c r="I126" s="330">
        <v>3314</v>
      </c>
      <c r="J126" s="330">
        <v>0</v>
      </c>
      <c r="K126" s="332">
        <v>89.08</v>
      </c>
      <c r="L126" s="332">
        <v>88.94</v>
      </c>
      <c r="M126" s="332">
        <v>3.81</v>
      </c>
      <c r="N126" s="332">
        <v>91.74</v>
      </c>
      <c r="O126" s="333">
        <v>2406</v>
      </c>
      <c r="P126" s="330">
        <v>80.48</v>
      </c>
      <c r="Q126" s="330">
        <v>75.849999999999994</v>
      </c>
      <c r="R126" s="330">
        <v>40.29</v>
      </c>
      <c r="S126" s="330">
        <v>118.53</v>
      </c>
      <c r="T126" s="330">
        <v>379</v>
      </c>
      <c r="U126" s="330">
        <v>109.19</v>
      </c>
      <c r="V126" s="330">
        <v>389</v>
      </c>
      <c r="W126" s="330">
        <v>117.58</v>
      </c>
      <c r="X126" s="330">
        <v>12</v>
      </c>
      <c r="Y126" s="330">
        <v>0</v>
      </c>
      <c r="Z126" s="330">
        <v>12</v>
      </c>
      <c r="AA126" s="330">
        <v>27</v>
      </c>
      <c r="AB126" s="330">
        <v>59</v>
      </c>
      <c r="AC126" s="330">
        <v>9</v>
      </c>
      <c r="AD126" s="334">
        <v>2903</v>
      </c>
      <c r="AE126" s="334">
        <v>10</v>
      </c>
      <c r="AF126" s="334">
        <v>17</v>
      </c>
      <c r="AG126" s="334">
        <v>27</v>
      </c>
    </row>
    <row r="127" spans="1:33" x14ac:dyDescent="0.25">
      <c r="A127" s="329" t="s">
        <v>310</v>
      </c>
      <c r="B127" s="335" t="s">
        <v>311</v>
      </c>
      <c r="C127" s="331">
        <v>10179</v>
      </c>
      <c r="D127" s="331">
        <v>52</v>
      </c>
      <c r="E127" s="331">
        <v>862</v>
      </c>
      <c r="F127" s="331">
        <v>814</v>
      </c>
      <c r="G127" s="331">
        <v>1612</v>
      </c>
      <c r="H127" s="331">
        <v>13519</v>
      </c>
      <c r="I127" s="330">
        <v>11907</v>
      </c>
      <c r="J127" s="330">
        <v>13</v>
      </c>
      <c r="K127" s="332">
        <v>119.16</v>
      </c>
      <c r="L127" s="332">
        <v>118.78</v>
      </c>
      <c r="M127" s="332">
        <v>12.11</v>
      </c>
      <c r="N127" s="332">
        <v>127.01</v>
      </c>
      <c r="O127" s="333">
        <v>8175</v>
      </c>
      <c r="P127" s="330">
        <v>115.11</v>
      </c>
      <c r="Q127" s="330">
        <v>104.72</v>
      </c>
      <c r="R127" s="330">
        <v>55.95</v>
      </c>
      <c r="S127" s="330">
        <v>160.91</v>
      </c>
      <c r="T127" s="330">
        <v>1207</v>
      </c>
      <c r="U127" s="330">
        <v>188.6</v>
      </c>
      <c r="V127" s="330">
        <v>689</v>
      </c>
      <c r="W127" s="330">
        <v>202.96</v>
      </c>
      <c r="X127" s="330">
        <v>33</v>
      </c>
      <c r="Y127" s="330">
        <v>13</v>
      </c>
      <c r="Z127" s="330">
        <v>0</v>
      </c>
      <c r="AA127" s="330">
        <v>4</v>
      </c>
      <c r="AB127" s="330">
        <v>59</v>
      </c>
      <c r="AC127" s="330">
        <v>38</v>
      </c>
      <c r="AD127" s="334">
        <v>9173</v>
      </c>
      <c r="AE127" s="334">
        <v>32</v>
      </c>
      <c r="AF127" s="334">
        <v>25</v>
      </c>
      <c r="AG127" s="334">
        <v>57</v>
      </c>
    </row>
    <row r="128" spans="1:33" x14ac:dyDescent="0.25">
      <c r="A128" s="329" t="s">
        <v>312</v>
      </c>
      <c r="B128" s="335" t="s">
        <v>313</v>
      </c>
      <c r="C128" s="331">
        <v>1409</v>
      </c>
      <c r="D128" s="331">
        <v>288</v>
      </c>
      <c r="E128" s="331">
        <v>166</v>
      </c>
      <c r="F128" s="331">
        <v>259</v>
      </c>
      <c r="G128" s="331">
        <v>334</v>
      </c>
      <c r="H128" s="331">
        <v>2456</v>
      </c>
      <c r="I128" s="330">
        <v>2122</v>
      </c>
      <c r="J128" s="330">
        <v>3</v>
      </c>
      <c r="K128" s="332">
        <v>101.57</v>
      </c>
      <c r="L128" s="332">
        <v>103.17</v>
      </c>
      <c r="M128" s="332">
        <v>7.6</v>
      </c>
      <c r="N128" s="332">
        <v>107.32</v>
      </c>
      <c r="O128" s="333">
        <v>1170</v>
      </c>
      <c r="P128" s="330">
        <v>89.51</v>
      </c>
      <c r="Q128" s="330">
        <v>86.34</v>
      </c>
      <c r="R128" s="330">
        <v>44.34</v>
      </c>
      <c r="S128" s="330">
        <v>129.53</v>
      </c>
      <c r="T128" s="330">
        <v>359</v>
      </c>
      <c r="U128" s="330">
        <v>150.32</v>
      </c>
      <c r="V128" s="330">
        <v>236</v>
      </c>
      <c r="W128" s="330">
        <v>0</v>
      </c>
      <c r="X128" s="330">
        <v>0</v>
      </c>
      <c r="Y128" s="330">
        <v>16</v>
      </c>
      <c r="Z128" s="330">
        <v>2</v>
      </c>
      <c r="AA128" s="330">
        <v>0</v>
      </c>
      <c r="AB128" s="330">
        <v>5</v>
      </c>
      <c r="AC128" s="330">
        <v>10</v>
      </c>
      <c r="AD128" s="334">
        <v>1396</v>
      </c>
      <c r="AE128" s="334">
        <v>10</v>
      </c>
      <c r="AF128" s="334">
        <v>134</v>
      </c>
      <c r="AG128" s="334">
        <v>144</v>
      </c>
    </row>
    <row r="129" spans="1:33" x14ac:dyDescent="0.25">
      <c r="A129" s="329" t="s">
        <v>314</v>
      </c>
      <c r="B129" s="335" t="s">
        <v>315</v>
      </c>
      <c r="C129" s="331">
        <v>2350</v>
      </c>
      <c r="D129" s="331">
        <v>21</v>
      </c>
      <c r="E129" s="331">
        <v>210</v>
      </c>
      <c r="F129" s="331">
        <v>407</v>
      </c>
      <c r="G129" s="331">
        <v>320</v>
      </c>
      <c r="H129" s="331">
        <v>3308</v>
      </c>
      <c r="I129" s="330">
        <v>2988</v>
      </c>
      <c r="J129" s="330">
        <v>21</v>
      </c>
      <c r="K129" s="332">
        <v>94.62</v>
      </c>
      <c r="L129" s="332">
        <v>92.1</v>
      </c>
      <c r="M129" s="332">
        <v>6.72</v>
      </c>
      <c r="N129" s="332">
        <v>99.14</v>
      </c>
      <c r="O129" s="333">
        <v>1654</v>
      </c>
      <c r="P129" s="330">
        <v>108.14</v>
      </c>
      <c r="Q129" s="330">
        <v>84.12</v>
      </c>
      <c r="R129" s="330">
        <v>44.13</v>
      </c>
      <c r="S129" s="330">
        <v>151.54</v>
      </c>
      <c r="T129" s="330">
        <v>480</v>
      </c>
      <c r="U129" s="330">
        <v>115.76</v>
      </c>
      <c r="V129" s="330">
        <v>556</v>
      </c>
      <c r="W129" s="330">
        <v>111.87</v>
      </c>
      <c r="X129" s="330">
        <v>11</v>
      </c>
      <c r="Y129" s="330">
        <v>0</v>
      </c>
      <c r="Z129" s="330">
        <v>1</v>
      </c>
      <c r="AA129" s="330">
        <v>3</v>
      </c>
      <c r="AB129" s="330">
        <v>22</v>
      </c>
      <c r="AC129" s="330">
        <v>4</v>
      </c>
      <c r="AD129" s="334">
        <v>2124</v>
      </c>
      <c r="AE129" s="334">
        <v>16</v>
      </c>
      <c r="AF129" s="334">
        <v>25</v>
      </c>
      <c r="AG129" s="334">
        <v>41</v>
      </c>
    </row>
    <row r="130" spans="1:33" x14ac:dyDescent="0.25">
      <c r="A130" s="329" t="s">
        <v>316</v>
      </c>
      <c r="B130" s="335" t="s">
        <v>317</v>
      </c>
      <c r="C130" s="331">
        <v>3404</v>
      </c>
      <c r="D130" s="331">
        <v>2</v>
      </c>
      <c r="E130" s="331">
        <v>380</v>
      </c>
      <c r="F130" s="331">
        <v>578</v>
      </c>
      <c r="G130" s="331">
        <v>969</v>
      </c>
      <c r="H130" s="331">
        <v>5333</v>
      </c>
      <c r="I130" s="330">
        <v>4364</v>
      </c>
      <c r="J130" s="330">
        <v>57</v>
      </c>
      <c r="K130" s="332">
        <v>132.13999999999999</v>
      </c>
      <c r="L130" s="332">
        <v>126.91</v>
      </c>
      <c r="M130" s="332">
        <v>9.6199999999999992</v>
      </c>
      <c r="N130" s="332">
        <v>138.86000000000001</v>
      </c>
      <c r="O130" s="333">
        <v>2781</v>
      </c>
      <c r="P130" s="330">
        <v>121.69</v>
      </c>
      <c r="Q130" s="330">
        <v>95.61</v>
      </c>
      <c r="R130" s="330">
        <v>38.93</v>
      </c>
      <c r="S130" s="330">
        <v>150.55000000000001</v>
      </c>
      <c r="T130" s="330">
        <v>576</v>
      </c>
      <c r="U130" s="330">
        <v>190.97</v>
      </c>
      <c r="V130" s="330">
        <v>403</v>
      </c>
      <c r="W130" s="330">
        <v>192.74</v>
      </c>
      <c r="X130" s="330">
        <v>28</v>
      </c>
      <c r="Y130" s="330">
        <v>0</v>
      </c>
      <c r="Z130" s="330">
        <v>1</v>
      </c>
      <c r="AA130" s="330">
        <v>0</v>
      </c>
      <c r="AB130" s="330">
        <v>36</v>
      </c>
      <c r="AC130" s="330">
        <v>33</v>
      </c>
      <c r="AD130" s="334">
        <v>3335</v>
      </c>
      <c r="AE130" s="334">
        <v>12</v>
      </c>
      <c r="AF130" s="334">
        <v>7</v>
      </c>
      <c r="AG130" s="334">
        <v>19</v>
      </c>
    </row>
    <row r="131" spans="1:33" x14ac:dyDescent="0.25">
      <c r="A131" s="329" t="s">
        <v>318</v>
      </c>
      <c r="B131" s="335" t="s">
        <v>319</v>
      </c>
      <c r="C131" s="331">
        <v>2893</v>
      </c>
      <c r="D131" s="331">
        <v>0</v>
      </c>
      <c r="E131" s="331">
        <v>48</v>
      </c>
      <c r="F131" s="331">
        <v>321</v>
      </c>
      <c r="G131" s="331">
        <v>631</v>
      </c>
      <c r="H131" s="331">
        <v>3893</v>
      </c>
      <c r="I131" s="330">
        <v>3262</v>
      </c>
      <c r="J131" s="330">
        <v>0</v>
      </c>
      <c r="K131" s="332">
        <v>116.3</v>
      </c>
      <c r="L131" s="332">
        <v>112.67</v>
      </c>
      <c r="M131" s="332">
        <v>5.92</v>
      </c>
      <c r="N131" s="332">
        <v>118.78</v>
      </c>
      <c r="O131" s="333">
        <v>2392</v>
      </c>
      <c r="P131" s="330">
        <v>99.92</v>
      </c>
      <c r="Q131" s="330">
        <v>101.67</v>
      </c>
      <c r="R131" s="330">
        <v>40.85</v>
      </c>
      <c r="S131" s="330">
        <v>139.08000000000001</v>
      </c>
      <c r="T131" s="330">
        <v>316</v>
      </c>
      <c r="U131" s="330">
        <v>165.25</v>
      </c>
      <c r="V131" s="330">
        <v>465</v>
      </c>
      <c r="W131" s="330">
        <v>117.8</v>
      </c>
      <c r="X131" s="330">
        <v>1</v>
      </c>
      <c r="Y131" s="330">
        <v>0</v>
      </c>
      <c r="Z131" s="330">
        <v>1</v>
      </c>
      <c r="AA131" s="330">
        <v>0</v>
      </c>
      <c r="AB131" s="330">
        <v>48</v>
      </c>
      <c r="AC131" s="330">
        <v>7</v>
      </c>
      <c r="AD131" s="334">
        <v>2893</v>
      </c>
      <c r="AE131" s="334">
        <v>14</v>
      </c>
      <c r="AF131" s="334">
        <v>1</v>
      </c>
      <c r="AG131" s="334">
        <v>15</v>
      </c>
    </row>
    <row r="132" spans="1:33" x14ac:dyDescent="0.25">
      <c r="A132" s="329" t="s">
        <v>320</v>
      </c>
      <c r="B132" s="335" t="s">
        <v>321</v>
      </c>
      <c r="C132" s="331">
        <v>7661</v>
      </c>
      <c r="D132" s="331">
        <v>0</v>
      </c>
      <c r="E132" s="331">
        <v>1459</v>
      </c>
      <c r="F132" s="331">
        <v>677</v>
      </c>
      <c r="G132" s="331">
        <v>231</v>
      </c>
      <c r="H132" s="331">
        <v>10028</v>
      </c>
      <c r="I132" s="330">
        <v>9797</v>
      </c>
      <c r="J132" s="330">
        <v>0</v>
      </c>
      <c r="K132" s="332">
        <v>81.14</v>
      </c>
      <c r="L132" s="332">
        <v>79.97</v>
      </c>
      <c r="M132" s="332">
        <v>5.5</v>
      </c>
      <c r="N132" s="332">
        <v>83.39</v>
      </c>
      <c r="O132" s="333">
        <v>6583</v>
      </c>
      <c r="P132" s="330">
        <v>80.8</v>
      </c>
      <c r="Q132" s="330">
        <v>79.78</v>
      </c>
      <c r="R132" s="330">
        <v>34.68</v>
      </c>
      <c r="S132" s="330">
        <v>100.8</v>
      </c>
      <c r="T132" s="330">
        <v>2027</v>
      </c>
      <c r="U132" s="330">
        <v>93.25</v>
      </c>
      <c r="V132" s="330">
        <v>1014</v>
      </c>
      <c r="W132" s="330">
        <v>103.82</v>
      </c>
      <c r="X132" s="330">
        <v>67</v>
      </c>
      <c r="Y132" s="330">
        <v>378</v>
      </c>
      <c r="Z132" s="330">
        <v>22</v>
      </c>
      <c r="AA132" s="330">
        <v>7</v>
      </c>
      <c r="AB132" s="330">
        <v>2</v>
      </c>
      <c r="AC132" s="330">
        <v>6</v>
      </c>
      <c r="AD132" s="334">
        <v>7635</v>
      </c>
      <c r="AE132" s="334">
        <v>127</v>
      </c>
      <c r="AF132" s="334">
        <v>36</v>
      </c>
      <c r="AG132" s="334">
        <v>163</v>
      </c>
    </row>
    <row r="133" spans="1:33" x14ac:dyDescent="0.25">
      <c r="A133" s="329" t="s">
        <v>322</v>
      </c>
      <c r="B133" s="335" t="s">
        <v>323</v>
      </c>
      <c r="C133" s="331">
        <v>5118</v>
      </c>
      <c r="D133" s="331">
        <v>0</v>
      </c>
      <c r="E133" s="331">
        <v>317</v>
      </c>
      <c r="F133" s="331">
        <v>713</v>
      </c>
      <c r="G133" s="331">
        <v>196</v>
      </c>
      <c r="H133" s="331">
        <v>6344</v>
      </c>
      <c r="I133" s="330">
        <v>6148</v>
      </c>
      <c r="J133" s="330">
        <v>7</v>
      </c>
      <c r="K133" s="332">
        <v>86.98</v>
      </c>
      <c r="L133" s="332">
        <v>86.41</v>
      </c>
      <c r="M133" s="332">
        <v>6.73</v>
      </c>
      <c r="N133" s="332">
        <v>92.79</v>
      </c>
      <c r="O133" s="333">
        <v>4306</v>
      </c>
      <c r="P133" s="330">
        <v>72.540000000000006</v>
      </c>
      <c r="Q133" s="330">
        <v>71.459999999999994</v>
      </c>
      <c r="R133" s="330">
        <v>38.159999999999997</v>
      </c>
      <c r="S133" s="330">
        <v>110.7</v>
      </c>
      <c r="T133" s="330">
        <v>796</v>
      </c>
      <c r="U133" s="330">
        <v>112.04</v>
      </c>
      <c r="V133" s="330">
        <v>734</v>
      </c>
      <c r="W133" s="330">
        <v>145.74</v>
      </c>
      <c r="X133" s="330">
        <v>140</v>
      </c>
      <c r="Y133" s="330">
        <v>40</v>
      </c>
      <c r="Z133" s="330">
        <v>3</v>
      </c>
      <c r="AA133" s="330">
        <v>2</v>
      </c>
      <c r="AB133" s="330">
        <v>13</v>
      </c>
      <c r="AC133" s="330">
        <v>6</v>
      </c>
      <c r="AD133" s="334">
        <v>5044</v>
      </c>
      <c r="AE133" s="334">
        <v>22</v>
      </c>
      <c r="AF133" s="334">
        <v>33</v>
      </c>
      <c r="AG133" s="334">
        <v>55</v>
      </c>
    </row>
    <row r="134" spans="1:33" x14ac:dyDescent="0.25">
      <c r="A134" s="329" t="s">
        <v>324</v>
      </c>
      <c r="B134" s="335" t="s">
        <v>325</v>
      </c>
      <c r="C134" s="331">
        <v>4450</v>
      </c>
      <c r="D134" s="331">
        <v>2</v>
      </c>
      <c r="E134" s="331">
        <v>238</v>
      </c>
      <c r="F134" s="331">
        <v>1017</v>
      </c>
      <c r="G134" s="331">
        <v>393</v>
      </c>
      <c r="H134" s="331">
        <v>6100</v>
      </c>
      <c r="I134" s="330">
        <v>5707</v>
      </c>
      <c r="J134" s="330">
        <v>0</v>
      </c>
      <c r="K134" s="332">
        <v>105.18</v>
      </c>
      <c r="L134" s="332">
        <v>100.13</v>
      </c>
      <c r="M134" s="332">
        <v>9.61</v>
      </c>
      <c r="N134" s="332">
        <v>109.73</v>
      </c>
      <c r="O134" s="333">
        <v>3579</v>
      </c>
      <c r="P134" s="330">
        <v>96.4</v>
      </c>
      <c r="Q134" s="330">
        <v>88.18</v>
      </c>
      <c r="R134" s="330">
        <v>19.78</v>
      </c>
      <c r="S134" s="330">
        <v>114.13</v>
      </c>
      <c r="T134" s="330">
        <v>1083</v>
      </c>
      <c r="U134" s="330">
        <v>141.84</v>
      </c>
      <c r="V134" s="330">
        <v>720</v>
      </c>
      <c r="W134" s="330">
        <v>158.22999999999999</v>
      </c>
      <c r="X134" s="330">
        <v>14</v>
      </c>
      <c r="Y134" s="330">
        <v>23</v>
      </c>
      <c r="Z134" s="330">
        <v>0</v>
      </c>
      <c r="AA134" s="330">
        <v>1</v>
      </c>
      <c r="AB134" s="330">
        <v>13</v>
      </c>
      <c r="AC134" s="330">
        <v>6</v>
      </c>
      <c r="AD134" s="334">
        <v>4395</v>
      </c>
      <c r="AE134" s="334">
        <v>8</v>
      </c>
      <c r="AF134" s="334">
        <v>8</v>
      </c>
      <c r="AG134" s="334">
        <v>16</v>
      </c>
    </row>
    <row r="135" spans="1:33" x14ac:dyDescent="0.25">
      <c r="A135" s="329" t="s">
        <v>326</v>
      </c>
      <c r="B135" s="335" t="s">
        <v>327</v>
      </c>
      <c r="C135" s="331">
        <v>3539</v>
      </c>
      <c r="D135" s="331">
        <v>354</v>
      </c>
      <c r="E135" s="331">
        <v>199</v>
      </c>
      <c r="F135" s="331">
        <v>497</v>
      </c>
      <c r="G135" s="331">
        <v>815</v>
      </c>
      <c r="H135" s="331">
        <v>5404</v>
      </c>
      <c r="I135" s="330">
        <v>4589</v>
      </c>
      <c r="J135" s="330">
        <v>15</v>
      </c>
      <c r="K135" s="332">
        <v>116.33</v>
      </c>
      <c r="L135" s="332">
        <v>116.71</v>
      </c>
      <c r="M135" s="332">
        <v>10.47</v>
      </c>
      <c r="N135" s="332">
        <v>124.56</v>
      </c>
      <c r="O135" s="333">
        <v>2420</v>
      </c>
      <c r="P135" s="330">
        <v>114.56</v>
      </c>
      <c r="Q135" s="330">
        <v>100.17</v>
      </c>
      <c r="R135" s="330">
        <v>39.4</v>
      </c>
      <c r="S135" s="330">
        <v>146.02000000000001</v>
      </c>
      <c r="T135" s="330">
        <v>640</v>
      </c>
      <c r="U135" s="330">
        <v>176.74</v>
      </c>
      <c r="V135" s="330">
        <v>954</v>
      </c>
      <c r="W135" s="330">
        <v>201.21</v>
      </c>
      <c r="X135" s="330">
        <v>38</v>
      </c>
      <c r="Y135" s="330">
        <v>0</v>
      </c>
      <c r="Z135" s="330">
        <v>2</v>
      </c>
      <c r="AA135" s="330">
        <v>4</v>
      </c>
      <c r="AB135" s="330">
        <v>40</v>
      </c>
      <c r="AC135" s="330">
        <v>17</v>
      </c>
      <c r="AD135" s="334">
        <v>3463</v>
      </c>
      <c r="AE135" s="334">
        <v>57</v>
      </c>
      <c r="AF135" s="334">
        <v>44</v>
      </c>
      <c r="AG135" s="334">
        <v>101</v>
      </c>
    </row>
    <row r="136" spans="1:33" x14ac:dyDescent="0.25">
      <c r="A136" s="329" t="s">
        <v>328</v>
      </c>
      <c r="B136" s="335" t="s">
        <v>329</v>
      </c>
      <c r="C136" s="331">
        <v>9165</v>
      </c>
      <c r="D136" s="331">
        <v>15</v>
      </c>
      <c r="E136" s="331">
        <v>343</v>
      </c>
      <c r="F136" s="331">
        <v>1754</v>
      </c>
      <c r="G136" s="331">
        <v>809</v>
      </c>
      <c r="H136" s="331">
        <v>12086</v>
      </c>
      <c r="I136" s="330">
        <v>11277</v>
      </c>
      <c r="J136" s="330">
        <v>14</v>
      </c>
      <c r="K136" s="332">
        <v>89.97</v>
      </c>
      <c r="L136" s="332">
        <v>88.17</v>
      </c>
      <c r="M136" s="332">
        <v>3.88</v>
      </c>
      <c r="N136" s="332">
        <v>91.53</v>
      </c>
      <c r="O136" s="333">
        <v>8397</v>
      </c>
      <c r="P136" s="330">
        <v>83.21</v>
      </c>
      <c r="Q136" s="330">
        <v>81.56</v>
      </c>
      <c r="R136" s="330">
        <v>35.700000000000003</v>
      </c>
      <c r="S136" s="330">
        <v>110.86</v>
      </c>
      <c r="T136" s="330">
        <v>2049</v>
      </c>
      <c r="U136" s="330">
        <v>104.74</v>
      </c>
      <c r="V136" s="330">
        <v>724</v>
      </c>
      <c r="W136" s="330">
        <v>179.66</v>
      </c>
      <c r="X136" s="330">
        <v>20</v>
      </c>
      <c r="Y136" s="330">
        <v>0</v>
      </c>
      <c r="Z136" s="330">
        <v>19</v>
      </c>
      <c r="AA136" s="330">
        <v>7</v>
      </c>
      <c r="AB136" s="330">
        <v>52</v>
      </c>
      <c r="AC136" s="330">
        <v>9</v>
      </c>
      <c r="AD136" s="334">
        <v>9126</v>
      </c>
      <c r="AE136" s="334">
        <v>40</v>
      </c>
      <c r="AF136" s="334">
        <v>90</v>
      </c>
      <c r="AG136" s="334">
        <v>130</v>
      </c>
    </row>
    <row r="137" spans="1:33" x14ac:dyDescent="0.25">
      <c r="A137" s="329" t="s">
        <v>330</v>
      </c>
      <c r="B137" s="335" t="s">
        <v>331</v>
      </c>
      <c r="C137" s="331">
        <v>6404</v>
      </c>
      <c r="D137" s="331">
        <v>24</v>
      </c>
      <c r="E137" s="331">
        <v>149</v>
      </c>
      <c r="F137" s="331">
        <v>850</v>
      </c>
      <c r="G137" s="331">
        <v>488</v>
      </c>
      <c r="H137" s="331">
        <v>7915</v>
      </c>
      <c r="I137" s="330">
        <v>7427</v>
      </c>
      <c r="J137" s="330">
        <v>7</v>
      </c>
      <c r="K137" s="332">
        <v>120.58</v>
      </c>
      <c r="L137" s="332">
        <v>122.32</v>
      </c>
      <c r="M137" s="332">
        <v>7.25</v>
      </c>
      <c r="N137" s="332">
        <v>124.64</v>
      </c>
      <c r="O137" s="333">
        <v>5443</v>
      </c>
      <c r="P137" s="330">
        <v>111.51</v>
      </c>
      <c r="Q137" s="330">
        <v>109.11</v>
      </c>
      <c r="R137" s="330">
        <v>31.15</v>
      </c>
      <c r="S137" s="330">
        <v>141.79</v>
      </c>
      <c r="T137" s="330">
        <v>965</v>
      </c>
      <c r="U137" s="330">
        <v>177.36</v>
      </c>
      <c r="V137" s="330">
        <v>785</v>
      </c>
      <c r="W137" s="330">
        <v>0</v>
      </c>
      <c r="X137" s="330">
        <v>0</v>
      </c>
      <c r="Y137" s="330">
        <v>0</v>
      </c>
      <c r="Z137" s="330">
        <v>1</v>
      </c>
      <c r="AA137" s="330">
        <v>1</v>
      </c>
      <c r="AB137" s="330">
        <v>22</v>
      </c>
      <c r="AC137" s="330">
        <v>10</v>
      </c>
      <c r="AD137" s="334">
        <v>6236</v>
      </c>
      <c r="AE137" s="334">
        <v>25</v>
      </c>
      <c r="AF137" s="334">
        <v>7</v>
      </c>
      <c r="AG137" s="334">
        <v>32</v>
      </c>
    </row>
    <row r="138" spans="1:33" x14ac:dyDescent="0.25">
      <c r="A138" s="329" t="s">
        <v>332</v>
      </c>
      <c r="B138" s="335" t="s">
        <v>333</v>
      </c>
      <c r="C138" s="331">
        <v>948</v>
      </c>
      <c r="D138" s="331">
        <v>1</v>
      </c>
      <c r="E138" s="331">
        <v>66</v>
      </c>
      <c r="F138" s="331">
        <v>336</v>
      </c>
      <c r="G138" s="331">
        <v>203</v>
      </c>
      <c r="H138" s="331">
        <v>1554</v>
      </c>
      <c r="I138" s="330">
        <v>1351</v>
      </c>
      <c r="J138" s="330">
        <v>0</v>
      </c>
      <c r="K138" s="332">
        <v>95.65</v>
      </c>
      <c r="L138" s="332">
        <v>93.38</v>
      </c>
      <c r="M138" s="332">
        <v>7.03</v>
      </c>
      <c r="N138" s="332">
        <v>99.44</v>
      </c>
      <c r="O138" s="333">
        <v>758</v>
      </c>
      <c r="P138" s="330">
        <v>88.88</v>
      </c>
      <c r="Q138" s="330">
        <v>79.97</v>
      </c>
      <c r="R138" s="330">
        <v>40.47</v>
      </c>
      <c r="S138" s="330">
        <v>127.12</v>
      </c>
      <c r="T138" s="330">
        <v>381</v>
      </c>
      <c r="U138" s="330">
        <v>108.1</v>
      </c>
      <c r="V138" s="330">
        <v>173</v>
      </c>
      <c r="W138" s="330">
        <v>0</v>
      </c>
      <c r="X138" s="330">
        <v>0</v>
      </c>
      <c r="Y138" s="330">
        <v>0</v>
      </c>
      <c r="Z138" s="330">
        <v>0</v>
      </c>
      <c r="AA138" s="330">
        <v>0</v>
      </c>
      <c r="AB138" s="330">
        <v>4</v>
      </c>
      <c r="AC138" s="330">
        <v>8</v>
      </c>
      <c r="AD138" s="334">
        <v>930</v>
      </c>
      <c r="AE138" s="334">
        <v>6</v>
      </c>
      <c r="AF138" s="334">
        <v>5</v>
      </c>
      <c r="AG138" s="334">
        <v>11</v>
      </c>
    </row>
    <row r="139" spans="1:33" x14ac:dyDescent="0.25">
      <c r="A139" s="329" t="s">
        <v>334</v>
      </c>
      <c r="B139" s="335" t="s">
        <v>335</v>
      </c>
      <c r="C139" s="331">
        <v>6532</v>
      </c>
      <c r="D139" s="331">
        <v>0</v>
      </c>
      <c r="E139" s="331">
        <v>560</v>
      </c>
      <c r="F139" s="331">
        <v>530</v>
      </c>
      <c r="G139" s="331">
        <v>1255</v>
      </c>
      <c r="H139" s="331">
        <v>8877</v>
      </c>
      <c r="I139" s="330">
        <v>7622</v>
      </c>
      <c r="J139" s="330">
        <v>70</v>
      </c>
      <c r="K139" s="332">
        <v>124.47</v>
      </c>
      <c r="L139" s="332">
        <v>122.4</v>
      </c>
      <c r="M139" s="332">
        <v>10.95</v>
      </c>
      <c r="N139" s="332">
        <v>131.84</v>
      </c>
      <c r="O139" s="333">
        <v>5488</v>
      </c>
      <c r="P139" s="330">
        <v>106.82</v>
      </c>
      <c r="Q139" s="330">
        <v>100.67</v>
      </c>
      <c r="R139" s="330">
        <v>39.14</v>
      </c>
      <c r="S139" s="330">
        <v>138.18</v>
      </c>
      <c r="T139" s="330">
        <v>840</v>
      </c>
      <c r="U139" s="330">
        <v>188.26</v>
      </c>
      <c r="V139" s="330">
        <v>865</v>
      </c>
      <c r="W139" s="330">
        <v>165.08</v>
      </c>
      <c r="X139" s="330">
        <v>51</v>
      </c>
      <c r="Y139" s="330">
        <v>0</v>
      </c>
      <c r="Z139" s="330">
        <v>4</v>
      </c>
      <c r="AA139" s="330">
        <v>3</v>
      </c>
      <c r="AB139" s="330">
        <v>14</v>
      </c>
      <c r="AC139" s="330">
        <v>35</v>
      </c>
      <c r="AD139" s="334">
        <v>6399</v>
      </c>
      <c r="AE139" s="334">
        <v>8</v>
      </c>
      <c r="AF139" s="334">
        <v>9</v>
      </c>
      <c r="AG139" s="334">
        <v>17</v>
      </c>
    </row>
    <row r="140" spans="1:33" x14ac:dyDescent="0.25">
      <c r="A140" s="329" t="s">
        <v>336</v>
      </c>
      <c r="B140" s="335" t="s">
        <v>337</v>
      </c>
      <c r="C140" s="331">
        <v>1847</v>
      </c>
      <c r="D140" s="331">
        <v>0</v>
      </c>
      <c r="E140" s="331">
        <v>111</v>
      </c>
      <c r="F140" s="331">
        <v>125</v>
      </c>
      <c r="G140" s="331">
        <v>343</v>
      </c>
      <c r="H140" s="331">
        <v>2426</v>
      </c>
      <c r="I140" s="330">
        <v>2083</v>
      </c>
      <c r="J140" s="330">
        <v>1</v>
      </c>
      <c r="K140" s="332">
        <v>90.35</v>
      </c>
      <c r="L140" s="332">
        <v>89.32</v>
      </c>
      <c r="M140" s="332">
        <v>6.02</v>
      </c>
      <c r="N140" s="332">
        <v>93.5</v>
      </c>
      <c r="O140" s="333">
        <v>1444</v>
      </c>
      <c r="P140" s="330">
        <v>114.29</v>
      </c>
      <c r="Q140" s="330">
        <v>76.540000000000006</v>
      </c>
      <c r="R140" s="330">
        <v>32.67</v>
      </c>
      <c r="S140" s="330">
        <v>146.94999999999999</v>
      </c>
      <c r="T140" s="330">
        <v>230</v>
      </c>
      <c r="U140" s="330">
        <v>102.13</v>
      </c>
      <c r="V140" s="330">
        <v>371</v>
      </c>
      <c r="W140" s="330">
        <v>0</v>
      </c>
      <c r="X140" s="330">
        <v>0</v>
      </c>
      <c r="Y140" s="330">
        <v>0</v>
      </c>
      <c r="Z140" s="330">
        <v>1</v>
      </c>
      <c r="AA140" s="330">
        <v>6</v>
      </c>
      <c r="AB140" s="330">
        <v>18</v>
      </c>
      <c r="AC140" s="330">
        <v>4</v>
      </c>
      <c r="AD140" s="334">
        <v>1847</v>
      </c>
      <c r="AE140" s="334">
        <v>6</v>
      </c>
      <c r="AF140" s="334">
        <v>32</v>
      </c>
      <c r="AG140" s="334">
        <v>38</v>
      </c>
    </row>
    <row r="141" spans="1:33" x14ac:dyDescent="0.25">
      <c r="A141" s="329" t="s">
        <v>338</v>
      </c>
      <c r="B141" s="335" t="s">
        <v>339</v>
      </c>
      <c r="C141" s="331">
        <v>5929</v>
      </c>
      <c r="D141" s="331">
        <v>0</v>
      </c>
      <c r="E141" s="331">
        <v>152</v>
      </c>
      <c r="F141" s="331">
        <v>1074</v>
      </c>
      <c r="G141" s="331">
        <v>734</v>
      </c>
      <c r="H141" s="331">
        <v>7889</v>
      </c>
      <c r="I141" s="330">
        <v>7155</v>
      </c>
      <c r="J141" s="330">
        <v>7</v>
      </c>
      <c r="K141" s="332">
        <v>110.82</v>
      </c>
      <c r="L141" s="332">
        <v>109.72</v>
      </c>
      <c r="M141" s="332">
        <v>4.1399999999999997</v>
      </c>
      <c r="N141" s="332">
        <v>113.34</v>
      </c>
      <c r="O141" s="333">
        <v>4672</v>
      </c>
      <c r="P141" s="330">
        <v>95.62</v>
      </c>
      <c r="Q141" s="330">
        <v>93.52</v>
      </c>
      <c r="R141" s="330">
        <v>28.56</v>
      </c>
      <c r="S141" s="330">
        <v>123.43</v>
      </c>
      <c r="T141" s="330">
        <v>996</v>
      </c>
      <c r="U141" s="330">
        <v>163.28</v>
      </c>
      <c r="V141" s="330">
        <v>1171</v>
      </c>
      <c r="W141" s="330">
        <v>182.79</v>
      </c>
      <c r="X141" s="330">
        <v>158</v>
      </c>
      <c r="Y141" s="330">
        <v>0</v>
      </c>
      <c r="Z141" s="330">
        <v>20</v>
      </c>
      <c r="AA141" s="330">
        <v>6</v>
      </c>
      <c r="AB141" s="330">
        <v>101</v>
      </c>
      <c r="AC141" s="330">
        <v>9</v>
      </c>
      <c r="AD141" s="334">
        <v>5864</v>
      </c>
      <c r="AE141" s="334">
        <v>29</v>
      </c>
      <c r="AF141" s="334">
        <v>34</v>
      </c>
      <c r="AG141" s="334">
        <v>63</v>
      </c>
    </row>
    <row r="142" spans="1:33" x14ac:dyDescent="0.25">
      <c r="A142" s="329" t="s">
        <v>340</v>
      </c>
      <c r="B142" s="335" t="s">
        <v>341</v>
      </c>
      <c r="C142" s="331">
        <v>7815</v>
      </c>
      <c r="D142" s="331">
        <v>23</v>
      </c>
      <c r="E142" s="331">
        <v>486</v>
      </c>
      <c r="F142" s="331">
        <v>164</v>
      </c>
      <c r="G142" s="331">
        <v>2213</v>
      </c>
      <c r="H142" s="331">
        <v>10701</v>
      </c>
      <c r="I142" s="330">
        <v>8488</v>
      </c>
      <c r="J142" s="330">
        <v>45</v>
      </c>
      <c r="K142" s="332">
        <v>123.32</v>
      </c>
      <c r="L142" s="332">
        <v>124.15</v>
      </c>
      <c r="M142" s="332">
        <v>9.9700000000000006</v>
      </c>
      <c r="N142" s="332">
        <v>131.12</v>
      </c>
      <c r="O142" s="333">
        <v>5853</v>
      </c>
      <c r="P142" s="330">
        <v>114.18</v>
      </c>
      <c r="Q142" s="330">
        <v>103.27</v>
      </c>
      <c r="R142" s="330">
        <v>101.6</v>
      </c>
      <c r="S142" s="330">
        <v>177.89</v>
      </c>
      <c r="T142" s="330">
        <v>303</v>
      </c>
      <c r="U142" s="330">
        <v>196.82</v>
      </c>
      <c r="V142" s="330">
        <v>1057</v>
      </c>
      <c r="W142" s="330">
        <v>221.79</v>
      </c>
      <c r="X142" s="330">
        <v>110</v>
      </c>
      <c r="Y142" s="330">
        <v>0</v>
      </c>
      <c r="Z142" s="330">
        <v>2</v>
      </c>
      <c r="AA142" s="330">
        <v>2</v>
      </c>
      <c r="AB142" s="330">
        <v>173</v>
      </c>
      <c r="AC142" s="330">
        <v>51</v>
      </c>
      <c r="AD142" s="334">
        <v>7233</v>
      </c>
      <c r="AE142" s="334">
        <v>13</v>
      </c>
      <c r="AF142" s="334">
        <v>46</v>
      </c>
      <c r="AG142" s="334">
        <v>59</v>
      </c>
    </row>
    <row r="143" spans="1:33" x14ac:dyDescent="0.25">
      <c r="A143" s="329" t="s">
        <v>342</v>
      </c>
      <c r="B143" s="335" t="s">
        <v>343</v>
      </c>
      <c r="C143" s="331">
        <v>8406</v>
      </c>
      <c r="D143" s="331">
        <v>20</v>
      </c>
      <c r="E143" s="331">
        <v>403</v>
      </c>
      <c r="F143" s="331">
        <v>1040</v>
      </c>
      <c r="G143" s="331">
        <v>695</v>
      </c>
      <c r="H143" s="331">
        <v>10564</v>
      </c>
      <c r="I143" s="330">
        <v>9869</v>
      </c>
      <c r="J143" s="330">
        <v>28</v>
      </c>
      <c r="K143" s="332">
        <v>95.17</v>
      </c>
      <c r="L143" s="332">
        <v>94.45</v>
      </c>
      <c r="M143" s="332">
        <v>4.68</v>
      </c>
      <c r="N143" s="332">
        <v>96.8</v>
      </c>
      <c r="O143" s="333">
        <v>7857</v>
      </c>
      <c r="P143" s="330">
        <v>90.68</v>
      </c>
      <c r="Q143" s="330">
        <v>84.77</v>
      </c>
      <c r="R143" s="330">
        <v>45.75</v>
      </c>
      <c r="S143" s="330">
        <v>133.53</v>
      </c>
      <c r="T143" s="330">
        <v>1344</v>
      </c>
      <c r="U143" s="330">
        <v>126.77</v>
      </c>
      <c r="V143" s="330">
        <v>418</v>
      </c>
      <c r="W143" s="330">
        <v>205.57</v>
      </c>
      <c r="X143" s="330">
        <v>46</v>
      </c>
      <c r="Y143" s="330">
        <v>0</v>
      </c>
      <c r="Z143" s="330">
        <v>21</v>
      </c>
      <c r="AA143" s="330">
        <v>14</v>
      </c>
      <c r="AB143" s="330">
        <v>53</v>
      </c>
      <c r="AC143" s="330">
        <v>14</v>
      </c>
      <c r="AD143" s="334">
        <v>8403</v>
      </c>
      <c r="AE143" s="334">
        <v>26</v>
      </c>
      <c r="AF143" s="334">
        <v>47</v>
      </c>
      <c r="AG143" s="334">
        <v>73</v>
      </c>
    </row>
    <row r="144" spans="1:33" x14ac:dyDescent="0.25">
      <c r="A144" s="329" t="s">
        <v>344</v>
      </c>
      <c r="B144" s="335" t="s">
        <v>345</v>
      </c>
      <c r="C144" s="331">
        <v>3019</v>
      </c>
      <c r="D144" s="331">
        <v>0</v>
      </c>
      <c r="E144" s="331">
        <v>317</v>
      </c>
      <c r="F144" s="331">
        <v>1604</v>
      </c>
      <c r="G144" s="331">
        <v>52</v>
      </c>
      <c r="H144" s="331">
        <v>4992</v>
      </c>
      <c r="I144" s="330">
        <v>4940</v>
      </c>
      <c r="J144" s="330">
        <v>126</v>
      </c>
      <c r="K144" s="332">
        <v>76.62</v>
      </c>
      <c r="L144" s="332">
        <v>77.59</v>
      </c>
      <c r="M144" s="332">
        <v>1.81</v>
      </c>
      <c r="N144" s="332">
        <v>77.569999999999993</v>
      </c>
      <c r="O144" s="333">
        <v>2914</v>
      </c>
      <c r="P144" s="330">
        <v>78.47</v>
      </c>
      <c r="Q144" s="330">
        <v>70.62</v>
      </c>
      <c r="R144" s="330">
        <v>26.26</v>
      </c>
      <c r="S144" s="330">
        <v>104.6</v>
      </c>
      <c r="T144" s="330">
        <v>1828</v>
      </c>
      <c r="U144" s="330">
        <v>90.13</v>
      </c>
      <c r="V144" s="330">
        <v>105</v>
      </c>
      <c r="W144" s="330">
        <v>237.78</v>
      </c>
      <c r="X144" s="330">
        <v>12</v>
      </c>
      <c r="Y144" s="330">
        <v>0</v>
      </c>
      <c r="Z144" s="330">
        <v>18</v>
      </c>
      <c r="AA144" s="330">
        <v>10</v>
      </c>
      <c r="AB144" s="330">
        <v>0</v>
      </c>
      <c r="AC144" s="330">
        <v>0</v>
      </c>
      <c r="AD144" s="334">
        <v>3019</v>
      </c>
      <c r="AE144" s="334">
        <v>18</v>
      </c>
      <c r="AF144" s="334">
        <v>5</v>
      </c>
      <c r="AG144" s="334">
        <v>23</v>
      </c>
    </row>
    <row r="145" spans="1:33" x14ac:dyDescent="0.25">
      <c r="A145" s="329" t="s">
        <v>346</v>
      </c>
      <c r="B145" s="335" t="s">
        <v>347</v>
      </c>
      <c r="C145" s="331">
        <v>3732</v>
      </c>
      <c r="D145" s="331">
        <v>0</v>
      </c>
      <c r="E145" s="331">
        <v>558</v>
      </c>
      <c r="F145" s="331">
        <v>711</v>
      </c>
      <c r="G145" s="331">
        <v>299</v>
      </c>
      <c r="H145" s="331">
        <v>5300</v>
      </c>
      <c r="I145" s="330">
        <v>5001</v>
      </c>
      <c r="J145" s="330">
        <v>1</v>
      </c>
      <c r="K145" s="332">
        <v>88.61</v>
      </c>
      <c r="L145" s="332">
        <v>88.88</v>
      </c>
      <c r="M145" s="332">
        <v>5.81</v>
      </c>
      <c r="N145" s="332">
        <v>92.99</v>
      </c>
      <c r="O145" s="333">
        <v>3019</v>
      </c>
      <c r="P145" s="330">
        <v>80.63</v>
      </c>
      <c r="Q145" s="330">
        <v>74</v>
      </c>
      <c r="R145" s="330">
        <v>58.35</v>
      </c>
      <c r="S145" s="330">
        <v>137.62</v>
      </c>
      <c r="T145" s="330">
        <v>1071</v>
      </c>
      <c r="U145" s="330">
        <v>99.59</v>
      </c>
      <c r="V145" s="330">
        <v>552</v>
      </c>
      <c r="W145" s="330">
        <v>101.04</v>
      </c>
      <c r="X145" s="330">
        <v>2</v>
      </c>
      <c r="Y145" s="330">
        <v>8</v>
      </c>
      <c r="Z145" s="330">
        <v>2</v>
      </c>
      <c r="AA145" s="330">
        <v>149</v>
      </c>
      <c r="AB145" s="330">
        <v>0</v>
      </c>
      <c r="AC145" s="330">
        <v>13</v>
      </c>
      <c r="AD145" s="334">
        <v>3629</v>
      </c>
      <c r="AE145" s="334">
        <v>12</v>
      </c>
      <c r="AF145" s="334">
        <v>28</v>
      </c>
      <c r="AG145" s="334">
        <v>40</v>
      </c>
    </row>
    <row r="146" spans="1:33" x14ac:dyDescent="0.25">
      <c r="A146" s="329" t="s">
        <v>348</v>
      </c>
      <c r="B146" s="335" t="s">
        <v>349</v>
      </c>
      <c r="C146" s="331">
        <v>6531</v>
      </c>
      <c r="D146" s="331">
        <v>0</v>
      </c>
      <c r="E146" s="331">
        <v>180</v>
      </c>
      <c r="F146" s="331">
        <v>394</v>
      </c>
      <c r="G146" s="331">
        <v>260</v>
      </c>
      <c r="H146" s="331">
        <v>7365</v>
      </c>
      <c r="I146" s="330">
        <v>7105</v>
      </c>
      <c r="J146" s="330">
        <v>16</v>
      </c>
      <c r="K146" s="332">
        <v>87.72</v>
      </c>
      <c r="L146" s="332">
        <v>85.84</v>
      </c>
      <c r="M146" s="332">
        <v>7.81</v>
      </c>
      <c r="N146" s="332">
        <v>92.57</v>
      </c>
      <c r="O146" s="333">
        <v>5728</v>
      </c>
      <c r="P146" s="330">
        <v>78.75</v>
      </c>
      <c r="Q146" s="330">
        <v>77.08</v>
      </c>
      <c r="R146" s="330">
        <v>39.36</v>
      </c>
      <c r="S146" s="330">
        <v>116.57</v>
      </c>
      <c r="T146" s="330">
        <v>538</v>
      </c>
      <c r="U146" s="330">
        <v>121.57</v>
      </c>
      <c r="V146" s="330">
        <v>303</v>
      </c>
      <c r="W146" s="330">
        <v>95.7</v>
      </c>
      <c r="X146" s="330">
        <v>14</v>
      </c>
      <c r="Y146" s="330">
        <v>12</v>
      </c>
      <c r="Z146" s="330">
        <v>10</v>
      </c>
      <c r="AA146" s="330">
        <v>1</v>
      </c>
      <c r="AB146" s="330">
        <v>0</v>
      </c>
      <c r="AC146" s="330">
        <v>5</v>
      </c>
      <c r="AD146" s="334">
        <v>6088</v>
      </c>
      <c r="AE146" s="334">
        <v>25</v>
      </c>
      <c r="AF146" s="334">
        <v>16</v>
      </c>
      <c r="AG146" s="334">
        <v>41</v>
      </c>
    </row>
    <row r="147" spans="1:33" x14ac:dyDescent="0.25">
      <c r="A147" s="329" t="s">
        <v>350</v>
      </c>
      <c r="B147" s="335" t="s">
        <v>351</v>
      </c>
      <c r="C147" s="331">
        <v>54</v>
      </c>
      <c r="D147" s="331">
        <v>0</v>
      </c>
      <c r="E147" s="331">
        <v>0</v>
      </c>
      <c r="F147" s="331">
        <v>7</v>
      </c>
      <c r="G147" s="331">
        <v>0</v>
      </c>
      <c r="H147" s="331">
        <v>61</v>
      </c>
      <c r="I147" s="330">
        <v>61</v>
      </c>
      <c r="J147" s="330">
        <v>0</v>
      </c>
      <c r="K147" s="332">
        <v>99.27</v>
      </c>
      <c r="L147" s="332">
        <v>103.2</v>
      </c>
      <c r="M147" s="332">
        <v>3.73</v>
      </c>
      <c r="N147" s="332">
        <v>100.38</v>
      </c>
      <c r="O147" s="333">
        <v>27</v>
      </c>
      <c r="P147" s="330">
        <v>81.760000000000005</v>
      </c>
      <c r="Q147" s="330">
        <v>86.48</v>
      </c>
      <c r="R147" s="330">
        <v>17.350000000000001</v>
      </c>
      <c r="S147" s="330">
        <v>96.63</v>
      </c>
      <c r="T147" s="330">
        <v>7</v>
      </c>
      <c r="U147" s="330">
        <v>115.08</v>
      </c>
      <c r="V147" s="330">
        <v>2</v>
      </c>
      <c r="W147" s="330">
        <v>0</v>
      </c>
      <c r="X147" s="330">
        <v>0</v>
      </c>
      <c r="Y147" s="330">
        <v>0</v>
      </c>
      <c r="Z147" s="330">
        <v>0</v>
      </c>
      <c r="AA147" s="330">
        <v>0</v>
      </c>
      <c r="AB147" s="330">
        <v>0</v>
      </c>
      <c r="AC147" s="330">
        <v>0</v>
      </c>
      <c r="AD147" s="334">
        <v>27</v>
      </c>
      <c r="AE147" s="334">
        <v>1</v>
      </c>
      <c r="AF147" s="334">
        <v>0</v>
      </c>
      <c r="AG147" s="334">
        <v>1</v>
      </c>
    </row>
    <row r="148" spans="1:33" x14ac:dyDescent="0.25">
      <c r="A148" s="329" t="s">
        <v>352</v>
      </c>
      <c r="B148" s="335" t="s">
        <v>353</v>
      </c>
      <c r="C148" s="331">
        <v>13760</v>
      </c>
      <c r="D148" s="331">
        <v>326</v>
      </c>
      <c r="E148" s="331">
        <v>1246</v>
      </c>
      <c r="F148" s="331">
        <v>761</v>
      </c>
      <c r="G148" s="331">
        <v>1396</v>
      </c>
      <c r="H148" s="331">
        <v>17489</v>
      </c>
      <c r="I148" s="330">
        <v>16093</v>
      </c>
      <c r="J148" s="330">
        <v>149</v>
      </c>
      <c r="K148" s="332">
        <v>124.54</v>
      </c>
      <c r="L148" s="332">
        <v>133.37</v>
      </c>
      <c r="M148" s="332">
        <v>13.97</v>
      </c>
      <c r="N148" s="332">
        <v>135.22999999999999</v>
      </c>
      <c r="O148" s="333">
        <v>11884</v>
      </c>
      <c r="P148" s="330">
        <v>115.14</v>
      </c>
      <c r="Q148" s="330">
        <v>117.78</v>
      </c>
      <c r="R148" s="330">
        <v>53.05</v>
      </c>
      <c r="S148" s="330">
        <v>160.88999999999999</v>
      </c>
      <c r="T148" s="330">
        <v>1686</v>
      </c>
      <c r="U148" s="330">
        <v>182.42</v>
      </c>
      <c r="V148" s="330">
        <v>534</v>
      </c>
      <c r="W148" s="330">
        <v>172.98</v>
      </c>
      <c r="X148" s="330">
        <v>2</v>
      </c>
      <c r="Y148" s="330">
        <v>0</v>
      </c>
      <c r="Z148" s="330">
        <v>21</v>
      </c>
      <c r="AA148" s="330">
        <v>52</v>
      </c>
      <c r="AB148" s="330">
        <v>46</v>
      </c>
      <c r="AC148" s="330">
        <v>34</v>
      </c>
      <c r="AD148" s="334">
        <v>12696</v>
      </c>
      <c r="AE148" s="334">
        <v>123</v>
      </c>
      <c r="AF148" s="334">
        <v>101</v>
      </c>
      <c r="AG148" s="334">
        <v>224</v>
      </c>
    </row>
    <row r="149" spans="1:33" x14ac:dyDescent="0.25">
      <c r="A149" s="329" t="s">
        <v>354</v>
      </c>
      <c r="B149" s="335" t="s">
        <v>355</v>
      </c>
      <c r="C149" s="331">
        <v>10875</v>
      </c>
      <c r="D149" s="331">
        <v>142</v>
      </c>
      <c r="E149" s="331">
        <v>928</v>
      </c>
      <c r="F149" s="331">
        <v>943</v>
      </c>
      <c r="G149" s="331">
        <v>580</v>
      </c>
      <c r="H149" s="331">
        <v>13468</v>
      </c>
      <c r="I149" s="330">
        <v>12888</v>
      </c>
      <c r="J149" s="330">
        <v>65</v>
      </c>
      <c r="K149" s="332">
        <v>126.37</v>
      </c>
      <c r="L149" s="332">
        <v>141.4</v>
      </c>
      <c r="M149" s="332">
        <v>12.12</v>
      </c>
      <c r="N149" s="332">
        <v>134.55000000000001</v>
      </c>
      <c r="O149" s="333">
        <v>9420</v>
      </c>
      <c r="P149" s="330">
        <v>114.16</v>
      </c>
      <c r="Q149" s="330">
        <v>121.27</v>
      </c>
      <c r="R149" s="330">
        <v>59.58</v>
      </c>
      <c r="S149" s="330">
        <v>161.62</v>
      </c>
      <c r="T149" s="330">
        <v>1459</v>
      </c>
      <c r="U149" s="330">
        <v>209.32</v>
      </c>
      <c r="V149" s="330">
        <v>620</v>
      </c>
      <c r="W149" s="330">
        <v>186.28</v>
      </c>
      <c r="X149" s="330">
        <v>34</v>
      </c>
      <c r="Y149" s="330">
        <v>5</v>
      </c>
      <c r="Z149" s="330">
        <v>0</v>
      </c>
      <c r="AA149" s="330">
        <v>0</v>
      </c>
      <c r="AB149" s="330">
        <v>0</v>
      </c>
      <c r="AC149" s="330">
        <v>9</v>
      </c>
      <c r="AD149" s="334">
        <v>10020</v>
      </c>
      <c r="AE149" s="334">
        <v>22</v>
      </c>
      <c r="AF149" s="334">
        <v>67</v>
      </c>
      <c r="AG149" s="334">
        <v>89</v>
      </c>
    </row>
    <row r="150" spans="1:33" x14ac:dyDescent="0.25">
      <c r="A150" s="329" t="s">
        <v>356</v>
      </c>
      <c r="B150" s="335" t="s">
        <v>357</v>
      </c>
      <c r="C150" s="331">
        <v>8481</v>
      </c>
      <c r="D150" s="331">
        <v>0</v>
      </c>
      <c r="E150" s="331">
        <v>278</v>
      </c>
      <c r="F150" s="331">
        <v>940</v>
      </c>
      <c r="G150" s="331">
        <v>217</v>
      </c>
      <c r="H150" s="331">
        <v>9916</v>
      </c>
      <c r="I150" s="330">
        <v>9699</v>
      </c>
      <c r="J150" s="330">
        <v>0</v>
      </c>
      <c r="K150" s="332">
        <v>83.13</v>
      </c>
      <c r="L150" s="332">
        <v>83.16</v>
      </c>
      <c r="M150" s="332">
        <v>4.3899999999999997</v>
      </c>
      <c r="N150" s="332">
        <v>84.59</v>
      </c>
      <c r="O150" s="333">
        <v>7781</v>
      </c>
      <c r="P150" s="330">
        <v>86.46</v>
      </c>
      <c r="Q150" s="330">
        <v>78.52</v>
      </c>
      <c r="R150" s="330">
        <v>25.86</v>
      </c>
      <c r="S150" s="330">
        <v>110.82</v>
      </c>
      <c r="T150" s="330">
        <v>1180</v>
      </c>
      <c r="U150" s="330">
        <v>103.38</v>
      </c>
      <c r="V150" s="330">
        <v>652</v>
      </c>
      <c r="W150" s="330">
        <v>94.93</v>
      </c>
      <c r="X150" s="330">
        <v>10</v>
      </c>
      <c r="Y150" s="330">
        <v>208</v>
      </c>
      <c r="Z150" s="330">
        <v>33</v>
      </c>
      <c r="AA150" s="330">
        <v>0</v>
      </c>
      <c r="AB150" s="330">
        <v>14</v>
      </c>
      <c r="AC150" s="330">
        <v>3</v>
      </c>
      <c r="AD150" s="334">
        <v>8466</v>
      </c>
      <c r="AE150" s="334">
        <v>40</v>
      </c>
      <c r="AF150" s="334">
        <v>89</v>
      </c>
      <c r="AG150" s="334">
        <v>129</v>
      </c>
    </row>
    <row r="151" spans="1:33" x14ac:dyDescent="0.25">
      <c r="A151" s="329" t="s">
        <v>358</v>
      </c>
      <c r="B151" s="335" t="s">
        <v>359</v>
      </c>
      <c r="C151" s="331">
        <v>7203</v>
      </c>
      <c r="D151" s="331">
        <v>5</v>
      </c>
      <c r="E151" s="331">
        <v>1004</v>
      </c>
      <c r="F151" s="331">
        <v>1100</v>
      </c>
      <c r="G151" s="331">
        <v>310</v>
      </c>
      <c r="H151" s="331">
        <v>9622</v>
      </c>
      <c r="I151" s="330">
        <v>9312</v>
      </c>
      <c r="J151" s="330">
        <v>1</v>
      </c>
      <c r="K151" s="332">
        <v>80.989999999999995</v>
      </c>
      <c r="L151" s="332">
        <v>80.11</v>
      </c>
      <c r="M151" s="332">
        <v>7.02</v>
      </c>
      <c r="N151" s="332">
        <v>86.48</v>
      </c>
      <c r="O151" s="333">
        <v>6135</v>
      </c>
      <c r="P151" s="330">
        <v>78.88</v>
      </c>
      <c r="Q151" s="330">
        <v>75.72</v>
      </c>
      <c r="R151" s="330">
        <v>50.58</v>
      </c>
      <c r="S151" s="330">
        <v>128.24</v>
      </c>
      <c r="T151" s="330">
        <v>1566</v>
      </c>
      <c r="U151" s="330">
        <v>94.96</v>
      </c>
      <c r="V151" s="330">
        <v>920</v>
      </c>
      <c r="W151" s="330">
        <v>227.3</v>
      </c>
      <c r="X151" s="330">
        <v>30</v>
      </c>
      <c r="Y151" s="330">
        <v>0</v>
      </c>
      <c r="Z151" s="330">
        <v>9</v>
      </c>
      <c r="AA151" s="330">
        <v>16</v>
      </c>
      <c r="AB151" s="330">
        <v>8</v>
      </c>
      <c r="AC151" s="330">
        <v>5</v>
      </c>
      <c r="AD151" s="334">
        <v>7042</v>
      </c>
      <c r="AE151" s="334">
        <v>52</v>
      </c>
      <c r="AF151" s="334">
        <v>32</v>
      </c>
      <c r="AG151" s="334">
        <v>84</v>
      </c>
    </row>
    <row r="152" spans="1:33" x14ac:dyDescent="0.25">
      <c r="A152" s="329" t="s">
        <v>360</v>
      </c>
      <c r="B152" s="335" t="s">
        <v>361</v>
      </c>
      <c r="C152" s="331">
        <v>2177</v>
      </c>
      <c r="D152" s="331">
        <v>89</v>
      </c>
      <c r="E152" s="331">
        <v>304</v>
      </c>
      <c r="F152" s="331">
        <v>219</v>
      </c>
      <c r="G152" s="331">
        <v>317</v>
      </c>
      <c r="H152" s="331">
        <v>3106</v>
      </c>
      <c r="I152" s="330">
        <v>2789</v>
      </c>
      <c r="J152" s="330">
        <v>16</v>
      </c>
      <c r="K152" s="332">
        <v>127.33</v>
      </c>
      <c r="L152" s="332">
        <v>129.22999999999999</v>
      </c>
      <c r="M152" s="332">
        <v>10.81</v>
      </c>
      <c r="N152" s="332">
        <v>136.58000000000001</v>
      </c>
      <c r="O152" s="333">
        <v>1584</v>
      </c>
      <c r="P152" s="330">
        <v>129.66</v>
      </c>
      <c r="Q152" s="330">
        <v>102.79</v>
      </c>
      <c r="R152" s="330">
        <v>44.88</v>
      </c>
      <c r="S152" s="330">
        <v>174.54</v>
      </c>
      <c r="T152" s="330">
        <v>328</v>
      </c>
      <c r="U152" s="330">
        <v>218.27</v>
      </c>
      <c r="V152" s="330">
        <v>327</v>
      </c>
      <c r="W152" s="330">
        <v>0</v>
      </c>
      <c r="X152" s="330">
        <v>0</v>
      </c>
      <c r="Y152" s="330">
        <v>0</v>
      </c>
      <c r="Z152" s="330">
        <v>0</v>
      </c>
      <c r="AA152" s="330">
        <v>7</v>
      </c>
      <c r="AB152" s="330">
        <v>23</v>
      </c>
      <c r="AC152" s="330">
        <v>6</v>
      </c>
      <c r="AD152" s="334">
        <v>1914</v>
      </c>
      <c r="AE152" s="334">
        <v>21</v>
      </c>
      <c r="AF152" s="334">
        <v>10</v>
      </c>
      <c r="AG152" s="334">
        <v>31</v>
      </c>
    </row>
    <row r="153" spans="1:33" x14ac:dyDescent="0.25">
      <c r="A153" s="329" t="s">
        <v>362</v>
      </c>
      <c r="B153" s="335" t="s">
        <v>363</v>
      </c>
      <c r="C153" s="331">
        <v>4194</v>
      </c>
      <c r="D153" s="331">
        <v>26</v>
      </c>
      <c r="E153" s="331">
        <v>384</v>
      </c>
      <c r="F153" s="331">
        <v>1258</v>
      </c>
      <c r="G153" s="331">
        <v>314</v>
      </c>
      <c r="H153" s="331">
        <v>6176</v>
      </c>
      <c r="I153" s="330">
        <v>5862</v>
      </c>
      <c r="J153" s="330">
        <v>8</v>
      </c>
      <c r="K153" s="332">
        <v>84.59</v>
      </c>
      <c r="L153" s="332">
        <v>82.21</v>
      </c>
      <c r="M153" s="332">
        <v>5.57</v>
      </c>
      <c r="N153" s="332">
        <v>88.79</v>
      </c>
      <c r="O153" s="333">
        <v>3548</v>
      </c>
      <c r="P153" s="330">
        <v>79.069999999999993</v>
      </c>
      <c r="Q153" s="330">
        <v>75.22</v>
      </c>
      <c r="R153" s="330">
        <v>35.97</v>
      </c>
      <c r="S153" s="330">
        <v>114.47</v>
      </c>
      <c r="T153" s="330">
        <v>1466</v>
      </c>
      <c r="U153" s="330">
        <v>95.81</v>
      </c>
      <c r="V153" s="330">
        <v>535</v>
      </c>
      <c r="W153" s="330">
        <v>98.43</v>
      </c>
      <c r="X153" s="330">
        <v>30</v>
      </c>
      <c r="Y153" s="330">
        <v>0</v>
      </c>
      <c r="Z153" s="330">
        <v>8</v>
      </c>
      <c r="AA153" s="330">
        <v>22</v>
      </c>
      <c r="AB153" s="330">
        <v>28</v>
      </c>
      <c r="AC153" s="330">
        <v>6</v>
      </c>
      <c r="AD153" s="334">
        <v>4184</v>
      </c>
      <c r="AE153" s="334">
        <v>21</v>
      </c>
      <c r="AF153" s="334">
        <v>12</v>
      </c>
      <c r="AG153" s="334">
        <v>33</v>
      </c>
    </row>
    <row r="154" spans="1:33" x14ac:dyDescent="0.25">
      <c r="A154" s="329" t="s">
        <v>364</v>
      </c>
      <c r="B154" s="335" t="s">
        <v>365</v>
      </c>
      <c r="C154" s="331">
        <v>16070</v>
      </c>
      <c r="D154" s="331">
        <v>9</v>
      </c>
      <c r="E154" s="331">
        <v>679</v>
      </c>
      <c r="F154" s="331">
        <v>1396</v>
      </c>
      <c r="G154" s="331">
        <v>357</v>
      </c>
      <c r="H154" s="331">
        <v>18511</v>
      </c>
      <c r="I154" s="330">
        <v>18154</v>
      </c>
      <c r="J154" s="330">
        <v>12</v>
      </c>
      <c r="K154" s="332">
        <v>83.47</v>
      </c>
      <c r="L154" s="332">
        <v>83.33</v>
      </c>
      <c r="M154" s="332">
        <v>11.18</v>
      </c>
      <c r="N154" s="332">
        <v>86.1</v>
      </c>
      <c r="O154" s="333">
        <v>14605</v>
      </c>
      <c r="P154" s="330">
        <v>84.78</v>
      </c>
      <c r="Q154" s="330">
        <v>75.84</v>
      </c>
      <c r="R154" s="330">
        <v>30.79</v>
      </c>
      <c r="S154" s="330">
        <v>111.16</v>
      </c>
      <c r="T154" s="330">
        <v>1662</v>
      </c>
      <c r="U154" s="330">
        <v>105.04</v>
      </c>
      <c r="V154" s="330">
        <v>1131</v>
      </c>
      <c r="W154" s="330">
        <v>141.91</v>
      </c>
      <c r="X154" s="330">
        <v>206</v>
      </c>
      <c r="Y154" s="330">
        <v>0</v>
      </c>
      <c r="Z154" s="330">
        <v>113</v>
      </c>
      <c r="AA154" s="330">
        <v>1</v>
      </c>
      <c r="AB154" s="330">
        <v>72</v>
      </c>
      <c r="AC154" s="330">
        <v>10</v>
      </c>
      <c r="AD154" s="334">
        <v>15821</v>
      </c>
      <c r="AE154" s="334">
        <v>240</v>
      </c>
      <c r="AF154" s="334">
        <v>145</v>
      </c>
      <c r="AG154" s="334">
        <v>385</v>
      </c>
    </row>
    <row r="155" spans="1:33" x14ac:dyDescent="0.25">
      <c r="A155" s="329" t="s">
        <v>366</v>
      </c>
      <c r="B155" s="335" t="s">
        <v>367</v>
      </c>
      <c r="C155" s="331">
        <v>21145</v>
      </c>
      <c r="D155" s="331">
        <v>97</v>
      </c>
      <c r="E155" s="331">
        <v>1818</v>
      </c>
      <c r="F155" s="331">
        <v>1405</v>
      </c>
      <c r="G155" s="331">
        <v>2255</v>
      </c>
      <c r="H155" s="331">
        <v>26720</v>
      </c>
      <c r="I155" s="330">
        <v>24465</v>
      </c>
      <c r="J155" s="330">
        <v>287</v>
      </c>
      <c r="K155" s="332">
        <v>117.27</v>
      </c>
      <c r="L155" s="332">
        <v>123.18</v>
      </c>
      <c r="M155" s="332">
        <v>13.46</v>
      </c>
      <c r="N155" s="332">
        <v>128.49</v>
      </c>
      <c r="O155" s="333">
        <v>18595</v>
      </c>
      <c r="P155" s="330">
        <v>112.64</v>
      </c>
      <c r="Q155" s="330">
        <v>108.83</v>
      </c>
      <c r="R155" s="330">
        <v>55.15</v>
      </c>
      <c r="S155" s="330">
        <v>156.69999999999999</v>
      </c>
      <c r="T155" s="330">
        <v>2947</v>
      </c>
      <c r="U155" s="330">
        <v>185.7</v>
      </c>
      <c r="V155" s="330">
        <v>1324</v>
      </c>
      <c r="W155" s="330">
        <v>187.78</v>
      </c>
      <c r="X155" s="330">
        <v>72</v>
      </c>
      <c r="Y155" s="330">
        <v>24</v>
      </c>
      <c r="Z155" s="330">
        <v>3</v>
      </c>
      <c r="AA155" s="330">
        <v>22</v>
      </c>
      <c r="AB155" s="330">
        <v>106</v>
      </c>
      <c r="AC155" s="330">
        <v>54</v>
      </c>
      <c r="AD155" s="334">
        <v>20012</v>
      </c>
      <c r="AE155" s="334">
        <v>113</v>
      </c>
      <c r="AF155" s="334">
        <v>144</v>
      </c>
      <c r="AG155" s="334">
        <v>257</v>
      </c>
    </row>
    <row r="156" spans="1:33" x14ac:dyDescent="0.25">
      <c r="A156" s="329" t="s">
        <v>368</v>
      </c>
      <c r="B156" s="335" t="s">
        <v>369</v>
      </c>
      <c r="C156" s="331">
        <v>1983</v>
      </c>
      <c r="D156" s="331">
        <v>0</v>
      </c>
      <c r="E156" s="331">
        <v>372</v>
      </c>
      <c r="F156" s="331">
        <v>494</v>
      </c>
      <c r="G156" s="331">
        <v>251</v>
      </c>
      <c r="H156" s="331">
        <v>3100</v>
      </c>
      <c r="I156" s="330">
        <v>2849</v>
      </c>
      <c r="J156" s="330">
        <v>0</v>
      </c>
      <c r="K156" s="332">
        <v>83.5</v>
      </c>
      <c r="L156" s="332">
        <v>79.98</v>
      </c>
      <c r="M156" s="332">
        <v>5.81</v>
      </c>
      <c r="N156" s="332">
        <v>88.64</v>
      </c>
      <c r="O156" s="333">
        <v>1334</v>
      </c>
      <c r="P156" s="330">
        <v>88.17</v>
      </c>
      <c r="Q156" s="330">
        <v>73.11</v>
      </c>
      <c r="R156" s="330">
        <v>57.78</v>
      </c>
      <c r="S156" s="330">
        <v>145.94</v>
      </c>
      <c r="T156" s="330">
        <v>738</v>
      </c>
      <c r="U156" s="330">
        <v>103.28</v>
      </c>
      <c r="V156" s="330">
        <v>575</v>
      </c>
      <c r="W156" s="330">
        <v>135.66999999999999</v>
      </c>
      <c r="X156" s="330">
        <v>12</v>
      </c>
      <c r="Y156" s="330">
        <v>4</v>
      </c>
      <c r="Z156" s="330">
        <v>0</v>
      </c>
      <c r="AA156" s="330">
        <v>1</v>
      </c>
      <c r="AB156" s="330">
        <v>28</v>
      </c>
      <c r="AC156" s="330">
        <v>7</v>
      </c>
      <c r="AD156" s="334">
        <v>1941</v>
      </c>
      <c r="AE156" s="334">
        <v>25</v>
      </c>
      <c r="AF156" s="334">
        <v>5</v>
      </c>
      <c r="AG156" s="334">
        <v>30</v>
      </c>
    </row>
    <row r="157" spans="1:33" x14ac:dyDescent="0.25">
      <c r="A157" s="329" t="s">
        <v>370</v>
      </c>
      <c r="B157" s="335" t="s">
        <v>371</v>
      </c>
      <c r="C157" s="331">
        <v>13148</v>
      </c>
      <c r="D157" s="331">
        <v>59</v>
      </c>
      <c r="E157" s="331">
        <v>1336</v>
      </c>
      <c r="F157" s="331">
        <v>2744</v>
      </c>
      <c r="G157" s="331">
        <v>1263</v>
      </c>
      <c r="H157" s="331">
        <v>18550</v>
      </c>
      <c r="I157" s="330">
        <v>17287</v>
      </c>
      <c r="J157" s="330">
        <v>9</v>
      </c>
      <c r="K157" s="332">
        <v>83.22</v>
      </c>
      <c r="L157" s="332">
        <v>81.739999999999995</v>
      </c>
      <c r="M157" s="332">
        <v>7.03</v>
      </c>
      <c r="N157" s="332">
        <v>87.69</v>
      </c>
      <c r="O157" s="333">
        <v>11027</v>
      </c>
      <c r="P157" s="330">
        <v>92.61</v>
      </c>
      <c r="Q157" s="330">
        <v>75.83</v>
      </c>
      <c r="R157" s="330">
        <v>47.89</v>
      </c>
      <c r="S157" s="330">
        <v>137.74</v>
      </c>
      <c r="T157" s="330">
        <v>3216</v>
      </c>
      <c r="U157" s="330">
        <v>104.08</v>
      </c>
      <c r="V157" s="330">
        <v>1267</v>
      </c>
      <c r="W157" s="330">
        <v>110.01</v>
      </c>
      <c r="X157" s="330">
        <v>23</v>
      </c>
      <c r="Y157" s="330">
        <v>10</v>
      </c>
      <c r="Z157" s="330">
        <v>9</v>
      </c>
      <c r="AA157" s="330">
        <v>65</v>
      </c>
      <c r="AB157" s="330">
        <v>100</v>
      </c>
      <c r="AC157" s="330">
        <v>46</v>
      </c>
      <c r="AD157" s="334">
        <v>12775</v>
      </c>
      <c r="AE157" s="334">
        <v>125</v>
      </c>
      <c r="AF157" s="334">
        <v>48</v>
      </c>
      <c r="AG157" s="334">
        <v>173</v>
      </c>
    </row>
    <row r="158" spans="1:33" x14ac:dyDescent="0.25">
      <c r="A158" s="329" t="s">
        <v>372</v>
      </c>
      <c r="B158" s="335" t="s">
        <v>373</v>
      </c>
      <c r="C158" s="331">
        <v>8616</v>
      </c>
      <c r="D158" s="331">
        <v>0</v>
      </c>
      <c r="E158" s="331">
        <v>919</v>
      </c>
      <c r="F158" s="331">
        <v>891</v>
      </c>
      <c r="G158" s="331">
        <v>578</v>
      </c>
      <c r="H158" s="331">
        <v>11004</v>
      </c>
      <c r="I158" s="330">
        <v>10426</v>
      </c>
      <c r="J158" s="330">
        <v>7</v>
      </c>
      <c r="K158" s="332">
        <v>83.47</v>
      </c>
      <c r="L158" s="332">
        <v>82.21</v>
      </c>
      <c r="M158" s="332">
        <v>8.5</v>
      </c>
      <c r="N158" s="332">
        <v>89.12</v>
      </c>
      <c r="O158" s="333">
        <v>7251</v>
      </c>
      <c r="P158" s="330">
        <v>92.07</v>
      </c>
      <c r="Q158" s="330">
        <v>77.2</v>
      </c>
      <c r="R158" s="330">
        <v>47.27</v>
      </c>
      <c r="S158" s="330">
        <v>138.06</v>
      </c>
      <c r="T158" s="330">
        <v>1515</v>
      </c>
      <c r="U158" s="330">
        <v>107.72</v>
      </c>
      <c r="V158" s="330">
        <v>971</v>
      </c>
      <c r="W158" s="330">
        <v>108.71</v>
      </c>
      <c r="X158" s="330">
        <v>86</v>
      </c>
      <c r="Y158" s="330">
        <v>0</v>
      </c>
      <c r="Z158" s="330">
        <v>8</v>
      </c>
      <c r="AA158" s="330">
        <v>43</v>
      </c>
      <c r="AB158" s="330">
        <v>30</v>
      </c>
      <c r="AC158" s="330">
        <v>18</v>
      </c>
      <c r="AD158" s="334">
        <v>8372</v>
      </c>
      <c r="AE158" s="334">
        <v>25</v>
      </c>
      <c r="AF158" s="334">
        <v>28</v>
      </c>
      <c r="AG158" s="334">
        <v>53</v>
      </c>
    </row>
    <row r="159" spans="1:33" x14ac:dyDescent="0.25">
      <c r="A159" s="329" t="s">
        <v>374</v>
      </c>
      <c r="B159" s="335" t="s">
        <v>375</v>
      </c>
      <c r="C159" s="331">
        <v>1125</v>
      </c>
      <c r="D159" s="331">
        <v>0</v>
      </c>
      <c r="E159" s="331">
        <v>172</v>
      </c>
      <c r="F159" s="331">
        <v>334</v>
      </c>
      <c r="G159" s="331">
        <v>275</v>
      </c>
      <c r="H159" s="331">
        <v>1906</v>
      </c>
      <c r="I159" s="330">
        <v>1631</v>
      </c>
      <c r="J159" s="330">
        <v>1</v>
      </c>
      <c r="K159" s="332">
        <v>91.6</v>
      </c>
      <c r="L159" s="332">
        <v>90.43</v>
      </c>
      <c r="M159" s="332">
        <v>9.3000000000000007</v>
      </c>
      <c r="N159" s="332">
        <v>99.81</v>
      </c>
      <c r="O159" s="333">
        <v>952</v>
      </c>
      <c r="P159" s="330">
        <v>84.72</v>
      </c>
      <c r="Q159" s="330">
        <v>80.92</v>
      </c>
      <c r="R159" s="330">
        <v>64.12</v>
      </c>
      <c r="S159" s="330">
        <v>148.21</v>
      </c>
      <c r="T159" s="330">
        <v>202</v>
      </c>
      <c r="U159" s="330">
        <v>156.34</v>
      </c>
      <c r="V159" s="330">
        <v>148</v>
      </c>
      <c r="W159" s="330">
        <v>146.47</v>
      </c>
      <c r="X159" s="330">
        <v>9</v>
      </c>
      <c r="Y159" s="330">
        <v>0</v>
      </c>
      <c r="Z159" s="330">
        <v>4</v>
      </c>
      <c r="AA159" s="330">
        <v>0</v>
      </c>
      <c r="AB159" s="330">
        <v>42</v>
      </c>
      <c r="AC159" s="330">
        <v>10</v>
      </c>
      <c r="AD159" s="334">
        <v>1111</v>
      </c>
      <c r="AE159" s="334">
        <v>4</v>
      </c>
      <c r="AF159" s="334">
        <v>5</v>
      </c>
      <c r="AG159" s="334">
        <v>9</v>
      </c>
    </row>
    <row r="160" spans="1:33" x14ac:dyDescent="0.25">
      <c r="A160" s="329" t="s">
        <v>376</v>
      </c>
      <c r="B160" s="335" t="s">
        <v>377</v>
      </c>
      <c r="C160" s="331">
        <v>21080</v>
      </c>
      <c r="D160" s="331">
        <v>192</v>
      </c>
      <c r="E160" s="331">
        <v>1213</v>
      </c>
      <c r="F160" s="331">
        <v>619</v>
      </c>
      <c r="G160" s="331">
        <v>1833</v>
      </c>
      <c r="H160" s="331">
        <v>24937</v>
      </c>
      <c r="I160" s="330">
        <v>23104</v>
      </c>
      <c r="J160" s="330">
        <v>124</v>
      </c>
      <c r="K160" s="332">
        <v>109.32</v>
      </c>
      <c r="L160" s="332">
        <v>111.61</v>
      </c>
      <c r="M160" s="332">
        <v>11.3</v>
      </c>
      <c r="N160" s="332">
        <v>116.24</v>
      </c>
      <c r="O160" s="333">
        <v>18548</v>
      </c>
      <c r="P160" s="330">
        <v>106.26</v>
      </c>
      <c r="Q160" s="330">
        <v>105.16</v>
      </c>
      <c r="R160" s="330">
        <v>68.599999999999994</v>
      </c>
      <c r="S160" s="330">
        <v>163.87</v>
      </c>
      <c r="T160" s="330">
        <v>1585</v>
      </c>
      <c r="U160" s="330">
        <v>175.58</v>
      </c>
      <c r="V160" s="330">
        <v>1405</v>
      </c>
      <c r="W160" s="330">
        <v>259.60000000000002</v>
      </c>
      <c r="X160" s="330">
        <v>126</v>
      </c>
      <c r="Y160" s="330">
        <v>0</v>
      </c>
      <c r="Z160" s="330">
        <v>18</v>
      </c>
      <c r="AA160" s="330">
        <v>6</v>
      </c>
      <c r="AB160" s="330">
        <v>51</v>
      </c>
      <c r="AC160" s="330">
        <v>66</v>
      </c>
      <c r="AD160" s="334">
        <v>20021</v>
      </c>
      <c r="AE160" s="334">
        <v>159</v>
      </c>
      <c r="AF160" s="334">
        <v>172</v>
      </c>
      <c r="AG160" s="334">
        <v>331</v>
      </c>
    </row>
    <row r="161" spans="1:33" x14ac:dyDescent="0.25">
      <c r="A161" s="329" t="s">
        <v>378</v>
      </c>
      <c r="B161" s="335" t="s">
        <v>379</v>
      </c>
      <c r="C161" s="331">
        <v>5447</v>
      </c>
      <c r="D161" s="331">
        <v>16</v>
      </c>
      <c r="E161" s="331">
        <v>132</v>
      </c>
      <c r="F161" s="331">
        <v>269</v>
      </c>
      <c r="G161" s="331">
        <v>325</v>
      </c>
      <c r="H161" s="331">
        <v>6189</v>
      </c>
      <c r="I161" s="330">
        <v>5864</v>
      </c>
      <c r="J161" s="330">
        <v>0</v>
      </c>
      <c r="K161" s="332">
        <v>87.87</v>
      </c>
      <c r="L161" s="332">
        <v>84.3</v>
      </c>
      <c r="M161" s="332">
        <v>2.92</v>
      </c>
      <c r="N161" s="332">
        <v>90.01</v>
      </c>
      <c r="O161" s="333">
        <v>4963</v>
      </c>
      <c r="P161" s="330">
        <v>97.5</v>
      </c>
      <c r="Q161" s="330">
        <v>89.34</v>
      </c>
      <c r="R161" s="330">
        <v>33.22</v>
      </c>
      <c r="S161" s="330">
        <v>128.65</v>
      </c>
      <c r="T161" s="330">
        <v>401</v>
      </c>
      <c r="U161" s="330">
        <v>109.78</v>
      </c>
      <c r="V161" s="330">
        <v>461</v>
      </c>
      <c r="W161" s="330">
        <v>0</v>
      </c>
      <c r="X161" s="330">
        <v>0</v>
      </c>
      <c r="Y161" s="330">
        <v>0</v>
      </c>
      <c r="Z161" s="330">
        <v>19</v>
      </c>
      <c r="AA161" s="330">
        <v>8</v>
      </c>
      <c r="AB161" s="330">
        <v>79</v>
      </c>
      <c r="AC161" s="330">
        <v>9</v>
      </c>
      <c r="AD161" s="334">
        <v>5445</v>
      </c>
      <c r="AE161" s="334">
        <v>22</v>
      </c>
      <c r="AF161" s="334">
        <v>31</v>
      </c>
      <c r="AG161" s="334">
        <v>53</v>
      </c>
    </row>
    <row r="162" spans="1:33" x14ac:dyDescent="0.25">
      <c r="A162" s="329" t="s">
        <v>380</v>
      </c>
      <c r="B162" s="335" t="s">
        <v>381</v>
      </c>
      <c r="C162" s="331">
        <v>1314</v>
      </c>
      <c r="D162" s="331">
        <v>0</v>
      </c>
      <c r="E162" s="331">
        <v>496</v>
      </c>
      <c r="F162" s="331">
        <v>161</v>
      </c>
      <c r="G162" s="331">
        <v>268</v>
      </c>
      <c r="H162" s="331">
        <v>2239</v>
      </c>
      <c r="I162" s="330">
        <v>1971</v>
      </c>
      <c r="J162" s="330">
        <v>5</v>
      </c>
      <c r="K162" s="332">
        <v>80.34</v>
      </c>
      <c r="L162" s="332">
        <v>79.06</v>
      </c>
      <c r="M162" s="332">
        <v>7.98</v>
      </c>
      <c r="N162" s="332">
        <v>86.34</v>
      </c>
      <c r="O162" s="333">
        <v>1012</v>
      </c>
      <c r="P162" s="330">
        <v>104.56</v>
      </c>
      <c r="Q162" s="330">
        <v>83.47</v>
      </c>
      <c r="R162" s="330">
        <v>91.8</v>
      </c>
      <c r="S162" s="330">
        <v>196.36</v>
      </c>
      <c r="T162" s="330">
        <v>296</v>
      </c>
      <c r="U162" s="330">
        <v>97.58</v>
      </c>
      <c r="V162" s="330">
        <v>193</v>
      </c>
      <c r="W162" s="330">
        <v>276.74</v>
      </c>
      <c r="X162" s="330">
        <v>31</v>
      </c>
      <c r="Y162" s="330">
        <v>127</v>
      </c>
      <c r="Z162" s="330">
        <v>1</v>
      </c>
      <c r="AA162" s="330">
        <v>0</v>
      </c>
      <c r="AB162" s="330">
        <v>45</v>
      </c>
      <c r="AC162" s="330">
        <v>5</v>
      </c>
      <c r="AD162" s="334">
        <v>1294</v>
      </c>
      <c r="AE162" s="334">
        <v>7</v>
      </c>
      <c r="AF162" s="334">
        <v>6</v>
      </c>
      <c r="AG162" s="334">
        <v>13</v>
      </c>
    </row>
    <row r="163" spans="1:33" x14ac:dyDescent="0.25">
      <c r="A163" s="329" t="s">
        <v>382</v>
      </c>
      <c r="B163" s="335" t="s">
        <v>383</v>
      </c>
      <c r="C163" s="331">
        <v>52169</v>
      </c>
      <c r="D163" s="331">
        <v>32</v>
      </c>
      <c r="E163" s="331">
        <v>2472</v>
      </c>
      <c r="F163" s="331">
        <v>3962</v>
      </c>
      <c r="G163" s="331">
        <v>760</v>
      </c>
      <c r="H163" s="331">
        <v>59395</v>
      </c>
      <c r="I163" s="330">
        <v>58635</v>
      </c>
      <c r="J163" s="330">
        <v>301</v>
      </c>
      <c r="K163" s="332">
        <v>83.13</v>
      </c>
      <c r="L163" s="332">
        <v>82.56</v>
      </c>
      <c r="M163" s="332">
        <v>8.61</v>
      </c>
      <c r="N163" s="332">
        <v>85.47</v>
      </c>
      <c r="O163" s="333">
        <v>43876</v>
      </c>
      <c r="P163" s="330">
        <v>82.9</v>
      </c>
      <c r="Q163" s="330">
        <v>77.31</v>
      </c>
      <c r="R163" s="330">
        <v>43.36</v>
      </c>
      <c r="S163" s="330">
        <v>124.26</v>
      </c>
      <c r="T163" s="330">
        <v>5122</v>
      </c>
      <c r="U163" s="330">
        <v>100.57</v>
      </c>
      <c r="V163" s="330">
        <v>5582</v>
      </c>
      <c r="W163" s="330">
        <v>140.29</v>
      </c>
      <c r="X163" s="330">
        <v>109</v>
      </c>
      <c r="Y163" s="330">
        <v>8</v>
      </c>
      <c r="Z163" s="330">
        <v>213</v>
      </c>
      <c r="AA163" s="330">
        <v>76</v>
      </c>
      <c r="AB163" s="330">
        <v>110</v>
      </c>
      <c r="AC163" s="330">
        <v>21</v>
      </c>
      <c r="AD163" s="334">
        <v>49576</v>
      </c>
      <c r="AE163" s="334">
        <v>214</v>
      </c>
      <c r="AF163" s="334">
        <v>281</v>
      </c>
      <c r="AG163" s="334">
        <v>495</v>
      </c>
    </row>
    <row r="164" spans="1:33" x14ac:dyDescent="0.25">
      <c r="A164" s="329" t="s">
        <v>384</v>
      </c>
      <c r="B164" s="335" t="s">
        <v>385</v>
      </c>
      <c r="C164" s="331">
        <v>3779</v>
      </c>
      <c r="D164" s="331">
        <v>171</v>
      </c>
      <c r="E164" s="331">
        <v>297</v>
      </c>
      <c r="F164" s="331">
        <v>390</v>
      </c>
      <c r="G164" s="331">
        <v>213</v>
      </c>
      <c r="H164" s="331">
        <v>4850</v>
      </c>
      <c r="I164" s="330">
        <v>4637</v>
      </c>
      <c r="J164" s="330">
        <v>24</v>
      </c>
      <c r="K164" s="332">
        <v>100.24</v>
      </c>
      <c r="L164" s="332">
        <v>98.61</v>
      </c>
      <c r="M164" s="332">
        <v>6.01</v>
      </c>
      <c r="N164" s="332">
        <v>104.69</v>
      </c>
      <c r="O164" s="333">
        <v>2817</v>
      </c>
      <c r="P164" s="330">
        <v>99.59</v>
      </c>
      <c r="Q164" s="330">
        <v>96.81</v>
      </c>
      <c r="R164" s="330">
        <v>45.34</v>
      </c>
      <c r="S164" s="330">
        <v>143.02000000000001</v>
      </c>
      <c r="T164" s="330">
        <v>428</v>
      </c>
      <c r="U164" s="330">
        <v>132.68</v>
      </c>
      <c r="V164" s="330">
        <v>460</v>
      </c>
      <c r="W164" s="330">
        <v>173.4</v>
      </c>
      <c r="X164" s="330">
        <v>8</v>
      </c>
      <c r="Y164" s="330">
        <v>0</v>
      </c>
      <c r="Z164" s="330">
        <v>1</v>
      </c>
      <c r="AA164" s="330">
        <v>5</v>
      </c>
      <c r="AB164" s="330">
        <v>16</v>
      </c>
      <c r="AC164" s="330">
        <v>17</v>
      </c>
      <c r="AD164" s="334">
        <v>3409</v>
      </c>
      <c r="AE164" s="334">
        <v>14</v>
      </c>
      <c r="AF164" s="334">
        <v>6</v>
      </c>
      <c r="AG164" s="334">
        <v>20</v>
      </c>
    </row>
    <row r="165" spans="1:33" x14ac:dyDescent="0.25">
      <c r="A165" s="329" t="s">
        <v>386</v>
      </c>
      <c r="B165" s="335" t="s">
        <v>387</v>
      </c>
      <c r="C165" s="331">
        <v>7924</v>
      </c>
      <c r="D165" s="331">
        <v>0</v>
      </c>
      <c r="E165" s="331">
        <v>291</v>
      </c>
      <c r="F165" s="331">
        <v>1150</v>
      </c>
      <c r="G165" s="331">
        <v>879</v>
      </c>
      <c r="H165" s="331">
        <v>10244</v>
      </c>
      <c r="I165" s="330">
        <v>9365</v>
      </c>
      <c r="J165" s="330">
        <v>91</v>
      </c>
      <c r="K165" s="332">
        <v>96.79</v>
      </c>
      <c r="L165" s="332">
        <v>94.77</v>
      </c>
      <c r="M165" s="332">
        <v>6.03</v>
      </c>
      <c r="N165" s="332">
        <v>101.32</v>
      </c>
      <c r="O165" s="333">
        <v>6139</v>
      </c>
      <c r="P165" s="330">
        <v>87.86</v>
      </c>
      <c r="Q165" s="330">
        <v>85.01</v>
      </c>
      <c r="R165" s="330">
        <v>23.32</v>
      </c>
      <c r="S165" s="330">
        <v>110.93</v>
      </c>
      <c r="T165" s="330">
        <v>1270</v>
      </c>
      <c r="U165" s="330">
        <v>156.97</v>
      </c>
      <c r="V165" s="330">
        <v>1425</v>
      </c>
      <c r="W165" s="330">
        <v>185.28</v>
      </c>
      <c r="X165" s="330">
        <v>70</v>
      </c>
      <c r="Y165" s="330">
        <v>0</v>
      </c>
      <c r="Z165" s="330">
        <v>11</v>
      </c>
      <c r="AA165" s="330">
        <v>0</v>
      </c>
      <c r="AB165" s="330">
        <v>96</v>
      </c>
      <c r="AC165" s="330">
        <v>13</v>
      </c>
      <c r="AD165" s="334">
        <v>7461</v>
      </c>
      <c r="AE165" s="334">
        <v>52</v>
      </c>
      <c r="AF165" s="334">
        <v>20</v>
      </c>
      <c r="AG165" s="334">
        <v>72</v>
      </c>
    </row>
    <row r="166" spans="1:33" x14ac:dyDescent="0.25">
      <c r="A166" s="329" t="s">
        <v>388</v>
      </c>
      <c r="B166" s="335" t="s">
        <v>389</v>
      </c>
      <c r="C166" s="331">
        <v>2205</v>
      </c>
      <c r="D166" s="331">
        <v>0</v>
      </c>
      <c r="E166" s="331">
        <v>32</v>
      </c>
      <c r="F166" s="331">
        <v>811</v>
      </c>
      <c r="G166" s="331">
        <v>84</v>
      </c>
      <c r="H166" s="331">
        <v>3132</v>
      </c>
      <c r="I166" s="330">
        <v>3048</v>
      </c>
      <c r="J166" s="330">
        <v>0</v>
      </c>
      <c r="K166" s="332">
        <v>102.35</v>
      </c>
      <c r="L166" s="332">
        <v>101.52</v>
      </c>
      <c r="M166" s="332">
        <v>4.8</v>
      </c>
      <c r="N166" s="332">
        <v>105.39</v>
      </c>
      <c r="O166" s="333">
        <v>1925</v>
      </c>
      <c r="P166" s="330">
        <v>86.61</v>
      </c>
      <c r="Q166" s="330">
        <v>86.61</v>
      </c>
      <c r="R166" s="330">
        <v>17.41</v>
      </c>
      <c r="S166" s="330">
        <v>103.66</v>
      </c>
      <c r="T166" s="330">
        <v>765</v>
      </c>
      <c r="U166" s="330">
        <v>134.44999999999999</v>
      </c>
      <c r="V166" s="330">
        <v>267</v>
      </c>
      <c r="W166" s="330">
        <v>112.78</v>
      </c>
      <c r="X166" s="330">
        <v>1</v>
      </c>
      <c r="Y166" s="330">
        <v>0</v>
      </c>
      <c r="Z166" s="330">
        <v>0</v>
      </c>
      <c r="AA166" s="330">
        <v>1</v>
      </c>
      <c r="AB166" s="330">
        <v>0</v>
      </c>
      <c r="AC166" s="330">
        <v>1</v>
      </c>
      <c r="AD166" s="334">
        <v>2205</v>
      </c>
      <c r="AE166" s="334">
        <v>14</v>
      </c>
      <c r="AF166" s="334">
        <v>6</v>
      </c>
      <c r="AG166" s="334">
        <v>20</v>
      </c>
    </row>
    <row r="167" spans="1:33" x14ac:dyDescent="0.25">
      <c r="A167" s="329" t="s">
        <v>390</v>
      </c>
      <c r="B167" s="335" t="s">
        <v>391</v>
      </c>
      <c r="C167" s="331">
        <v>4300</v>
      </c>
      <c r="D167" s="331">
        <v>0</v>
      </c>
      <c r="E167" s="331">
        <v>67</v>
      </c>
      <c r="F167" s="331">
        <v>593</v>
      </c>
      <c r="G167" s="331">
        <v>329</v>
      </c>
      <c r="H167" s="331">
        <v>5289</v>
      </c>
      <c r="I167" s="330">
        <v>4960</v>
      </c>
      <c r="J167" s="330">
        <v>2</v>
      </c>
      <c r="K167" s="332">
        <v>95.68</v>
      </c>
      <c r="L167" s="332">
        <v>95.56</v>
      </c>
      <c r="M167" s="332">
        <v>3.86</v>
      </c>
      <c r="N167" s="332">
        <v>99.2</v>
      </c>
      <c r="O167" s="333">
        <v>3908</v>
      </c>
      <c r="P167" s="330">
        <v>90.12</v>
      </c>
      <c r="Q167" s="330">
        <v>91.22</v>
      </c>
      <c r="R167" s="330">
        <v>27.54</v>
      </c>
      <c r="S167" s="330">
        <v>117.53</v>
      </c>
      <c r="T167" s="330">
        <v>600</v>
      </c>
      <c r="U167" s="330">
        <v>111.94</v>
      </c>
      <c r="V167" s="330">
        <v>318</v>
      </c>
      <c r="W167" s="330">
        <v>178.74</v>
      </c>
      <c r="X167" s="330">
        <v>60</v>
      </c>
      <c r="Y167" s="330">
        <v>0</v>
      </c>
      <c r="Z167" s="330">
        <v>2</v>
      </c>
      <c r="AA167" s="330">
        <v>0</v>
      </c>
      <c r="AB167" s="330">
        <v>2</v>
      </c>
      <c r="AC167" s="330">
        <v>3</v>
      </c>
      <c r="AD167" s="334">
        <v>4299</v>
      </c>
      <c r="AE167" s="334">
        <v>14</v>
      </c>
      <c r="AF167" s="334">
        <v>1</v>
      </c>
      <c r="AG167" s="334">
        <v>15</v>
      </c>
    </row>
    <row r="168" spans="1:33" x14ac:dyDescent="0.25">
      <c r="A168" s="329" t="s">
        <v>392</v>
      </c>
      <c r="B168" s="335" t="s">
        <v>393</v>
      </c>
      <c r="C168" s="331">
        <v>46179</v>
      </c>
      <c r="D168" s="331">
        <v>74</v>
      </c>
      <c r="E168" s="331">
        <v>1663</v>
      </c>
      <c r="F168" s="331">
        <v>3197</v>
      </c>
      <c r="G168" s="331">
        <v>1261</v>
      </c>
      <c r="H168" s="331">
        <v>52374</v>
      </c>
      <c r="I168" s="330">
        <v>51113</v>
      </c>
      <c r="J168" s="330">
        <v>38</v>
      </c>
      <c r="K168" s="332">
        <v>80.900000000000006</v>
      </c>
      <c r="L168" s="332">
        <v>81.64</v>
      </c>
      <c r="M168" s="332">
        <v>4.8499999999999996</v>
      </c>
      <c r="N168" s="332">
        <v>82.7</v>
      </c>
      <c r="O168" s="333">
        <v>42570</v>
      </c>
      <c r="P168" s="330">
        <v>79.900000000000006</v>
      </c>
      <c r="Q168" s="330">
        <v>74.75</v>
      </c>
      <c r="R168" s="330">
        <v>40.47</v>
      </c>
      <c r="S168" s="330">
        <v>118.07</v>
      </c>
      <c r="T168" s="330">
        <v>4539</v>
      </c>
      <c r="U168" s="330">
        <v>108.82</v>
      </c>
      <c r="V168" s="330">
        <v>2935</v>
      </c>
      <c r="W168" s="330">
        <v>115.33</v>
      </c>
      <c r="X168" s="330">
        <v>2</v>
      </c>
      <c r="Y168" s="330">
        <v>13</v>
      </c>
      <c r="Z168" s="330">
        <v>255</v>
      </c>
      <c r="AA168" s="330">
        <v>3</v>
      </c>
      <c r="AB168" s="330">
        <v>145</v>
      </c>
      <c r="AC168" s="330">
        <v>51</v>
      </c>
      <c r="AD168" s="334">
        <v>45579</v>
      </c>
      <c r="AE168" s="334">
        <v>172</v>
      </c>
      <c r="AF168" s="334">
        <v>175</v>
      </c>
      <c r="AG168" s="334">
        <v>347</v>
      </c>
    </row>
    <row r="169" spans="1:33" x14ac:dyDescent="0.25">
      <c r="A169" s="329" t="s">
        <v>394</v>
      </c>
      <c r="B169" s="335" t="s">
        <v>395</v>
      </c>
      <c r="C169" s="331">
        <v>1705</v>
      </c>
      <c r="D169" s="331">
        <v>14</v>
      </c>
      <c r="E169" s="331">
        <v>397</v>
      </c>
      <c r="F169" s="331">
        <v>232</v>
      </c>
      <c r="G169" s="331">
        <v>124</v>
      </c>
      <c r="H169" s="331">
        <v>2472</v>
      </c>
      <c r="I169" s="330">
        <v>2348</v>
      </c>
      <c r="J169" s="330">
        <v>0</v>
      </c>
      <c r="K169" s="332">
        <v>81.209999999999994</v>
      </c>
      <c r="L169" s="332">
        <v>76.040000000000006</v>
      </c>
      <c r="M169" s="332">
        <v>5.93</v>
      </c>
      <c r="N169" s="332">
        <v>84.11</v>
      </c>
      <c r="O169" s="333">
        <v>1634</v>
      </c>
      <c r="P169" s="330">
        <v>105.97</v>
      </c>
      <c r="Q169" s="330">
        <v>75.400000000000006</v>
      </c>
      <c r="R169" s="330">
        <v>75.319999999999993</v>
      </c>
      <c r="S169" s="330">
        <v>176.99</v>
      </c>
      <c r="T169" s="330">
        <v>437</v>
      </c>
      <c r="U169" s="330">
        <v>93.15</v>
      </c>
      <c r="V169" s="330">
        <v>79</v>
      </c>
      <c r="W169" s="330">
        <v>0</v>
      </c>
      <c r="X169" s="330">
        <v>0</v>
      </c>
      <c r="Y169" s="330">
        <v>3</v>
      </c>
      <c r="Z169" s="330">
        <v>1</v>
      </c>
      <c r="AA169" s="330">
        <v>12</v>
      </c>
      <c r="AB169" s="330">
        <v>0</v>
      </c>
      <c r="AC169" s="330">
        <v>3</v>
      </c>
      <c r="AD169" s="334">
        <v>1705</v>
      </c>
      <c r="AE169" s="334">
        <v>11</v>
      </c>
      <c r="AF169" s="334">
        <v>12</v>
      </c>
      <c r="AG169" s="334">
        <v>23</v>
      </c>
    </row>
    <row r="170" spans="1:33" x14ac:dyDescent="0.25">
      <c r="A170" s="329" t="s">
        <v>396</v>
      </c>
      <c r="B170" s="335" t="s">
        <v>397</v>
      </c>
      <c r="C170" s="331">
        <v>4111</v>
      </c>
      <c r="D170" s="331">
        <v>0</v>
      </c>
      <c r="E170" s="331">
        <v>388</v>
      </c>
      <c r="F170" s="331">
        <v>750</v>
      </c>
      <c r="G170" s="331">
        <v>1197</v>
      </c>
      <c r="H170" s="331">
        <v>6446</v>
      </c>
      <c r="I170" s="330">
        <v>5249</v>
      </c>
      <c r="J170" s="330">
        <v>5</v>
      </c>
      <c r="K170" s="332">
        <v>100.47</v>
      </c>
      <c r="L170" s="332">
        <v>96.58</v>
      </c>
      <c r="M170" s="332">
        <v>7.96</v>
      </c>
      <c r="N170" s="332">
        <v>106.75</v>
      </c>
      <c r="O170" s="333">
        <v>3042</v>
      </c>
      <c r="P170" s="330">
        <v>93.43</v>
      </c>
      <c r="Q170" s="330">
        <v>88.23</v>
      </c>
      <c r="R170" s="330">
        <v>39.94</v>
      </c>
      <c r="S170" s="330">
        <v>133.01</v>
      </c>
      <c r="T170" s="330">
        <v>897</v>
      </c>
      <c r="U170" s="330">
        <v>130.4</v>
      </c>
      <c r="V170" s="330">
        <v>710</v>
      </c>
      <c r="W170" s="330">
        <v>164</v>
      </c>
      <c r="X170" s="330">
        <v>61</v>
      </c>
      <c r="Y170" s="330">
        <v>0</v>
      </c>
      <c r="Z170" s="330">
        <v>1</v>
      </c>
      <c r="AA170" s="330">
        <v>4</v>
      </c>
      <c r="AB170" s="330">
        <v>42</v>
      </c>
      <c r="AC170" s="330">
        <v>22</v>
      </c>
      <c r="AD170" s="334">
        <v>3726</v>
      </c>
      <c r="AE170" s="334">
        <v>18</v>
      </c>
      <c r="AF170" s="334">
        <v>12</v>
      </c>
      <c r="AG170" s="334">
        <v>30</v>
      </c>
    </row>
    <row r="171" spans="1:33" x14ac:dyDescent="0.25">
      <c r="A171" s="329" t="s">
        <v>398</v>
      </c>
      <c r="B171" s="335" t="s">
        <v>399</v>
      </c>
      <c r="C171" s="331">
        <v>560</v>
      </c>
      <c r="D171" s="331">
        <v>0</v>
      </c>
      <c r="E171" s="331">
        <v>69</v>
      </c>
      <c r="F171" s="331">
        <v>75</v>
      </c>
      <c r="G171" s="331">
        <v>171</v>
      </c>
      <c r="H171" s="331">
        <v>875</v>
      </c>
      <c r="I171" s="330">
        <v>704</v>
      </c>
      <c r="J171" s="330">
        <v>0</v>
      </c>
      <c r="K171" s="332">
        <v>91.05</v>
      </c>
      <c r="L171" s="332">
        <v>87.95</v>
      </c>
      <c r="M171" s="332">
        <v>2.83</v>
      </c>
      <c r="N171" s="332">
        <v>93.13</v>
      </c>
      <c r="O171" s="333">
        <v>414</v>
      </c>
      <c r="P171" s="330">
        <v>84.93</v>
      </c>
      <c r="Q171" s="330">
        <v>78.59</v>
      </c>
      <c r="R171" s="330">
        <v>63.88</v>
      </c>
      <c r="S171" s="330">
        <v>147.91999999999999</v>
      </c>
      <c r="T171" s="330">
        <v>144</v>
      </c>
      <c r="U171" s="330">
        <v>104.09</v>
      </c>
      <c r="V171" s="330">
        <v>128</v>
      </c>
      <c r="W171" s="330">
        <v>0</v>
      </c>
      <c r="X171" s="330">
        <v>0</v>
      </c>
      <c r="Y171" s="330">
        <v>0</v>
      </c>
      <c r="Z171" s="330">
        <v>0</v>
      </c>
      <c r="AA171" s="330">
        <v>0</v>
      </c>
      <c r="AB171" s="330">
        <v>4</v>
      </c>
      <c r="AC171" s="330">
        <v>4</v>
      </c>
      <c r="AD171" s="334">
        <v>559</v>
      </c>
      <c r="AE171" s="334">
        <v>1</v>
      </c>
      <c r="AF171" s="334">
        <v>1</v>
      </c>
      <c r="AG171" s="334">
        <v>2</v>
      </c>
    </row>
    <row r="172" spans="1:33" x14ac:dyDescent="0.25">
      <c r="A172" s="329" t="s">
        <v>400</v>
      </c>
      <c r="B172" s="335" t="s">
        <v>401</v>
      </c>
      <c r="C172" s="331">
        <v>5133</v>
      </c>
      <c r="D172" s="331">
        <v>0</v>
      </c>
      <c r="E172" s="331">
        <v>386</v>
      </c>
      <c r="F172" s="331">
        <v>914</v>
      </c>
      <c r="G172" s="331">
        <v>481</v>
      </c>
      <c r="H172" s="331">
        <v>6914</v>
      </c>
      <c r="I172" s="330">
        <v>6433</v>
      </c>
      <c r="J172" s="330">
        <v>0</v>
      </c>
      <c r="K172" s="332">
        <v>92.58</v>
      </c>
      <c r="L172" s="332">
        <v>91.87</v>
      </c>
      <c r="M172" s="332">
        <v>3.61</v>
      </c>
      <c r="N172" s="332">
        <v>94.68</v>
      </c>
      <c r="O172" s="333">
        <v>4286</v>
      </c>
      <c r="P172" s="330">
        <v>86.22</v>
      </c>
      <c r="Q172" s="330">
        <v>83.61</v>
      </c>
      <c r="R172" s="330">
        <v>26.82</v>
      </c>
      <c r="S172" s="330">
        <v>112.64</v>
      </c>
      <c r="T172" s="330">
        <v>1113</v>
      </c>
      <c r="U172" s="330">
        <v>114.52</v>
      </c>
      <c r="V172" s="330">
        <v>747</v>
      </c>
      <c r="W172" s="330">
        <v>104.81</v>
      </c>
      <c r="X172" s="330">
        <v>31</v>
      </c>
      <c r="Y172" s="330">
        <v>0</v>
      </c>
      <c r="Z172" s="330">
        <v>10</v>
      </c>
      <c r="AA172" s="330">
        <v>16</v>
      </c>
      <c r="AB172" s="330">
        <v>51</v>
      </c>
      <c r="AC172" s="330">
        <v>11</v>
      </c>
      <c r="AD172" s="334">
        <v>5039</v>
      </c>
      <c r="AE172" s="334">
        <v>10</v>
      </c>
      <c r="AF172" s="334">
        <v>26</v>
      </c>
      <c r="AG172" s="334">
        <v>36</v>
      </c>
    </row>
    <row r="173" spans="1:33" x14ac:dyDescent="0.25">
      <c r="A173" s="329" t="s">
        <v>402</v>
      </c>
      <c r="B173" s="335" t="s">
        <v>403</v>
      </c>
      <c r="C173" s="331">
        <v>10131</v>
      </c>
      <c r="D173" s="331">
        <v>5</v>
      </c>
      <c r="E173" s="331">
        <v>407</v>
      </c>
      <c r="F173" s="331">
        <v>818</v>
      </c>
      <c r="G173" s="331">
        <v>658</v>
      </c>
      <c r="H173" s="331">
        <v>12019</v>
      </c>
      <c r="I173" s="330">
        <v>11361</v>
      </c>
      <c r="J173" s="330">
        <v>82</v>
      </c>
      <c r="K173" s="332">
        <v>113.27</v>
      </c>
      <c r="L173" s="332">
        <v>113.57</v>
      </c>
      <c r="M173" s="332">
        <v>7.88</v>
      </c>
      <c r="N173" s="332">
        <v>119.4</v>
      </c>
      <c r="O173" s="333">
        <v>8945</v>
      </c>
      <c r="P173" s="330">
        <v>98.56</v>
      </c>
      <c r="Q173" s="330">
        <v>99.47</v>
      </c>
      <c r="R173" s="330">
        <v>34.61</v>
      </c>
      <c r="S173" s="330">
        <v>128.76</v>
      </c>
      <c r="T173" s="330">
        <v>926</v>
      </c>
      <c r="U173" s="330">
        <v>157.91999999999999</v>
      </c>
      <c r="V173" s="330">
        <v>1028</v>
      </c>
      <c r="W173" s="330">
        <v>252.53</v>
      </c>
      <c r="X173" s="330">
        <v>35</v>
      </c>
      <c r="Y173" s="330">
        <v>0</v>
      </c>
      <c r="Z173" s="330">
        <v>15</v>
      </c>
      <c r="AA173" s="330">
        <v>2</v>
      </c>
      <c r="AB173" s="330">
        <v>55</v>
      </c>
      <c r="AC173" s="330">
        <v>18</v>
      </c>
      <c r="AD173" s="334">
        <v>10041</v>
      </c>
      <c r="AE173" s="334">
        <v>21</v>
      </c>
      <c r="AF173" s="334">
        <v>35</v>
      </c>
      <c r="AG173" s="334">
        <v>56</v>
      </c>
    </row>
    <row r="174" spans="1:33" x14ac:dyDescent="0.25">
      <c r="A174" s="329" t="s">
        <v>404</v>
      </c>
      <c r="B174" s="335" t="s">
        <v>405</v>
      </c>
      <c r="C174" s="331">
        <v>1128</v>
      </c>
      <c r="D174" s="331">
        <v>0</v>
      </c>
      <c r="E174" s="331">
        <v>36</v>
      </c>
      <c r="F174" s="331">
        <v>284</v>
      </c>
      <c r="G174" s="331">
        <v>251</v>
      </c>
      <c r="H174" s="331">
        <v>1699</v>
      </c>
      <c r="I174" s="330">
        <v>1448</v>
      </c>
      <c r="J174" s="330">
        <v>0</v>
      </c>
      <c r="K174" s="332">
        <v>88.19</v>
      </c>
      <c r="L174" s="332">
        <v>84.92</v>
      </c>
      <c r="M174" s="332">
        <v>4.3099999999999996</v>
      </c>
      <c r="N174" s="332">
        <v>91.93</v>
      </c>
      <c r="O174" s="333">
        <v>809</v>
      </c>
      <c r="P174" s="330">
        <v>84.59</v>
      </c>
      <c r="Q174" s="330">
        <v>74.98</v>
      </c>
      <c r="R174" s="330">
        <v>18.100000000000001</v>
      </c>
      <c r="S174" s="330">
        <v>102.34</v>
      </c>
      <c r="T174" s="330">
        <v>154</v>
      </c>
      <c r="U174" s="330">
        <v>123.12</v>
      </c>
      <c r="V174" s="330">
        <v>211</v>
      </c>
      <c r="W174" s="330">
        <v>0</v>
      </c>
      <c r="X174" s="330">
        <v>0</v>
      </c>
      <c r="Y174" s="330">
        <v>0</v>
      </c>
      <c r="Z174" s="330">
        <v>0</v>
      </c>
      <c r="AA174" s="330">
        <v>5</v>
      </c>
      <c r="AB174" s="330">
        <v>17</v>
      </c>
      <c r="AC174" s="330">
        <v>4</v>
      </c>
      <c r="AD174" s="334">
        <v>1015</v>
      </c>
      <c r="AE174" s="334">
        <v>5</v>
      </c>
      <c r="AF174" s="334">
        <v>6</v>
      </c>
      <c r="AG174" s="334">
        <v>11</v>
      </c>
    </row>
    <row r="175" spans="1:33" x14ac:dyDescent="0.25">
      <c r="A175" s="329" t="s">
        <v>406</v>
      </c>
      <c r="B175" s="335" t="s">
        <v>407</v>
      </c>
      <c r="C175" s="331">
        <v>1392</v>
      </c>
      <c r="D175" s="331">
        <v>0</v>
      </c>
      <c r="E175" s="331">
        <v>98</v>
      </c>
      <c r="F175" s="331">
        <v>210</v>
      </c>
      <c r="G175" s="331">
        <v>322</v>
      </c>
      <c r="H175" s="331">
        <v>2022</v>
      </c>
      <c r="I175" s="330">
        <v>1700</v>
      </c>
      <c r="J175" s="330">
        <v>3</v>
      </c>
      <c r="K175" s="332">
        <v>92.91</v>
      </c>
      <c r="L175" s="332">
        <v>92.76</v>
      </c>
      <c r="M175" s="332">
        <v>4.0599999999999996</v>
      </c>
      <c r="N175" s="332">
        <v>95.75</v>
      </c>
      <c r="O175" s="333">
        <v>897</v>
      </c>
      <c r="P175" s="330">
        <v>85.67</v>
      </c>
      <c r="Q175" s="330">
        <v>78.760000000000005</v>
      </c>
      <c r="R175" s="330">
        <v>35.590000000000003</v>
      </c>
      <c r="S175" s="330">
        <v>121.01</v>
      </c>
      <c r="T175" s="330">
        <v>280</v>
      </c>
      <c r="U175" s="330">
        <v>110.37</v>
      </c>
      <c r="V175" s="330">
        <v>457</v>
      </c>
      <c r="W175" s="330">
        <v>114.48</v>
      </c>
      <c r="X175" s="330">
        <v>1</v>
      </c>
      <c r="Y175" s="330">
        <v>15</v>
      </c>
      <c r="Z175" s="330">
        <v>0</v>
      </c>
      <c r="AA175" s="330">
        <v>2</v>
      </c>
      <c r="AB175" s="330">
        <v>11</v>
      </c>
      <c r="AC175" s="330">
        <v>4</v>
      </c>
      <c r="AD175" s="334">
        <v>1392</v>
      </c>
      <c r="AE175" s="334">
        <v>6</v>
      </c>
      <c r="AF175" s="334">
        <v>1</v>
      </c>
      <c r="AG175" s="334">
        <v>7</v>
      </c>
    </row>
    <row r="176" spans="1:33" x14ac:dyDescent="0.25">
      <c r="A176" s="329" t="s">
        <v>408</v>
      </c>
      <c r="B176" s="335" t="s">
        <v>409</v>
      </c>
      <c r="C176" s="331">
        <v>5835</v>
      </c>
      <c r="D176" s="331">
        <v>3</v>
      </c>
      <c r="E176" s="331">
        <v>132</v>
      </c>
      <c r="F176" s="331">
        <v>867</v>
      </c>
      <c r="G176" s="331">
        <v>665</v>
      </c>
      <c r="H176" s="331">
        <v>7502</v>
      </c>
      <c r="I176" s="330">
        <v>6837</v>
      </c>
      <c r="J176" s="330">
        <v>13</v>
      </c>
      <c r="K176" s="332">
        <v>115.44</v>
      </c>
      <c r="L176" s="332">
        <v>114.81</v>
      </c>
      <c r="M176" s="332">
        <v>5.61</v>
      </c>
      <c r="N176" s="332">
        <v>119.6</v>
      </c>
      <c r="O176" s="333">
        <v>4158</v>
      </c>
      <c r="P176" s="330">
        <v>102.71</v>
      </c>
      <c r="Q176" s="330">
        <v>98.82</v>
      </c>
      <c r="R176" s="330">
        <v>43.64</v>
      </c>
      <c r="S176" s="330">
        <v>145.04</v>
      </c>
      <c r="T176" s="330">
        <v>832</v>
      </c>
      <c r="U176" s="330">
        <v>163.4</v>
      </c>
      <c r="V176" s="330">
        <v>1322</v>
      </c>
      <c r="W176" s="330">
        <v>136.81</v>
      </c>
      <c r="X176" s="330">
        <v>13</v>
      </c>
      <c r="Y176" s="330">
        <v>0</v>
      </c>
      <c r="Z176" s="330">
        <v>4</v>
      </c>
      <c r="AA176" s="330">
        <v>0</v>
      </c>
      <c r="AB176" s="330">
        <v>21</v>
      </c>
      <c r="AC176" s="330">
        <v>11</v>
      </c>
      <c r="AD176" s="334">
        <v>5529</v>
      </c>
      <c r="AE176" s="334">
        <v>66</v>
      </c>
      <c r="AF176" s="334">
        <v>16</v>
      </c>
      <c r="AG176" s="334">
        <v>82</v>
      </c>
    </row>
    <row r="177" spans="1:33" x14ac:dyDescent="0.25">
      <c r="A177" s="329" t="s">
        <v>410</v>
      </c>
      <c r="B177" s="335" t="s">
        <v>411</v>
      </c>
      <c r="C177" s="331">
        <v>13091</v>
      </c>
      <c r="D177" s="331">
        <v>4</v>
      </c>
      <c r="E177" s="331">
        <v>1349</v>
      </c>
      <c r="F177" s="331">
        <v>679</v>
      </c>
      <c r="G177" s="331">
        <v>249</v>
      </c>
      <c r="H177" s="331">
        <v>15372</v>
      </c>
      <c r="I177" s="330">
        <v>15123</v>
      </c>
      <c r="J177" s="330">
        <v>9</v>
      </c>
      <c r="K177" s="332">
        <v>85.18</v>
      </c>
      <c r="L177" s="332">
        <v>81.709999999999994</v>
      </c>
      <c r="M177" s="332">
        <v>7.99</v>
      </c>
      <c r="N177" s="332">
        <v>87.71</v>
      </c>
      <c r="O177" s="333">
        <v>12428</v>
      </c>
      <c r="P177" s="330">
        <v>86.56</v>
      </c>
      <c r="Q177" s="330">
        <v>78.209999999999994</v>
      </c>
      <c r="R177" s="330">
        <v>55.97</v>
      </c>
      <c r="S177" s="330">
        <v>129.43</v>
      </c>
      <c r="T177" s="330">
        <v>1901</v>
      </c>
      <c r="U177" s="330">
        <v>94.05</v>
      </c>
      <c r="V177" s="330">
        <v>539</v>
      </c>
      <c r="W177" s="330">
        <v>156.21</v>
      </c>
      <c r="X177" s="330">
        <v>99</v>
      </c>
      <c r="Y177" s="330">
        <v>177</v>
      </c>
      <c r="Z177" s="330">
        <v>58</v>
      </c>
      <c r="AA177" s="330">
        <v>13</v>
      </c>
      <c r="AB177" s="330">
        <v>1</v>
      </c>
      <c r="AC177" s="330">
        <v>2</v>
      </c>
      <c r="AD177" s="334">
        <v>13061</v>
      </c>
      <c r="AE177" s="334">
        <v>112</v>
      </c>
      <c r="AF177" s="334">
        <v>145</v>
      </c>
      <c r="AG177" s="334">
        <v>257</v>
      </c>
    </row>
    <row r="178" spans="1:33" x14ac:dyDescent="0.25">
      <c r="A178" s="329" t="s">
        <v>412</v>
      </c>
      <c r="B178" s="335" t="s">
        <v>413</v>
      </c>
      <c r="C178" s="331">
        <v>8401</v>
      </c>
      <c r="D178" s="331">
        <v>81</v>
      </c>
      <c r="E178" s="331">
        <v>406</v>
      </c>
      <c r="F178" s="331">
        <v>584</v>
      </c>
      <c r="G178" s="331">
        <v>5397</v>
      </c>
      <c r="H178" s="331">
        <v>14869</v>
      </c>
      <c r="I178" s="330">
        <v>9472</v>
      </c>
      <c r="J178" s="330">
        <v>9</v>
      </c>
      <c r="K178" s="332">
        <v>98.83</v>
      </c>
      <c r="L178" s="332">
        <v>96.1</v>
      </c>
      <c r="M178" s="332">
        <v>6.55</v>
      </c>
      <c r="N178" s="332">
        <v>103.24</v>
      </c>
      <c r="O178" s="333">
        <v>6391</v>
      </c>
      <c r="P178" s="330">
        <v>102.55</v>
      </c>
      <c r="Q178" s="330">
        <v>97.01</v>
      </c>
      <c r="R178" s="330">
        <v>41.43</v>
      </c>
      <c r="S178" s="330">
        <v>142.80000000000001</v>
      </c>
      <c r="T178" s="330">
        <v>880</v>
      </c>
      <c r="U178" s="330">
        <v>138.78</v>
      </c>
      <c r="V178" s="330">
        <v>1278</v>
      </c>
      <c r="W178" s="330">
        <v>94.52</v>
      </c>
      <c r="X178" s="330">
        <v>9</v>
      </c>
      <c r="Y178" s="330">
        <v>0</v>
      </c>
      <c r="Z178" s="330">
        <v>0</v>
      </c>
      <c r="AA178" s="330">
        <v>5</v>
      </c>
      <c r="AB178" s="330">
        <v>199</v>
      </c>
      <c r="AC178" s="330">
        <v>49</v>
      </c>
      <c r="AD178" s="334">
        <v>8035</v>
      </c>
      <c r="AE178" s="334">
        <v>29</v>
      </c>
      <c r="AF178" s="334">
        <v>28</v>
      </c>
      <c r="AG178" s="334">
        <v>57</v>
      </c>
    </row>
    <row r="179" spans="1:33" x14ac:dyDescent="0.25">
      <c r="A179" s="329" t="s">
        <v>414</v>
      </c>
      <c r="B179" s="335" t="s">
        <v>415</v>
      </c>
      <c r="C179" s="331">
        <v>3537</v>
      </c>
      <c r="D179" s="331">
        <v>11</v>
      </c>
      <c r="E179" s="331">
        <v>213</v>
      </c>
      <c r="F179" s="331">
        <v>659</v>
      </c>
      <c r="G179" s="331">
        <v>296</v>
      </c>
      <c r="H179" s="331">
        <v>4716</v>
      </c>
      <c r="I179" s="330">
        <v>4420</v>
      </c>
      <c r="J179" s="330">
        <v>6</v>
      </c>
      <c r="K179" s="332">
        <v>112.41</v>
      </c>
      <c r="L179" s="332">
        <v>113.92</v>
      </c>
      <c r="M179" s="332">
        <v>4.7</v>
      </c>
      <c r="N179" s="332">
        <v>115.37</v>
      </c>
      <c r="O179" s="333">
        <v>3031</v>
      </c>
      <c r="P179" s="330">
        <v>98.92</v>
      </c>
      <c r="Q179" s="330">
        <v>100.03</v>
      </c>
      <c r="R179" s="330">
        <v>28.47</v>
      </c>
      <c r="S179" s="330">
        <v>127.18</v>
      </c>
      <c r="T179" s="330">
        <v>701</v>
      </c>
      <c r="U179" s="330">
        <v>156.71</v>
      </c>
      <c r="V179" s="330">
        <v>463</v>
      </c>
      <c r="W179" s="330">
        <v>0</v>
      </c>
      <c r="X179" s="330">
        <v>0</v>
      </c>
      <c r="Y179" s="330">
        <v>0</v>
      </c>
      <c r="Z179" s="330">
        <v>6</v>
      </c>
      <c r="AA179" s="330">
        <v>1</v>
      </c>
      <c r="AB179" s="330">
        <v>14</v>
      </c>
      <c r="AC179" s="330">
        <v>13</v>
      </c>
      <c r="AD179" s="334">
        <v>3499</v>
      </c>
      <c r="AE179" s="334">
        <v>12</v>
      </c>
      <c r="AF179" s="334">
        <v>36</v>
      </c>
      <c r="AG179" s="334">
        <v>48</v>
      </c>
    </row>
    <row r="180" spans="1:33" x14ac:dyDescent="0.25">
      <c r="A180" s="329" t="s">
        <v>416</v>
      </c>
      <c r="B180" s="335" t="s">
        <v>417</v>
      </c>
      <c r="C180" s="331">
        <v>2818</v>
      </c>
      <c r="D180" s="331">
        <v>8</v>
      </c>
      <c r="E180" s="331">
        <v>281</v>
      </c>
      <c r="F180" s="331">
        <v>322</v>
      </c>
      <c r="G180" s="331">
        <v>352</v>
      </c>
      <c r="H180" s="331">
        <v>3781</v>
      </c>
      <c r="I180" s="330">
        <v>3429</v>
      </c>
      <c r="J180" s="330">
        <v>0</v>
      </c>
      <c r="K180" s="332">
        <v>112.08</v>
      </c>
      <c r="L180" s="332">
        <v>110.72</v>
      </c>
      <c r="M180" s="332">
        <v>4.49</v>
      </c>
      <c r="N180" s="332">
        <v>115.56</v>
      </c>
      <c r="O180" s="333">
        <v>2416</v>
      </c>
      <c r="P180" s="330">
        <v>97.56</v>
      </c>
      <c r="Q180" s="330">
        <v>93.73</v>
      </c>
      <c r="R180" s="330">
        <v>29.67</v>
      </c>
      <c r="S180" s="330">
        <v>125.92</v>
      </c>
      <c r="T180" s="330">
        <v>475</v>
      </c>
      <c r="U180" s="330">
        <v>141.41999999999999</v>
      </c>
      <c r="V180" s="330">
        <v>257</v>
      </c>
      <c r="W180" s="330">
        <v>135.61000000000001</v>
      </c>
      <c r="X180" s="330">
        <v>3</v>
      </c>
      <c r="Y180" s="330">
        <v>158</v>
      </c>
      <c r="Z180" s="330">
        <v>0</v>
      </c>
      <c r="AA180" s="330">
        <v>1</v>
      </c>
      <c r="AB180" s="330">
        <v>16</v>
      </c>
      <c r="AC180" s="330">
        <v>14</v>
      </c>
      <c r="AD180" s="334">
        <v>2726</v>
      </c>
      <c r="AE180" s="334">
        <v>7</v>
      </c>
      <c r="AF180" s="334">
        <v>10</v>
      </c>
      <c r="AG180" s="334">
        <v>17</v>
      </c>
    </row>
    <row r="181" spans="1:33" x14ac:dyDescent="0.25">
      <c r="A181" s="329" t="s">
        <v>418</v>
      </c>
      <c r="B181" s="335" t="s">
        <v>419</v>
      </c>
      <c r="C181" s="331">
        <v>1893</v>
      </c>
      <c r="D181" s="331">
        <v>9</v>
      </c>
      <c r="E181" s="331">
        <v>314</v>
      </c>
      <c r="F181" s="331">
        <v>263</v>
      </c>
      <c r="G181" s="331">
        <v>288</v>
      </c>
      <c r="H181" s="331">
        <v>2767</v>
      </c>
      <c r="I181" s="330">
        <v>2479</v>
      </c>
      <c r="J181" s="330">
        <v>3</v>
      </c>
      <c r="K181" s="332">
        <v>86.51</v>
      </c>
      <c r="L181" s="332">
        <v>82.82</v>
      </c>
      <c r="M181" s="332">
        <v>3.85</v>
      </c>
      <c r="N181" s="332">
        <v>88.76</v>
      </c>
      <c r="O181" s="333">
        <v>1594</v>
      </c>
      <c r="P181" s="330">
        <v>108.51</v>
      </c>
      <c r="Q181" s="330">
        <v>76.78</v>
      </c>
      <c r="R181" s="330">
        <v>67.959999999999994</v>
      </c>
      <c r="S181" s="330">
        <v>176.47</v>
      </c>
      <c r="T181" s="330">
        <v>444</v>
      </c>
      <c r="U181" s="330">
        <v>93.21</v>
      </c>
      <c r="V181" s="330">
        <v>241</v>
      </c>
      <c r="W181" s="330">
        <v>0</v>
      </c>
      <c r="X181" s="330">
        <v>0</v>
      </c>
      <c r="Y181" s="330">
        <v>205</v>
      </c>
      <c r="Z181" s="330">
        <v>2</v>
      </c>
      <c r="AA181" s="330">
        <v>14</v>
      </c>
      <c r="AB181" s="330">
        <v>13</v>
      </c>
      <c r="AC181" s="330">
        <v>7</v>
      </c>
      <c r="AD181" s="334">
        <v>1893</v>
      </c>
      <c r="AE181" s="334">
        <v>14</v>
      </c>
      <c r="AF181" s="334">
        <v>53</v>
      </c>
      <c r="AG181" s="334">
        <v>67</v>
      </c>
    </row>
    <row r="182" spans="1:33" x14ac:dyDescent="0.25">
      <c r="A182" s="329" t="s">
        <v>420</v>
      </c>
      <c r="B182" s="335" t="s">
        <v>421</v>
      </c>
      <c r="C182" s="331">
        <v>7263</v>
      </c>
      <c r="D182" s="331">
        <v>232</v>
      </c>
      <c r="E182" s="331">
        <v>1314</v>
      </c>
      <c r="F182" s="331">
        <v>1488</v>
      </c>
      <c r="G182" s="331">
        <v>342</v>
      </c>
      <c r="H182" s="331">
        <v>10639</v>
      </c>
      <c r="I182" s="330">
        <v>10297</v>
      </c>
      <c r="J182" s="330">
        <v>30</v>
      </c>
      <c r="K182" s="332">
        <v>77.599999999999994</v>
      </c>
      <c r="L182" s="332">
        <v>75.709999999999994</v>
      </c>
      <c r="M182" s="332">
        <v>10.14</v>
      </c>
      <c r="N182" s="332">
        <v>86.09</v>
      </c>
      <c r="O182" s="333">
        <v>5764</v>
      </c>
      <c r="P182" s="330">
        <v>83.81</v>
      </c>
      <c r="Q182" s="330">
        <v>76.03</v>
      </c>
      <c r="R182" s="330">
        <v>62.03</v>
      </c>
      <c r="S182" s="330">
        <v>144.31</v>
      </c>
      <c r="T182" s="330">
        <v>2143</v>
      </c>
      <c r="U182" s="330">
        <v>101.11</v>
      </c>
      <c r="V182" s="330">
        <v>1114</v>
      </c>
      <c r="W182" s="330">
        <v>192.2</v>
      </c>
      <c r="X182" s="330">
        <v>362</v>
      </c>
      <c r="Y182" s="330">
        <v>183</v>
      </c>
      <c r="Z182" s="330">
        <v>42</v>
      </c>
      <c r="AA182" s="330">
        <v>4</v>
      </c>
      <c r="AB182" s="330">
        <v>29</v>
      </c>
      <c r="AC182" s="330">
        <v>6</v>
      </c>
      <c r="AD182" s="334">
        <v>6693</v>
      </c>
      <c r="AE182" s="334">
        <v>69</v>
      </c>
      <c r="AF182" s="334">
        <v>40</v>
      </c>
      <c r="AG182" s="334">
        <v>109</v>
      </c>
    </row>
    <row r="183" spans="1:33" x14ac:dyDescent="0.25">
      <c r="A183" s="329" t="s">
        <v>422</v>
      </c>
      <c r="B183" s="335" t="s">
        <v>423</v>
      </c>
      <c r="C183" s="331">
        <v>8858</v>
      </c>
      <c r="D183" s="331">
        <v>15</v>
      </c>
      <c r="E183" s="331">
        <v>124</v>
      </c>
      <c r="F183" s="331">
        <v>876</v>
      </c>
      <c r="G183" s="331">
        <v>250</v>
      </c>
      <c r="H183" s="331">
        <v>10123</v>
      </c>
      <c r="I183" s="330">
        <v>9873</v>
      </c>
      <c r="J183" s="330">
        <v>5</v>
      </c>
      <c r="K183" s="332">
        <v>81.680000000000007</v>
      </c>
      <c r="L183" s="332">
        <v>81.69</v>
      </c>
      <c r="M183" s="332">
        <v>6.65</v>
      </c>
      <c r="N183" s="332">
        <v>82.38</v>
      </c>
      <c r="O183" s="333">
        <v>8323</v>
      </c>
      <c r="P183" s="330">
        <v>76.55</v>
      </c>
      <c r="Q183" s="330">
        <v>74.760000000000005</v>
      </c>
      <c r="R183" s="330">
        <v>28.54</v>
      </c>
      <c r="S183" s="330">
        <v>85.34</v>
      </c>
      <c r="T183" s="330">
        <v>818</v>
      </c>
      <c r="U183" s="330">
        <v>91.69</v>
      </c>
      <c r="V183" s="330">
        <v>520</v>
      </c>
      <c r="W183" s="330">
        <v>222.4</v>
      </c>
      <c r="X183" s="330">
        <v>96</v>
      </c>
      <c r="Y183" s="330">
        <v>0</v>
      </c>
      <c r="Z183" s="330">
        <v>22</v>
      </c>
      <c r="AA183" s="330">
        <v>36</v>
      </c>
      <c r="AB183" s="330">
        <v>7</v>
      </c>
      <c r="AC183" s="330">
        <v>3</v>
      </c>
      <c r="AD183" s="334">
        <v>8858</v>
      </c>
      <c r="AE183" s="334">
        <v>32</v>
      </c>
      <c r="AF183" s="334">
        <v>77</v>
      </c>
      <c r="AG183" s="334">
        <v>109</v>
      </c>
    </row>
    <row r="184" spans="1:33" x14ac:dyDescent="0.25">
      <c r="A184" s="329" t="s">
        <v>424</v>
      </c>
      <c r="B184" s="335" t="s">
        <v>425</v>
      </c>
      <c r="C184" s="331">
        <v>12132</v>
      </c>
      <c r="D184" s="331">
        <v>16</v>
      </c>
      <c r="E184" s="331">
        <v>918</v>
      </c>
      <c r="F184" s="331">
        <v>831</v>
      </c>
      <c r="G184" s="331">
        <v>2421</v>
      </c>
      <c r="H184" s="331">
        <v>16318</v>
      </c>
      <c r="I184" s="330">
        <v>13897</v>
      </c>
      <c r="J184" s="330">
        <v>87</v>
      </c>
      <c r="K184" s="332">
        <v>118.61</v>
      </c>
      <c r="L184" s="332">
        <v>115.67</v>
      </c>
      <c r="M184" s="332">
        <v>11.1</v>
      </c>
      <c r="N184" s="332">
        <v>124.79</v>
      </c>
      <c r="O184" s="333">
        <v>9282</v>
      </c>
      <c r="P184" s="330">
        <v>105.04</v>
      </c>
      <c r="Q184" s="330">
        <v>100.91</v>
      </c>
      <c r="R184" s="330">
        <v>77.02</v>
      </c>
      <c r="S184" s="330">
        <v>156.05000000000001</v>
      </c>
      <c r="T184" s="330">
        <v>1516</v>
      </c>
      <c r="U184" s="330">
        <v>190.28</v>
      </c>
      <c r="V184" s="330">
        <v>943</v>
      </c>
      <c r="W184" s="330">
        <v>179.29</v>
      </c>
      <c r="X184" s="330">
        <v>13</v>
      </c>
      <c r="Y184" s="330">
        <v>0</v>
      </c>
      <c r="Z184" s="330">
        <v>4</v>
      </c>
      <c r="AA184" s="330">
        <v>5</v>
      </c>
      <c r="AB184" s="330">
        <v>141</v>
      </c>
      <c r="AC184" s="330">
        <v>72</v>
      </c>
      <c r="AD184" s="334">
        <v>10987</v>
      </c>
      <c r="AE184" s="334">
        <v>146</v>
      </c>
      <c r="AF184" s="334">
        <v>62</v>
      </c>
      <c r="AG184" s="334">
        <v>208</v>
      </c>
    </row>
    <row r="185" spans="1:33" x14ac:dyDescent="0.25">
      <c r="A185" s="329" t="s">
        <v>426</v>
      </c>
      <c r="B185" s="335" t="s">
        <v>427</v>
      </c>
      <c r="C185" s="331">
        <v>3849</v>
      </c>
      <c r="D185" s="331">
        <v>0</v>
      </c>
      <c r="E185" s="331">
        <v>80</v>
      </c>
      <c r="F185" s="331">
        <v>765</v>
      </c>
      <c r="G185" s="331">
        <v>327</v>
      </c>
      <c r="H185" s="331">
        <v>5021</v>
      </c>
      <c r="I185" s="330">
        <v>4694</v>
      </c>
      <c r="J185" s="330">
        <v>3</v>
      </c>
      <c r="K185" s="332">
        <v>84.06</v>
      </c>
      <c r="L185" s="332">
        <v>83.4</v>
      </c>
      <c r="M185" s="332">
        <v>3.59</v>
      </c>
      <c r="N185" s="332">
        <v>86.32</v>
      </c>
      <c r="O185" s="333">
        <v>3333</v>
      </c>
      <c r="P185" s="330">
        <v>80.739999999999995</v>
      </c>
      <c r="Q185" s="330">
        <v>74.22</v>
      </c>
      <c r="R185" s="330">
        <v>20.07</v>
      </c>
      <c r="S185" s="330">
        <v>100.29</v>
      </c>
      <c r="T185" s="330">
        <v>774</v>
      </c>
      <c r="U185" s="330">
        <v>113.92</v>
      </c>
      <c r="V185" s="330">
        <v>487</v>
      </c>
      <c r="W185" s="330">
        <v>0</v>
      </c>
      <c r="X185" s="330">
        <v>0</v>
      </c>
      <c r="Y185" s="330">
        <v>16</v>
      </c>
      <c r="Z185" s="330">
        <v>8</v>
      </c>
      <c r="AA185" s="330">
        <v>10</v>
      </c>
      <c r="AB185" s="330">
        <v>26</v>
      </c>
      <c r="AC185" s="330">
        <v>4</v>
      </c>
      <c r="AD185" s="334">
        <v>3849</v>
      </c>
      <c r="AE185" s="334">
        <v>19</v>
      </c>
      <c r="AF185" s="334">
        <v>52</v>
      </c>
      <c r="AG185" s="334">
        <v>71</v>
      </c>
    </row>
    <row r="186" spans="1:33" x14ac:dyDescent="0.25">
      <c r="A186" s="329" t="s">
        <v>428</v>
      </c>
      <c r="B186" s="335" t="s">
        <v>429</v>
      </c>
      <c r="C186" s="331">
        <v>772</v>
      </c>
      <c r="D186" s="331">
        <v>36</v>
      </c>
      <c r="E186" s="331">
        <v>84</v>
      </c>
      <c r="F186" s="331">
        <v>145</v>
      </c>
      <c r="G186" s="331">
        <v>107</v>
      </c>
      <c r="H186" s="331">
        <v>1144</v>
      </c>
      <c r="I186" s="330">
        <v>1037</v>
      </c>
      <c r="J186" s="330">
        <v>0</v>
      </c>
      <c r="K186" s="332">
        <v>89.22</v>
      </c>
      <c r="L186" s="332">
        <v>88.15</v>
      </c>
      <c r="M186" s="332">
        <v>4.49</v>
      </c>
      <c r="N186" s="332">
        <v>91.47</v>
      </c>
      <c r="O186" s="333">
        <v>584</v>
      </c>
      <c r="P186" s="330">
        <v>97.33</v>
      </c>
      <c r="Q186" s="330">
        <v>86.03</v>
      </c>
      <c r="R186" s="330">
        <v>31.75</v>
      </c>
      <c r="S186" s="330">
        <v>126.22</v>
      </c>
      <c r="T186" s="330">
        <v>222</v>
      </c>
      <c r="U186" s="330">
        <v>99.87</v>
      </c>
      <c r="V186" s="330">
        <v>199</v>
      </c>
      <c r="W186" s="330">
        <v>0</v>
      </c>
      <c r="X186" s="330">
        <v>0</v>
      </c>
      <c r="Y186" s="330">
        <v>31</v>
      </c>
      <c r="Z186" s="330">
        <v>0</v>
      </c>
      <c r="AA186" s="330">
        <v>3</v>
      </c>
      <c r="AB186" s="330">
        <v>1</v>
      </c>
      <c r="AC186" s="330">
        <v>5</v>
      </c>
      <c r="AD186" s="334">
        <v>696</v>
      </c>
      <c r="AE186" s="334">
        <v>7</v>
      </c>
      <c r="AF186" s="334">
        <v>2</v>
      </c>
      <c r="AG186" s="334">
        <v>9</v>
      </c>
    </row>
    <row r="187" spans="1:33" x14ac:dyDescent="0.25">
      <c r="A187" s="329" t="s">
        <v>430</v>
      </c>
      <c r="B187" s="335" t="s">
        <v>431</v>
      </c>
      <c r="C187" s="331">
        <v>8011</v>
      </c>
      <c r="D187" s="331">
        <v>0</v>
      </c>
      <c r="E187" s="331">
        <v>408</v>
      </c>
      <c r="F187" s="331">
        <v>1207</v>
      </c>
      <c r="G187" s="331">
        <v>226</v>
      </c>
      <c r="H187" s="331">
        <v>9852</v>
      </c>
      <c r="I187" s="330">
        <v>9626</v>
      </c>
      <c r="J187" s="330">
        <v>0</v>
      </c>
      <c r="K187" s="332">
        <v>78.69</v>
      </c>
      <c r="L187" s="332">
        <v>77.45</v>
      </c>
      <c r="M187" s="332">
        <v>2.2999999999999998</v>
      </c>
      <c r="N187" s="332">
        <v>80.83</v>
      </c>
      <c r="O187" s="333">
        <v>7964</v>
      </c>
      <c r="P187" s="330">
        <v>86.98</v>
      </c>
      <c r="Q187" s="330">
        <v>68.239999999999995</v>
      </c>
      <c r="R187" s="330">
        <v>28.3</v>
      </c>
      <c r="S187" s="330">
        <v>115.08</v>
      </c>
      <c r="T187" s="330">
        <v>1486</v>
      </c>
      <c r="U187" s="330">
        <v>91.21</v>
      </c>
      <c r="V187" s="330">
        <v>35</v>
      </c>
      <c r="W187" s="330">
        <v>0</v>
      </c>
      <c r="X187" s="330">
        <v>0</v>
      </c>
      <c r="Y187" s="330">
        <v>0</v>
      </c>
      <c r="Z187" s="330">
        <v>28</v>
      </c>
      <c r="AA187" s="330">
        <v>25</v>
      </c>
      <c r="AB187" s="330">
        <v>15</v>
      </c>
      <c r="AC187" s="330">
        <v>7</v>
      </c>
      <c r="AD187" s="334">
        <v>8009</v>
      </c>
      <c r="AE187" s="334">
        <v>64</v>
      </c>
      <c r="AF187" s="334">
        <v>171</v>
      </c>
      <c r="AG187" s="334">
        <v>235</v>
      </c>
    </row>
    <row r="188" spans="1:33" x14ac:dyDescent="0.25">
      <c r="A188" s="329" t="s">
        <v>432</v>
      </c>
      <c r="B188" s="335" t="s">
        <v>433</v>
      </c>
      <c r="C188" s="331">
        <v>9440</v>
      </c>
      <c r="D188" s="331">
        <v>0</v>
      </c>
      <c r="E188" s="331">
        <v>255</v>
      </c>
      <c r="F188" s="331">
        <v>967</v>
      </c>
      <c r="G188" s="331">
        <v>598</v>
      </c>
      <c r="H188" s="331">
        <v>11260</v>
      </c>
      <c r="I188" s="330">
        <v>10662</v>
      </c>
      <c r="J188" s="330">
        <v>739</v>
      </c>
      <c r="K188" s="332">
        <v>107.95</v>
      </c>
      <c r="L188" s="332">
        <v>114.77</v>
      </c>
      <c r="M188" s="332">
        <v>4.6399999999999997</v>
      </c>
      <c r="N188" s="332">
        <v>109.43</v>
      </c>
      <c r="O188" s="333">
        <v>9137</v>
      </c>
      <c r="P188" s="330">
        <v>95.48</v>
      </c>
      <c r="Q188" s="330">
        <v>95.2</v>
      </c>
      <c r="R188" s="330">
        <v>23.49</v>
      </c>
      <c r="S188" s="330">
        <v>118.54</v>
      </c>
      <c r="T188" s="330">
        <v>1200</v>
      </c>
      <c r="U188" s="330">
        <v>136.51</v>
      </c>
      <c r="V188" s="330">
        <v>229</v>
      </c>
      <c r="W188" s="330">
        <v>0</v>
      </c>
      <c r="X188" s="330">
        <v>0</v>
      </c>
      <c r="Y188" s="330">
        <v>0</v>
      </c>
      <c r="Z188" s="330">
        <v>17</v>
      </c>
      <c r="AA188" s="330">
        <v>9</v>
      </c>
      <c r="AB188" s="330">
        <v>27</v>
      </c>
      <c r="AC188" s="330">
        <v>11</v>
      </c>
      <c r="AD188" s="334">
        <v>9389</v>
      </c>
      <c r="AE188" s="334">
        <v>29</v>
      </c>
      <c r="AF188" s="334">
        <v>12</v>
      </c>
      <c r="AG188" s="334">
        <v>41</v>
      </c>
    </row>
    <row r="189" spans="1:33" x14ac:dyDescent="0.25">
      <c r="A189" s="329" t="s">
        <v>434</v>
      </c>
      <c r="B189" s="335" t="s">
        <v>435</v>
      </c>
      <c r="C189" s="331">
        <v>1071</v>
      </c>
      <c r="D189" s="331">
        <v>0</v>
      </c>
      <c r="E189" s="331">
        <v>96</v>
      </c>
      <c r="F189" s="331">
        <v>98</v>
      </c>
      <c r="G189" s="331">
        <v>370</v>
      </c>
      <c r="H189" s="331">
        <v>1635</v>
      </c>
      <c r="I189" s="330">
        <v>1265</v>
      </c>
      <c r="J189" s="330">
        <v>0</v>
      </c>
      <c r="K189" s="332">
        <v>87.35</v>
      </c>
      <c r="L189" s="332">
        <v>85.55</v>
      </c>
      <c r="M189" s="332">
        <v>4.18</v>
      </c>
      <c r="N189" s="332">
        <v>90.78</v>
      </c>
      <c r="O189" s="333">
        <v>777</v>
      </c>
      <c r="P189" s="330">
        <v>99.09</v>
      </c>
      <c r="Q189" s="330">
        <v>81.78</v>
      </c>
      <c r="R189" s="330">
        <v>61.74</v>
      </c>
      <c r="S189" s="330">
        <v>160.5</v>
      </c>
      <c r="T189" s="330">
        <v>185</v>
      </c>
      <c r="U189" s="330">
        <v>97.96</v>
      </c>
      <c r="V189" s="330">
        <v>203</v>
      </c>
      <c r="W189" s="330">
        <v>115.39</v>
      </c>
      <c r="X189" s="330">
        <v>1</v>
      </c>
      <c r="Y189" s="330">
        <v>0</v>
      </c>
      <c r="Z189" s="330">
        <v>1</v>
      </c>
      <c r="AA189" s="330">
        <v>1</v>
      </c>
      <c r="AB189" s="330">
        <v>39</v>
      </c>
      <c r="AC189" s="330">
        <v>7</v>
      </c>
      <c r="AD189" s="334">
        <v>1014</v>
      </c>
      <c r="AE189" s="334">
        <v>5</v>
      </c>
      <c r="AF189" s="334">
        <v>2</v>
      </c>
      <c r="AG189" s="334">
        <v>7</v>
      </c>
    </row>
    <row r="190" spans="1:33" x14ac:dyDescent="0.25">
      <c r="A190" s="329" t="s">
        <v>436</v>
      </c>
      <c r="B190" s="335" t="s">
        <v>437</v>
      </c>
      <c r="C190" s="331">
        <v>10845</v>
      </c>
      <c r="D190" s="331">
        <v>0</v>
      </c>
      <c r="E190" s="331">
        <v>157</v>
      </c>
      <c r="F190" s="331">
        <v>317</v>
      </c>
      <c r="G190" s="331">
        <v>77</v>
      </c>
      <c r="H190" s="331">
        <v>11396</v>
      </c>
      <c r="I190" s="330">
        <v>11319</v>
      </c>
      <c r="J190" s="330">
        <v>0</v>
      </c>
      <c r="K190" s="332">
        <v>79.55</v>
      </c>
      <c r="L190" s="332">
        <v>79.37</v>
      </c>
      <c r="M190" s="332">
        <v>3.13</v>
      </c>
      <c r="N190" s="332">
        <v>81.010000000000005</v>
      </c>
      <c r="O190" s="333">
        <v>10400</v>
      </c>
      <c r="P190" s="330">
        <v>95.42</v>
      </c>
      <c r="Q190" s="330">
        <v>79.25</v>
      </c>
      <c r="R190" s="330">
        <v>53.21</v>
      </c>
      <c r="S190" s="330">
        <v>144.58000000000001</v>
      </c>
      <c r="T190" s="330">
        <v>434</v>
      </c>
      <c r="U190" s="330">
        <v>93.16</v>
      </c>
      <c r="V190" s="330">
        <v>400</v>
      </c>
      <c r="W190" s="330">
        <v>252.17</v>
      </c>
      <c r="X190" s="330">
        <v>32</v>
      </c>
      <c r="Y190" s="330">
        <v>0</v>
      </c>
      <c r="Z190" s="330">
        <v>29</v>
      </c>
      <c r="AA190" s="330">
        <v>1</v>
      </c>
      <c r="AB190" s="330">
        <v>0</v>
      </c>
      <c r="AC190" s="330">
        <v>1</v>
      </c>
      <c r="AD190" s="334">
        <v>10806</v>
      </c>
      <c r="AE190" s="334">
        <v>116</v>
      </c>
      <c r="AF190" s="334">
        <v>8</v>
      </c>
      <c r="AG190" s="334">
        <v>124</v>
      </c>
    </row>
    <row r="191" spans="1:33" x14ac:dyDescent="0.25">
      <c r="A191" s="329" t="s">
        <v>438</v>
      </c>
      <c r="B191" s="335" t="s">
        <v>439</v>
      </c>
      <c r="C191" s="331">
        <v>5947</v>
      </c>
      <c r="D191" s="331">
        <v>0</v>
      </c>
      <c r="E191" s="331">
        <v>158</v>
      </c>
      <c r="F191" s="331">
        <v>184</v>
      </c>
      <c r="G191" s="331">
        <v>177</v>
      </c>
      <c r="H191" s="331">
        <v>6466</v>
      </c>
      <c r="I191" s="330">
        <v>6289</v>
      </c>
      <c r="J191" s="330">
        <v>2</v>
      </c>
      <c r="K191" s="332">
        <v>87.11</v>
      </c>
      <c r="L191" s="332">
        <v>85.93</v>
      </c>
      <c r="M191" s="332">
        <v>3.08</v>
      </c>
      <c r="N191" s="332">
        <v>89.37</v>
      </c>
      <c r="O191" s="333">
        <v>5320</v>
      </c>
      <c r="P191" s="330">
        <v>92.53</v>
      </c>
      <c r="Q191" s="330">
        <v>72.55</v>
      </c>
      <c r="R191" s="330">
        <v>39.270000000000003</v>
      </c>
      <c r="S191" s="330">
        <v>124.92</v>
      </c>
      <c r="T191" s="330">
        <v>342</v>
      </c>
      <c r="U191" s="330">
        <v>103.84</v>
      </c>
      <c r="V191" s="330">
        <v>622</v>
      </c>
      <c r="W191" s="330">
        <v>0</v>
      </c>
      <c r="X191" s="330">
        <v>0</v>
      </c>
      <c r="Y191" s="330">
        <v>0</v>
      </c>
      <c r="Z191" s="330">
        <v>17</v>
      </c>
      <c r="AA191" s="330">
        <v>56</v>
      </c>
      <c r="AB191" s="330">
        <v>16</v>
      </c>
      <c r="AC191" s="330">
        <v>4</v>
      </c>
      <c r="AD191" s="334">
        <v>5936</v>
      </c>
      <c r="AE191" s="334">
        <v>27</v>
      </c>
      <c r="AF191" s="334">
        <v>47</v>
      </c>
      <c r="AG191" s="334">
        <v>74</v>
      </c>
    </row>
    <row r="192" spans="1:33" ht="14.5" x14ac:dyDescent="0.35">
      <c r="A192" s="336" t="s">
        <v>799</v>
      </c>
      <c r="B192" s="336" t="s">
        <v>797</v>
      </c>
      <c r="C192" s="330">
        <v>13562</v>
      </c>
      <c r="D192" s="330">
        <v>250</v>
      </c>
      <c r="E192" s="330">
        <v>720</v>
      </c>
      <c r="F192" s="330">
        <v>1004</v>
      </c>
      <c r="G192" s="330">
        <v>1482</v>
      </c>
      <c r="H192" s="330">
        <v>17018</v>
      </c>
      <c r="I192" s="330">
        <v>15536</v>
      </c>
      <c r="J192" s="330">
        <v>2</v>
      </c>
      <c r="K192" s="330">
        <v>89.52</v>
      </c>
      <c r="L192" s="330">
        <v>89.19</v>
      </c>
      <c r="M192" s="330">
        <v>5.97</v>
      </c>
      <c r="N192" s="330">
        <v>92.24</v>
      </c>
      <c r="O192" s="330">
        <v>11833</v>
      </c>
      <c r="P192" s="330">
        <v>89.3</v>
      </c>
      <c r="Q192" s="330">
        <v>81.510000000000005</v>
      </c>
      <c r="R192" s="330">
        <v>42.83</v>
      </c>
      <c r="S192" s="330">
        <v>130.66</v>
      </c>
      <c r="T192" s="330">
        <v>1610</v>
      </c>
      <c r="U192" s="330">
        <v>103.27</v>
      </c>
      <c r="V192" s="330">
        <v>1436</v>
      </c>
      <c r="W192" s="330">
        <v>126.6</v>
      </c>
      <c r="X192" s="330">
        <v>7</v>
      </c>
      <c r="Y192" s="330">
        <v>30</v>
      </c>
      <c r="Z192" s="330">
        <v>30</v>
      </c>
      <c r="AA192" s="330">
        <v>5</v>
      </c>
      <c r="AB192" s="330">
        <v>137</v>
      </c>
      <c r="AC192" s="330">
        <v>23</v>
      </c>
      <c r="AD192" s="330">
        <v>13478</v>
      </c>
      <c r="AE192" s="330">
        <v>42</v>
      </c>
      <c r="AF192" s="330">
        <v>80</v>
      </c>
      <c r="AG192" s="330">
        <v>122</v>
      </c>
    </row>
    <row r="193" spans="1:33" x14ac:dyDescent="0.25">
      <c r="A193" s="329" t="s">
        <v>440</v>
      </c>
      <c r="B193" s="335" t="s">
        <v>441</v>
      </c>
      <c r="C193" s="331">
        <v>7868</v>
      </c>
      <c r="D193" s="331">
        <v>0</v>
      </c>
      <c r="E193" s="331">
        <v>398</v>
      </c>
      <c r="F193" s="331">
        <v>632</v>
      </c>
      <c r="G193" s="331">
        <v>541</v>
      </c>
      <c r="H193" s="331">
        <v>9439</v>
      </c>
      <c r="I193" s="330">
        <v>8898</v>
      </c>
      <c r="J193" s="330">
        <v>10</v>
      </c>
      <c r="K193" s="332">
        <v>93.65</v>
      </c>
      <c r="L193" s="332">
        <v>97.37</v>
      </c>
      <c r="M193" s="332">
        <v>7.13</v>
      </c>
      <c r="N193" s="332">
        <v>98.07</v>
      </c>
      <c r="O193" s="333">
        <v>6858</v>
      </c>
      <c r="P193" s="330">
        <v>108.36</v>
      </c>
      <c r="Q193" s="330">
        <v>90.08</v>
      </c>
      <c r="R193" s="330">
        <v>50.09</v>
      </c>
      <c r="S193" s="330">
        <v>158.16999999999999</v>
      </c>
      <c r="T193" s="330">
        <v>871</v>
      </c>
      <c r="U193" s="330">
        <v>124.7</v>
      </c>
      <c r="V193" s="330">
        <v>812</v>
      </c>
      <c r="W193" s="330">
        <v>158.16999999999999</v>
      </c>
      <c r="X193" s="330">
        <v>79</v>
      </c>
      <c r="Y193" s="330">
        <v>0</v>
      </c>
      <c r="Z193" s="330">
        <v>15</v>
      </c>
      <c r="AA193" s="330">
        <v>2</v>
      </c>
      <c r="AB193" s="330">
        <v>42</v>
      </c>
      <c r="AC193" s="330">
        <v>11</v>
      </c>
      <c r="AD193" s="334">
        <v>7676</v>
      </c>
      <c r="AE193" s="334">
        <v>17</v>
      </c>
      <c r="AF193" s="334">
        <v>21</v>
      </c>
      <c r="AG193" s="334">
        <v>38</v>
      </c>
    </row>
    <row r="194" spans="1:33" x14ac:dyDescent="0.25">
      <c r="A194" s="329" t="s">
        <v>442</v>
      </c>
      <c r="B194" s="335" t="s">
        <v>443</v>
      </c>
      <c r="C194" s="331">
        <v>4253</v>
      </c>
      <c r="D194" s="331">
        <v>36</v>
      </c>
      <c r="E194" s="331">
        <v>508</v>
      </c>
      <c r="F194" s="331">
        <v>1278</v>
      </c>
      <c r="G194" s="331">
        <v>343</v>
      </c>
      <c r="H194" s="331">
        <v>6418</v>
      </c>
      <c r="I194" s="330">
        <v>6075</v>
      </c>
      <c r="J194" s="330">
        <v>0</v>
      </c>
      <c r="K194" s="332">
        <v>81.25</v>
      </c>
      <c r="L194" s="332">
        <v>77.75</v>
      </c>
      <c r="M194" s="332">
        <v>8.4499999999999993</v>
      </c>
      <c r="N194" s="332">
        <v>87.97</v>
      </c>
      <c r="O194" s="333">
        <v>3243</v>
      </c>
      <c r="P194" s="330">
        <v>89.66</v>
      </c>
      <c r="Q194" s="330">
        <v>77.739999999999995</v>
      </c>
      <c r="R194" s="330">
        <v>46.51</v>
      </c>
      <c r="S194" s="330">
        <v>135.62</v>
      </c>
      <c r="T194" s="330">
        <v>1519</v>
      </c>
      <c r="U194" s="330">
        <v>101.62</v>
      </c>
      <c r="V194" s="330">
        <v>844</v>
      </c>
      <c r="W194" s="330">
        <v>189.09</v>
      </c>
      <c r="X194" s="330">
        <v>161</v>
      </c>
      <c r="Y194" s="330">
        <v>113</v>
      </c>
      <c r="Z194" s="330">
        <v>2</v>
      </c>
      <c r="AA194" s="330">
        <v>0</v>
      </c>
      <c r="AB194" s="330">
        <v>56</v>
      </c>
      <c r="AC194" s="330">
        <v>5</v>
      </c>
      <c r="AD194" s="334">
        <v>4073</v>
      </c>
      <c r="AE194" s="334">
        <v>47</v>
      </c>
      <c r="AF194" s="334">
        <v>8</v>
      </c>
      <c r="AG194" s="334">
        <v>55</v>
      </c>
    </row>
    <row r="195" spans="1:33" x14ac:dyDescent="0.25">
      <c r="A195" s="329" t="s">
        <v>444</v>
      </c>
      <c r="B195" s="335" t="s">
        <v>445</v>
      </c>
      <c r="C195" s="331">
        <v>1076</v>
      </c>
      <c r="D195" s="331">
        <v>0</v>
      </c>
      <c r="E195" s="331">
        <v>21</v>
      </c>
      <c r="F195" s="331">
        <v>47</v>
      </c>
      <c r="G195" s="331">
        <v>189</v>
      </c>
      <c r="H195" s="331">
        <v>1333</v>
      </c>
      <c r="I195" s="330">
        <v>1144</v>
      </c>
      <c r="J195" s="330">
        <v>0</v>
      </c>
      <c r="K195" s="332">
        <v>97.37</v>
      </c>
      <c r="L195" s="332">
        <v>95.3</v>
      </c>
      <c r="M195" s="332">
        <v>5.16</v>
      </c>
      <c r="N195" s="332">
        <v>100.3</v>
      </c>
      <c r="O195" s="333">
        <v>850</v>
      </c>
      <c r="P195" s="330">
        <v>95.6</v>
      </c>
      <c r="Q195" s="330">
        <v>86.23</v>
      </c>
      <c r="R195" s="330">
        <v>37.729999999999997</v>
      </c>
      <c r="S195" s="330">
        <v>129.79</v>
      </c>
      <c r="T195" s="330">
        <v>64</v>
      </c>
      <c r="U195" s="330">
        <v>111.11</v>
      </c>
      <c r="V195" s="330">
        <v>223</v>
      </c>
      <c r="W195" s="330">
        <v>0</v>
      </c>
      <c r="X195" s="330">
        <v>0</v>
      </c>
      <c r="Y195" s="330">
        <v>0</v>
      </c>
      <c r="Z195" s="330">
        <v>1</v>
      </c>
      <c r="AA195" s="330">
        <v>3</v>
      </c>
      <c r="AB195" s="330">
        <v>10</v>
      </c>
      <c r="AC195" s="330">
        <v>5</v>
      </c>
      <c r="AD195" s="334">
        <v>1074</v>
      </c>
      <c r="AE195" s="334">
        <v>3</v>
      </c>
      <c r="AF195" s="334">
        <v>0</v>
      </c>
      <c r="AG195" s="334">
        <v>3</v>
      </c>
    </row>
    <row r="196" spans="1:33" x14ac:dyDescent="0.25">
      <c r="A196" s="329" t="s">
        <v>446</v>
      </c>
      <c r="B196" s="335" t="s">
        <v>447</v>
      </c>
      <c r="C196" s="331">
        <v>1791</v>
      </c>
      <c r="D196" s="331">
        <v>0</v>
      </c>
      <c r="E196" s="331">
        <v>59</v>
      </c>
      <c r="F196" s="331">
        <v>213</v>
      </c>
      <c r="G196" s="331">
        <v>424</v>
      </c>
      <c r="H196" s="331">
        <v>2487</v>
      </c>
      <c r="I196" s="330">
        <v>2063</v>
      </c>
      <c r="J196" s="330">
        <v>0</v>
      </c>
      <c r="K196" s="332">
        <v>87.06</v>
      </c>
      <c r="L196" s="332">
        <v>86.66</v>
      </c>
      <c r="M196" s="332">
        <v>7.04</v>
      </c>
      <c r="N196" s="332">
        <v>92.62</v>
      </c>
      <c r="O196" s="333">
        <v>1309</v>
      </c>
      <c r="P196" s="330">
        <v>86.42</v>
      </c>
      <c r="Q196" s="330">
        <v>90.55</v>
      </c>
      <c r="R196" s="330">
        <v>42.06</v>
      </c>
      <c r="S196" s="330">
        <v>125.12</v>
      </c>
      <c r="T196" s="330">
        <v>250</v>
      </c>
      <c r="U196" s="330">
        <v>98.2</v>
      </c>
      <c r="V196" s="330">
        <v>463</v>
      </c>
      <c r="W196" s="330">
        <v>0</v>
      </c>
      <c r="X196" s="330">
        <v>0</v>
      </c>
      <c r="Y196" s="330">
        <v>0</v>
      </c>
      <c r="Z196" s="330">
        <v>0</v>
      </c>
      <c r="AA196" s="330">
        <v>1</v>
      </c>
      <c r="AB196" s="330">
        <v>11</v>
      </c>
      <c r="AC196" s="330">
        <v>9</v>
      </c>
      <c r="AD196" s="334">
        <v>1791</v>
      </c>
      <c r="AE196" s="334">
        <v>8</v>
      </c>
      <c r="AF196" s="334">
        <v>1</v>
      </c>
      <c r="AG196" s="334">
        <v>9</v>
      </c>
    </row>
    <row r="197" spans="1:33" x14ac:dyDescent="0.25">
      <c r="A197" s="329" t="s">
        <v>448</v>
      </c>
      <c r="B197" s="335" t="s">
        <v>449</v>
      </c>
      <c r="C197" s="331">
        <v>14807</v>
      </c>
      <c r="D197" s="331">
        <v>22</v>
      </c>
      <c r="E197" s="331">
        <v>400</v>
      </c>
      <c r="F197" s="331">
        <v>2534</v>
      </c>
      <c r="G197" s="331">
        <v>419</v>
      </c>
      <c r="H197" s="331">
        <v>18182</v>
      </c>
      <c r="I197" s="330">
        <v>17763</v>
      </c>
      <c r="J197" s="330">
        <v>11</v>
      </c>
      <c r="K197" s="332">
        <v>74.59</v>
      </c>
      <c r="L197" s="332">
        <v>72.180000000000007</v>
      </c>
      <c r="M197" s="332">
        <v>3.25</v>
      </c>
      <c r="N197" s="332">
        <v>76.2</v>
      </c>
      <c r="O197" s="333">
        <v>13419</v>
      </c>
      <c r="P197" s="330">
        <v>75.72</v>
      </c>
      <c r="Q197" s="330">
        <v>66.55</v>
      </c>
      <c r="R197" s="330">
        <v>25.65</v>
      </c>
      <c r="S197" s="330">
        <v>99.93</v>
      </c>
      <c r="T197" s="330">
        <v>2766</v>
      </c>
      <c r="U197" s="330">
        <v>96.28</v>
      </c>
      <c r="V197" s="330">
        <v>1163</v>
      </c>
      <c r="W197" s="330">
        <v>137.36000000000001</v>
      </c>
      <c r="X197" s="330">
        <v>73</v>
      </c>
      <c r="Y197" s="330">
        <v>206</v>
      </c>
      <c r="Z197" s="330">
        <v>12</v>
      </c>
      <c r="AA197" s="330">
        <v>0</v>
      </c>
      <c r="AB197" s="330">
        <v>14</v>
      </c>
      <c r="AC197" s="330">
        <v>4</v>
      </c>
      <c r="AD197" s="334">
        <v>14566</v>
      </c>
      <c r="AE197" s="334">
        <v>167</v>
      </c>
      <c r="AF197" s="334">
        <v>39</v>
      </c>
      <c r="AG197" s="334">
        <v>206</v>
      </c>
    </row>
    <row r="198" spans="1:33" x14ac:dyDescent="0.25">
      <c r="A198" s="329" t="s">
        <v>450</v>
      </c>
      <c r="B198" s="335" t="s">
        <v>451</v>
      </c>
      <c r="C198" s="331">
        <v>3908</v>
      </c>
      <c r="D198" s="331">
        <v>0</v>
      </c>
      <c r="E198" s="331">
        <v>510</v>
      </c>
      <c r="F198" s="331">
        <v>1181</v>
      </c>
      <c r="G198" s="331">
        <v>280</v>
      </c>
      <c r="H198" s="331">
        <v>5879</v>
      </c>
      <c r="I198" s="330">
        <v>5599</v>
      </c>
      <c r="J198" s="330">
        <v>5</v>
      </c>
      <c r="K198" s="332">
        <v>87.99</v>
      </c>
      <c r="L198" s="332">
        <v>87.62</v>
      </c>
      <c r="M198" s="332">
        <v>6.3</v>
      </c>
      <c r="N198" s="332">
        <v>92.99</v>
      </c>
      <c r="O198" s="333">
        <v>3499</v>
      </c>
      <c r="P198" s="330">
        <v>86.5</v>
      </c>
      <c r="Q198" s="330">
        <v>81.010000000000005</v>
      </c>
      <c r="R198" s="330">
        <v>43.41</v>
      </c>
      <c r="S198" s="330">
        <v>127.6</v>
      </c>
      <c r="T198" s="330">
        <v>1033</v>
      </c>
      <c r="U198" s="330">
        <v>105.13</v>
      </c>
      <c r="V198" s="330">
        <v>345</v>
      </c>
      <c r="W198" s="330">
        <v>0</v>
      </c>
      <c r="X198" s="330">
        <v>0</v>
      </c>
      <c r="Y198" s="330">
        <v>0</v>
      </c>
      <c r="Z198" s="330">
        <v>0</v>
      </c>
      <c r="AA198" s="330">
        <v>1</v>
      </c>
      <c r="AB198" s="330">
        <v>5</v>
      </c>
      <c r="AC198" s="330">
        <v>9</v>
      </c>
      <c r="AD198" s="334">
        <v>3892</v>
      </c>
      <c r="AE198" s="334">
        <v>15</v>
      </c>
      <c r="AF198" s="334">
        <v>19</v>
      </c>
      <c r="AG198" s="334">
        <v>34</v>
      </c>
    </row>
    <row r="199" spans="1:33" x14ac:dyDescent="0.25">
      <c r="A199" s="329" t="s">
        <v>452</v>
      </c>
      <c r="B199" s="335" t="s">
        <v>453</v>
      </c>
      <c r="C199" s="331">
        <v>6732</v>
      </c>
      <c r="D199" s="331">
        <v>7</v>
      </c>
      <c r="E199" s="331">
        <v>1241</v>
      </c>
      <c r="F199" s="331">
        <v>2242</v>
      </c>
      <c r="G199" s="331">
        <v>290</v>
      </c>
      <c r="H199" s="331">
        <v>10512</v>
      </c>
      <c r="I199" s="330">
        <v>10222</v>
      </c>
      <c r="J199" s="330">
        <v>40</v>
      </c>
      <c r="K199" s="332">
        <v>84.57</v>
      </c>
      <c r="L199" s="332">
        <v>82.4</v>
      </c>
      <c r="M199" s="332">
        <v>6.16</v>
      </c>
      <c r="N199" s="332">
        <v>88.5</v>
      </c>
      <c r="O199" s="333">
        <v>5837</v>
      </c>
      <c r="P199" s="330">
        <v>86.38</v>
      </c>
      <c r="Q199" s="330">
        <v>79.22</v>
      </c>
      <c r="R199" s="330">
        <v>74.599999999999994</v>
      </c>
      <c r="S199" s="330">
        <v>159.13999999999999</v>
      </c>
      <c r="T199" s="330">
        <v>2872</v>
      </c>
      <c r="U199" s="330">
        <v>99.08</v>
      </c>
      <c r="V199" s="330">
        <v>476</v>
      </c>
      <c r="W199" s="330">
        <v>180.6</v>
      </c>
      <c r="X199" s="330">
        <v>177</v>
      </c>
      <c r="Y199" s="330">
        <v>110</v>
      </c>
      <c r="Z199" s="330">
        <v>6</v>
      </c>
      <c r="AA199" s="330">
        <v>47</v>
      </c>
      <c r="AB199" s="330">
        <v>8</v>
      </c>
      <c r="AC199" s="330">
        <v>21</v>
      </c>
      <c r="AD199" s="334">
        <v>6677</v>
      </c>
      <c r="AE199" s="334">
        <v>20</v>
      </c>
      <c r="AF199" s="334">
        <v>32</v>
      </c>
      <c r="AG199" s="334">
        <v>52</v>
      </c>
    </row>
    <row r="200" spans="1:33" x14ac:dyDescent="0.25">
      <c r="A200" s="329" t="s">
        <v>454</v>
      </c>
      <c r="B200" s="335" t="s">
        <v>455</v>
      </c>
      <c r="C200" s="331">
        <v>2129</v>
      </c>
      <c r="D200" s="331">
        <v>0</v>
      </c>
      <c r="E200" s="331">
        <v>234</v>
      </c>
      <c r="F200" s="331">
        <v>360</v>
      </c>
      <c r="G200" s="331">
        <v>339</v>
      </c>
      <c r="H200" s="331">
        <v>3062</v>
      </c>
      <c r="I200" s="330">
        <v>2723</v>
      </c>
      <c r="J200" s="330">
        <v>9</v>
      </c>
      <c r="K200" s="332">
        <v>95.26</v>
      </c>
      <c r="L200" s="332">
        <v>93.26</v>
      </c>
      <c r="M200" s="332">
        <v>7.26</v>
      </c>
      <c r="N200" s="332">
        <v>101.29</v>
      </c>
      <c r="O200" s="333">
        <v>1678</v>
      </c>
      <c r="P200" s="330">
        <v>113.98</v>
      </c>
      <c r="Q200" s="330">
        <v>82.23</v>
      </c>
      <c r="R200" s="330">
        <v>55.48</v>
      </c>
      <c r="S200" s="330">
        <v>168.03</v>
      </c>
      <c r="T200" s="330">
        <v>463</v>
      </c>
      <c r="U200" s="330">
        <v>112.53</v>
      </c>
      <c r="V200" s="330">
        <v>430</v>
      </c>
      <c r="W200" s="330">
        <v>171.76</v>
      </c>
      <c r="X200" s="330">
        <v>60</v>
      </c>
      <c r="Y200" s="330">
        <v>0</v>
      </c>
      <c r="Z200" s="330">
        <v>0</v>
      </c>
      <c r="AA200" s="330">
        <v>1</v>
      </c>
      <c r="AB200" s="330">
        <v>33</v>
      </c>
      <c r="AC200" s="330">
        <v>15</v>
      </c>
      <c r="AD200" s="334">
        <v>2129</v>
      </c>
      <c r="AE200" s="334">
        <v>15</v>
      </c>
      <c r="AF200" s="334">
        <v>14</v>
      </c>
      <c r="AG200" s="334">
        <v>29</v>
      </c>
    </row>
    <row r="201" spans="1:33" x14ac:dyDescent="0.25">
      <c r="A201" s="329" t="s">
        <v>456</v>
      </c>
      <c r="B201" s="335" t="s">
        <v>457</v>
      </c>
      <c r="C201" s="331">
        <v>490</v>
      </c>
      <c r="D201" s="331">
        <v>0</v>
      </c>
      <c r="E201" s="331">
        <v>62</v>
      </c>
      <c r="F201" s="331">
        <v>94</v>
      </c>
      <c r="G201" s="331">
        <v>112</v>
      </c>
      <c r="H201" s="331">
        <v>758</v>
      </c>
      <c r="I201" s="330">
        <v>646</v>
      </c>
      <c r="J201" s="330">
        <v>0</v>
      </c>
      <c r="K201" s="332">
        <v>91.27</v>
      </c>
      <c r="L201" s="332">
        <v>90.61</v>
      </c>
      <c r="M201" s="332">
        <v>5.27</v>
      </c>
      <c r="N201" s="332">
        <v>94.14</v>
      </c>
      <c r="O201" s="333">
        <v>282</v>
      </c>
      <c r="P201" s="330">
        <v>115.8</v>
      </c>
      <c r="Q201" s="330">
        <v>76.150000000000006</v>
      </c>
      <c r="R201" s="330">
        <v>41.84</v>
      </c>
      <c r="S201" s="330">
        <v>157.65</v>
      </c>
      <c r="T201" s="330">
        <v>145</v>
      </c>
      <c r="U201" s="330">
        <v>103.58</v>
      </c>
      <c r="V201" s="330">
        <v>115</v>
      </c>
      <c r="W201" s="330">
        <v>0</v>
      </c>
      <c r="X201" s="330">
        <v>0</v>
      </c>
      <c r="Y201" s="330">
        <v>0</v>
      </c>
      <c r="Z201" s="330">
        <v>0</v>
      </c>
      <c r="AA201" s="330">
        <v>0</v>
      </c>
      <c r="AB201" s="330">
        <v>1</v>
      </c>
      <c r="AC201" s="330">
        <v>5</v>
      </c>
      <c r="AD201" s="334">
        <v>455</v>
      </c>
      <c r="AE201" s="334">
        <v>2</v>
      </c>
      <c r="AF201" s="334">
        <v>0</v>
      </c>
      <c r="AG201" s="334">
        <v>2</v>
      </c>
    </row>
    <row r="202" spans="1:33" x14ac:dyDescent="0.25">
      <c r="A202" s="329" t="s">
        <v>458</v>
      </c>
      <c r="B202" s="335" t="s">
        <v>459</v>
      </c>
      <c r="C202" s="331">
        <v>17473</v>
      </c>
      <c r="D202" s="331">
        <v>1</v>
      </c>
      <c r="E202" s="331">
        <v>570</v>
      </c>
      <c r="F202" s="331">
        <v>679</v>
      </c>
      <c r="G202" s="331">
        <v>247</v>
      </c>
      <c r="H202" s="331">
        <v>18970</v>
      </c>
      <c r="I202" s="330">
        <v>18723</v>
      </c>
      <c r="J202" s="330">
        <v>20</v>
      </c>
      <c r="K202" s="332">
        <v>76.48</v>
      </c>
      <c r="L202" s="332">
        <v>76.290000000000006</v>
      </c>
      <c r="M202" s="332">
        <v>3.3</v>
      </c>
      <c r="N202" s="332">
        <v>78.209999999999994</v>
      </c>
      <c r="O202" s="333">
        <v>15585</v>
      </c>
      <c r="P202" s="330">
        <v>78.180000000000007</v>
      </c>
      <c r="Q202" s="330">
        <v>74.650000000000006</v>
      </c>
      <c r="R202" s="330">
        <v>35.909999999999997</v>
      </c>
      <c r="S202" s="330">
        <v>112.86</v>
      </c>
      <c r="T202" s="330">
        <v>1200</v>
      </c>
      <c r="U202" s="330">
        <v>97.07</v>
      </c>
      <c r="V202" s="330">
        <v>1383</v>
      </c>
      <c r="W202" s="330">
        <v>0</v>
      </c>
      <c r="X202" s="330">
        <v>0</v>
      </c>
      <c r="Y202" s="330">
        <v>18</v>
      </c>
      <c r="Z202" s="330">
        <v>74</v>
      </c>
      <c r="AA202" s="330">
        <v>4</v>
      </c>
      <c r="AB202" s="330">
        <v>14</v>
      </c>
      <c r="AC202" s="330">
        <v>8</v>
      </c>
      <c r="AD202" s="334">
        <v>16809</v>
      </c>
      <c r="AE202" s="334">
        <v>68</v>
      </c>
      <c r="AF202" s="334">
        <v>183</v>
      </c>
      <c r="AG202" s="334">
        <v>251</v>
      </c>
    </row>
    <row r="203" spans="1:33" x14ac:dyDescent="0.25">
      <c r="A203" s="329" t="s">
        <v>460</v>
      </c>
      <c r="B203" s="335" t="s">
        <v>461</v>
      </c>
      <c r="C203" s="331">
        <v>3006</v>
      </c>
      <c r="D203" s="331">
        <v>99</v>
      </c>
      <c r="E203" s="331">
        <v>461</v>
      </c>
      <c r="F203" s="331">
        <v>855</v>
      </c>
      <c r="G203" s="331">
        <v>659</v>
      </c>
      <c r="H203" s="331">
        <v>5080</v>
      </c>
      <c r="I203" s="330">
        <v>4421</v>
      </c>
      <c r="J203" s="330">
        <v>10</v>
      </c>
      <c r="K203" s="332">
        <v>110.61</v>
      </c>
      <c r="L203" s="332">
        <v>109.35</v>
      </c>
      <c r="M203" s="332">
        <v>7.87</v>
      </c>
      <c r="N203" s="332">
        <v>118</v>
      </c>
      <c r="O203" s="333">
        <v>3013</v>
      </c>
      <c r="P203" s="330">
        <v>106.86</v>
      </c>
      <c r="Q203" s="330">
        <v>102.68</v>
      </c>
      <c r="R203" s="330">
        <v>43.87</v>
      </c>
      <c r="S203" s="330">
        <v>148.08000000000001</v>
      </c>
      <c r="T203" s="330">
        <v>1258</v>
      </c>
      <c r="U203" s="330">
        <v>166.82</v>
      </c>
      <c r="V203" s="330">
        <v>76</v>
      </c>
      <c r="W203" s="330">
        <v>0</v>
      </c>
      <c r="X203" s="330">
        <v>0</v>
      </c>
      <c r="Y203" s="330">
        <v>0</v>
      </c>
      <c r="Z203" s="330">
        <v>0</v>
      </c>
      <c r="AA203" s="330">
        <v>0</v>
      </c>
      <c r="AB203" s="330">
        <v>2</v>
      </c>
      <c r="AC203" s="330">
        <v>13</v>
      </c>
      <c r="AD203" s="334">
        <v>3006</v>
      </c>
      <c r="AE203" s="334">
        <v>39</v>
      </c>
      <c r="AF203" s="334">
        <v>4</v>
      </c>
      <c r="AG203" s="334">
        <v>43</v>
      </c>
    </row>
    <row r="204" spans="1:33" x14ac:dyDescent="0.25">
      <c r="A204" s="329" t="s">
        <v>462</v>
      </c>
      <c r="B204" s="335" t="s">
        <v>463</v>
      </c>
      <c r="C204" s="331">
        <v>4207</v>
      </c>
      <c r="D204" s="331">
        <v>0</v>
      </c>
      <c r="E204" s="331">
        <v>240</v>
      </c>
      <c r="F204" s="331">
        <v>215</v>
      </c>
      <c r="G204" s="331">
        <v>6</v>
      </c>
      <c r="H204" s="331">
        <v>4668</v>
      </c>
      <c r="I204" s="330">
        <v>4662</v>
      </c>
      <c r="J204" s="330">
        <v>5</v>
      </c>
      <c r="K204" s="332">
        <v>73.08</v>
      </c>
      <c r="L204" s="332">
        <v>69.88</v>
      </c>
      <c r="M204" s="332">
        <v>1.8</v>
      </c>
      <c r="N204" s="332">
        <v>74.69</v>
      </c>
      <c r="O204" s="333">
        <v>3786</v>
      </c>
      <c r="P204" s="330">
        <v>95.68</v>
      </c>
      <c r="Q204" s="330">
        <v>69.64</v>
      </c>
      <c r="R204" s="330">
        <v>43.9</v>
      </c>
      <c r="S204" s="330">
        <v>138.54</v>
      </c>
      <c r="T204" s="330">
        <v>337</v>
      </c>
      <c r="U204" s="330">
        <v>92.31</v>
      </c>
      <c r="V204" s="330">
        <v>408</v>
      </c>
      <c r="W204" s="330">
        <v>89.69</v>
      </c>
      <c r="X204" s="330">
        <v>18</v>
      </c>
      <c r="Y204" s="330">
        <v>11</v>
      </c>
      <c r="Z204" s="330">
        <v>24</v>
      </c>
      <c r="AA204" s="330">
        <v>11</v>
      </c>
      <c r="AB204" s="330">
        <v>0</v>
      </c>
      <c r="AC204" s="330">
        <v>0</v>
      </c>
      <c r="AD204" s="334">
        <v>4203</v>
      </c>
      <c r="AE204" s="334">
        <v>28</v>
      </c>
      <c r="AF204" s="334">
        <v>14</v>
      </c>
      <c r="AG204" s="334">
        <v>42</v>
      </c>
    </row>
    <row r="205" spans="1:33" x14ac:dyDescent="0.25">
      <c r="A205" s="329" t="s">
        <v>464</v>
      </c>
      <c r="B205" s="335" t="s">
        <v>465</v>
      </c>
      <c r="C205" s="331">
        <v>12956</v>
      </c>
      <c r="D205" s="331">
        <v>13</v>
      </c>
      <c r="E205" s="331">
        <v>762</v>
      </c>
      <c r="F205" s="331">
        <v>2091</v>
      </c>
      <c r="G205" s="331">
        <v>942</v>
      </c>
      <c r="H205" s="331">
        <v>16764</v>
      </c>
      <c r="I205" s="330">
        <v>15822</v>
      </c>
      <c r="J205" s="330">
        <v>36</v>
      </c>
      <c r="K205" s="332">
        <v>85.83</v>
      </c>
      <c r="L205" s="332">
        <v>85.25</v>
      </c>
      <c r="M205" s="332">
        <v>5.97</v>
      </c>
      <c r="N205" s="332">
        <v>88.78</v>
      </c>
      <c r="O205" s="333">
        <v>11178</v>
      </c>
      <c r="P205" s="330">
        <v>93.34</v>
      </c>
      <c r="Q205" s="330">
        <v>85.77</v>
      </c>
      <c r="R205" s="330">
        <v>35.97</v>
      </c>
      <c r="S205" s="330">
        <v>127.71</v>
      </c>
      <c r="T205" s="330">
        <v>2561</v>
      </c>
      <c r="U205" s="330">
        <v>104.46</v>
      </c>
      <c r="V205" s="330">
        <v>1502</v>
      </c>
      <c r="W205" s="330">
        <v>201.78</v>
      </c>
      <c r="X205" s="330">
        <v>87</v>
      </c>
      <c r="Y205" s="330">
        <v>26</v>
      </c>
      <c r="Z205" s="330">
        <v>47</v>
      </c>
      <c r="AA205" s="330">
        <v>6</v>
      </c>
      <c r="AB205" s="330">
        <v>30</v>
      </c>
      <c r="AC205" s="330">
        <v>23</v>
      </c>
      <c r="AD205" s="334">
        <v>12956</v>
      </c>
      <c r="AE205" s="334">
        <v>45</v>
      </c>
      <c r="AF205" s="334">
        <v>43</v>
      </c>
      <c r="AG205" s="334">
        <v>88</v>
      </c>
    </row>
    <row r="206" spans="1:33" x14ac:dyDescent="0.25">
      <c r="A206" s="329" t="s">
        <v>466</v>
      </c>
      <c r="B206" s="335" t="s">
        <v>467</v>
      </c>
      <c r="C206" s="331">
        <v>19172</v>
      </c>
      <c r="D206" s="331">
        <v>0</v>
      </c>
      <c r="E206" s="331">
        <v>2424</v>
      </c>
      <c r="F206" s="331">
        <v>1061</v>
      </c>
      <c r="G206" s="331">
        <v>1172</v>
      </c>
      <c r="H206" s="331">
        <v>23829</v>
      </c>
      <c r="I206" s="330">
        <v>22657</v>
      </c>
      <c r="J206" s="330">
        <v>70</v>
      </c>
      <c r="K206" s="332">
        <v>75.06</v>
      </c>
      <c r="L206" s="332">
        <v>74.25</v>
      </c>
      <c r="M206" s="332">
        <v>6.58</v>
      </c>
      <c r="N206" s="332">
        <v>79.19</v>
      </c>
      <c r="O206" s="333">
        <v>14983</v>
      </c>
      <c r="P206" s="330">
        <v>71.42</v>
      </c>
      <c r="Q206" s="330">
        <v>69.62</v>
      </c>
      <c r="R206" s="330">
        <v>28.62</v>
      </c>
      <c r="S206" s="330">
        <v>98.67</v>
      </c>
      <c r="T206" s="330">
        <v>3029</v>
      </c>
      <c r="U206" s="330">
        <v>106.44</v>
      </c>
      <c r="V206" s="330">
        <v>3662</v>
      </c>
      <c r="W206" s="330">
        <v>100.13</v>
      </c>
      <c r="X206" s="330">
        <v>368</v>
      </c>
      <c r="Y206" s="330">
        <v>8</v>
      </c>
      <c r="Z206" s="330">
        <v>73</v>
      </c>
      <c r="AA206" s="330">
        <v>20</v>
      </c>
      <c r="AB206" s="330">
        <v>106</v>
      </c>
      <c r="AC206" s="330">
        <v>30</v>
      </c>
      <c r="AD206" s="334">
        <v>18707</v>
      </c>
      <c r="AE206" s="334">
        <v>94</v>
      </c>
      <c r="AF206" s="334">
        <v>234</v>
      </c>
      <c r="AG206" s="334">
        <v>328</v>
      </c>
    </row>
    <row r="207" spans="1:33" x14ac:dyDescent="0.25">
      <c r="A207" s="329" t="s">
        <v>468</v>
      </c>
      <c r="B207" s="335" t="s">
        <v>469</v>
      </c>
      <c r="C207" s="331">
        <v>4950</v>
      </c>
      <c r="D207" s="331">
        <v>31</v>
      </c>
      <c r="E207" s="331">
        <v>452</v>
      </c>
      <c r="F207" s="331">
        <v>892</v>
      </c>
      <c r="G207" s="331">
        <v>665</v>
      </c>
      <c r="H207" s="331">
        <v>6990</v>
      </c>
      <c r="I207" s="330">
        <v>6325</v>
      </c>
      <c r="J207" s="330">
        <v>3</v>
      </c>
      <c r="K207" s="332">
        <v>97.43</v>
      </c>
      <c r="L207" s="332">
        <v>94.27</v>
      </c>
      <c r="M207" s="332">
        <v>9.4499999999999993</v>
      </c>
      <c r="N207" s="332">
        <v>104.94</v>
      </c>
      <c r="O207" s="333">
        <v>3901</v>
      </c>
      <c r="P207" s="330">
        <v>110.01</v>
      </c>
      <c r="Q207" s="330">
        <v>85.93</v>
      </c>
      <c r="R207" s="330">
        <v>42.58</v>
      </c>
      <c r="S207" s="330">
        <v>146.29</v>
      </c>
      <c r="T207" s="330">
        <v>527</v>
      </c>
      <c r="U207" s="330">
        <v>127.76</v>
      </c>
      <c r="V207" s="330">
        <v>767</v>
      </c>
      <c r="W207" s="330">
        <v>174.83</v>
      </c>
      <c r="X207" s="330">
        <v>273</v>
      </c>
      <c r="Y207" s="330">
        <v>0</v>
      </c>
      <c r="Z207" s="330">
        <v>7</v>
      </c>
      <c r="AA207" s="330">
        <v>6</v>
      </c>
      <c r="AB207" s="330">
        <v>3</v>
      </c>
      <c r="AC207" s="330">
        <v>20</v>
      </c>
      <c r="AD207" s="334">
        <v>4868</v>
      </c>
      <c r="AE207" s="334">
        <v>16</v>
      </c>
      <c r="AF207" s="334">
        <v>8</v>
      </c>
      <c r="AG207" s="334">
        <v>24</v>
      </c>
    </row>
    <row r="208" spans="1:33" x14ac:dyDescent="0.25">
      <c r="A208" s="329" t="s">
        <v>470</v>
      </c>
      <c r="B208" s="335" t="s">
        <v>471</v>
      </c>
      <c r="C208" s="331">
        <v>10152</v>
      </c>
      <c r="D208" s="331">
        <v>0</v>
      </c>
      <c r="E208" s="331">
        <v>489</v>
      </c>
      <c r="F208" s="331">
        <v>965</v>
      </c>
      <c r="G208" s="331">
        <v>393</v>
      </c>
      <c r="H208" s="331">
        <v>11999</v>
      </c>
      <c r="I208" s="330">
        <v>11606</v>
      </c>
      <c r="J208" s="330">
        <v>25</v>
      </c>
      <c r="K208" s="332">
        <v>78.17</v>
      </c>
      <c r="L208" s="332">
        <v>77.33</v>
      </c>
      <c r="M208" s="332">
        <v>6.52</v>
      </c>
      <c r="N208" s="332">
        <v>81.48</v>
      </c>
      <c r="O208" s="333">
        <v>9221</v>
      </c>
      <c r="P208" s="330">
        <v>81.209999999999994</v>
      </c>
      <c r="Q208" s="330">
        <v>70.39</v>
      </c>
      <c r="R208" s="330">
        <v>50.55</v>
      </c>
      <c r="S208" s="330">
        <v>130.34</v>
      </c>
      <c r="T208" s="330">
        <v>1393</v>
      </c>
      <c r="U208" s="330">
        <v>100.18</v>
      </c>
      <c r="V208" s="330">
        <v>899</v>
      </c>
      <c r="W208" s="330">
        <v>0</v>
      </c>
      <c r="X208" s="330">
        <v>0</v>
      </c>
      <c r="Y208" s="330">
        <v>350</v>
      </c>
      <c r="Z208" s="330">
        <v>33</v>
      </c>
      <c r="AA208" s="330">
        <v>6</v>
      </c>
      <c r="AB208" s="330">
        <v>1</v>
      </c>
      <c r="AC208" s="330">
        <v>15</v>
      </c>
      <c r="AD208" s="334">
        <v>10094</v>
      </c>
      <c r="AE208" s="334">
        <v>60</v>
      </c>
      <c r="AF208" s="334">
        <v>84</v>
      </c>
      <c r="AG208" s="334">
        <v>144</v>
      </c>
    </row>
    <row r="209" spans="1:33" x14ac:dyDescent="0.25">
      <c r="A209" s="329" t="s">
        <v>472</v>
      </c>
      <c r="B209" s="335" t="s">
        <v>473</v>
      </c>
      <c r="C209" s="331">
        <v>3833</v>
      </c>
      <c r="D209" s="331">
        <v>0</v>
      </c>
      <c r="E209" s="331">
        <v>344</v>
      </c>
      <c r="F209" s="331">
        <v>362</v>
      </c>
      <c r="G209" s="331">
        <v>929</v>
      </c>
      <c r="H209" s="331">
        <v>5468</v>
      </c>
      <c r="I209" s="330">
        <v>4539</v>
      </c>
      <c r="J209" s="330">
        <v>6</v>
      </c>
      <c r="K209" s="332">
        <v>116.81</v>
      </c>
      <c r="L209" s="332">
        <v>114.87</v>
      </c>
      <c r="M209" s="332">
        <v>9.16</v>
      </c>
      <c r="N209" s="332">
        <v>125.44</v>
      </c>
      <c r="O209" s="333">
        <v>2964</v>
      </c>
      <c r="P209" s="330">
        <v>117.37</v>
      </c>
      <c r="Q209" s="330">
        <v>100.93</v>
      </c>
      <c r="R209" s="330">
        <v>75.650000000000006</v>
      </c>
      <c r="S209" s="330">
        <v>188.17</v>
      </c>
      <c r="T209" s="330">
        <v>577</v>
      </c>
      <c r="U209" s="330">
        <v>166.85</v>
      </c>
      <c r="V209" s="330">
        <v>447</v>
      </c>
      <c r="W209" s="330">
        <v>146.76</v>
      </c>
      <c r="X209" s="330">
        <v>33</v>
      </c>
      <c r="Y209" s="330">
        <v>8</v>
      </c>
      <c r="Z209" s="330">
        <v>9</v>
      </c>
      <c r="AA209" s="330">
        <v>1</v>
      </c>
      <c r="AB209" s="330">
        <v>16</v>
      </c>
      <c r="AC209" s="330">
        <v>18</v>
      </c>
      <c r="AD209" s="334">
        <v>3641</v>
      </c>
      <c r="AE209" s="334">
        <v>60</v>
      </c>
      <c r="AF209" s="334">
        <v>4</v>
      </c>
      <c r="AG209" s="334">
        <v>64</v>
      </c>
    </row>
    <row r="210" spans="1:33" x14ac:dyDescent="0.25">
      <c r="A210" s="329" t="s">
        <v>474</v>
      </c>
      <c r="B210" s="335" t="s">
        <v>475</v>
      </c>
      <c r="C210" s="331">
        <v>3405</v>
      </c>
      <c r="D210" s="331">
        <v>0</v>
      </c>
      <c r="E210" s="331">
        <v>346</v>
      </c>
      <c r="F210" s="331">
        <v>1096</v>
      </c>
      <c r="G210" s="331">
        <v>665</v>
      </c>
      <c r="H210" s="331">
        <v>5512</v>
      </c>
      <c r="I210" s="330">
        <v>4847</v>
      </c>
      <c r="J210" s="330">
        <v>102</v>
      </c>
      <c r="K210" s="332">
        <v>124.38</v>
      </c>
      <c r="L210" s="332">
        <v>122.68</v>
      </c>
      <c r="M210" s="332">
        <v>10.199999999999999</v>
      </c>
      <c r="N210" s="332">
        <v>130.36000000000001</v>
      </c>
      <c r="O210" s="333">
        <v>2845</v>
      </c>
      <c r="P210" s="330">
        <v>103.91</v>
      </c>
      <c r="Q210" s="330">
        <v>98.53</v>
      </c>
      <c r="R210" s="330">
        <v>50.43</v>
      </c>
      <c r="S210" s="330">
        <v>149</v>
      </c>
      <c r="T210" s="330">
        <v>1256</v>
      </c>
      <c r="U210" s="330">
        <v>173.3</v>
      </c>
      <c r="V210" s="330">
        <v>275</v>
      </c>
      <c r="W210" s="330">
        <v>134.57</v>
      </c>
      <c r="X210" s="330">
        <v>53</v>
      </c>
      <c r="Y210" s="330">
        <v>0</v>
      </c>
      <c r="Z210" s="330">
        <v>1</v>
      </c>
      <c r="AA210" s="330">
        <v>1</v>
      </c>
      <c r="AB210" s="330">
        <v>106</v>
      </c>
      <c r="AC210" s="330">
        <v>14</v>
      </c>
      <c r="AD210" s="334">
        <v>3278</v>
      </c>
      <c r="AE210" s="334">
        <v>25</v>
      </c>
      <c r="AF210" s="334">
        <v>8</v>
      </c>
      <c r="AG210" s="334">
        <v>33</v>
      </c>
    </row>
    <row r="211" spans="1:33" x14ac:dyDescent="0.25">
      <c r="A211" s="329" t="s">
        <v>476</v>
      </c>
      <c r="B211" s="335" t="s">
        <v>477</v>
      </c>
      <c r="C211" s="331">
        <v>11388</v>
      </c>
      <c r="D211" s="331">
        <v>0</v>
      </c>
      <c r="E211" s="331">
        <v>267</v>
      </c>
      <c r="F211" s="331">
        <v>564</v>
      </c>
      <c r="G211" s="331">
        <v>276</v>
      </c>
      <c r="H211" s="331">
        <v>12495</v>
      </c>
      <c r="I211" s="330">
        <v>12219</v>
      </c>
      <c r="J211" s="330">
        <v>0</v>
      </c>
      <c r="K211" s="332">
        <v>86.63</v>
      </c>
      <c r="L211" s="332">
        <v>86.68</v>
      </c>
      <c r="M211" s="332">
        <v>5.31</v>
      </c>
      <c r="N211" s="332">
        <v>89.33</v>
      </c>
      <c r="O211" s="333">
        <v>10890</v>
      </c>
      <c r="P211" s="330">
        <v>83.91</v>
      </c>
      <c r="Q211" s="330">
        <v>77.55</v>
      </c>
      <c r="R211" s="330">
        <v>48.37</v>
      </c>
      <c r="S211" s="330">
        <v>131.52000000000001</v>
      </c>
      <c r="T211" s="330">
        <v>633</v>
      </c>
      <c r="U211" s="330">
        <v>105.13</v>
      </c>
      <c r="V211" s="330">
        <v>305</v>
      </c>
      <c r="W211" s="330">
        <v>138.58000000000001</v>
      </c>
      <c r="X211" s="330">
        <v>152</v>
      </c>
      <c r="Y211" s="330">
        <v>186</v>
      </c>
      <c r="Z211" s="330">
        <v>22</v>
      </c>
      <c r="AA211" s="330">
        <v>5</v>
      </c>
      <c r="AB211" s="330">
        <v>3</v>
      </c>
      <c r="AC211" s="330">
        <v>10</v>
      </c>
      <c r="AD211" s="334">
        <v>11385</v>
      </c>
      <c r="AE211" s="334">
        <v>80</v>
      </c>
      <c r="AF211" s="334">
        <v>83</v>
      </c>
      <c r="AG211" s="334">
        <v>163</v>
      </c>
    </row>
    <row r="212" spans="1:33" x14ac:dyDescent="0.25">
      <c r="A212" s="329" t="s">
        <v>478</v>
      </c>
      <c r="B212" s="335" t="s">
        <v>479</v>
      </c>
      <c r="C212" s="331">
        <v>1826</v>
      </c>
      <c r="D212" s="331">
        <v>0</v>
      </c>
      <c r="E212" s="331">
        <v>145</v>
      </c>
      <c r="F212" s="331">
        <v>181</v>
      </c>
      <c r="G212" s="331">
        <v>194</v>
      </c>
      <c r="H212" s="331">
        <v>2346</v>
      </c>
      <c r="I212" s="330">
        <v>2152</v>
      </c>
      <c r="J212" s="330">
        <v>0</v>
      </c>
      <c r="K212" s="332">
        <v>88.8</v>
      </c>
      <c r="L212" s="332">
        <v>85.92</v>
      </c>
      <c r="M212" s="332">
        <v>4.88</v>
      </c>
      <c r="N212" s="332">
        <v>93.01</v>
      </c>
      <c r="O212" s="333">
        <v>1394</v>
      </c>
      <c r="P212" s="330">
        <v>97.62</v>
      </c>
      <c r="Q212" s="330">
        <v>96.71</v>
      </c>
      <c r="R212" s="330">
        <v>56.61</v>
      </c>
      <c r="S212" s="330">
        <v>152.99</v>
      </c>
      <c r="T212" s="330">
        <v>229</v>
      </c>
      <c r="U212" s="330">
        <v>114.67</v>
      </c>
      <c r="V212" s="330">
        <v>198</v>
      </c>
      <c r="W212" s="330">
        <v>212.38</v>
      </c>
      <c r="X212" s="330">
        <v>43</v>
      </c>
      <c r="Y212" s="330">
        <v>157</v>
      </c>
      <c r="Z212" s="330">
        <v>0</v>
      </c>
      <c r="AA212" s="330">
        <v>4</v>
      </c>
      <c r="AB212" s="330">
        <v>29</v>
      </c>
      <c r="AC212" s="330">
        <v>3</v>
      </c>
      <c r="AD212" s="334">
        <v>1661</v>
      </c>
      <c r="AE212" s="334">
        <v>11</v>
      </c>
      <c r="AF212" s="334">
        <v>2</v>
      </c>
      <c r="AG212" s="334">
        <v>13</v>
      </c>
    </row>
    <row r="213" spans="1:33" x14ac:dyDescent="0.25">
      <c r="A213" s="329" t="s">
        <v>480</v>
      </c>
      <c r="B213" s="335" t="s">
        <v>481</v>
      </c>
      <c r="C213" s="331">
        <v>6129</v>
      </c>
      <c r="D213" s="331">
        <v>0</v>
      </c>
      <c r="E213" s="331">
        <v>386</v>
      </c>
      <c r="F213" s="331">
        <v>591</v>
      </c>
      <c r="G213" s="331">
        <v>811</v>
      </c>
      <c r="H213" s="331">
        <v>7917</v>
      </c>
      <c r="I213" s="330">
        <v>7106</v>
      </c>
      <c r="J213" s="330">
        <v>5</v>
      </c>
      <c r="K213" s="332">
        <v>117.66</v>
      </c>
      <c r="L213" s="332">
        <v>117.02</v>
      </c>
      <c r="M213" s="332">
        <v>5.0199999999999996</v>
      </c>
      <c r="N213" s="332">
        <v>122.38</v>
      </c>
      <c r="O213" s="333">
        <v>5191</v>
      </c>
      <c r="P213" s="330">
        <v>113.35</v>
      </c>
      <c r="Q213" s="330">
        <v>99.28</v>
      </c>
      <c r="R213" s="330">
        <v>29.51</v>
      </c>
      <c r="S213" s="330">
        <v>141.09</v>
      </c>
      <c r="T213" s="330">
        <v>650</v>
      </c>
      <c r="U213" s="330">
        <v>146.79</v>
      </c>
      <c r="V213" s="330">
        <v>893</v>
      </c>
      <c r="W213" s="330">
        <v>199.49</v>
      </c>
      <c r="X213" s="330">
        <v>63</v>
      </c>
      <c r="Y213" s="330">
        <v>0</v>
      </c>
      <c r="Z213" s="330">
        <v>18</v>
      </c>
      <c r="AA213" s="330">
        <v>3</v>
      </c>
      <c r="AB213" s="330">
        <v>32</v>
      </c>
      <c r="AC213" s="330">
        <v>3</v>
      </c>
      <c r="AD213" s="334">
        <v>6119</v>
      </c>
      <c r="AE213" s="334">
        <v>21</v>
      </c>
      <c r="AF213" s="334">
        <v>26</v>
      </c>
      <c r="AG213" s="334">
        <v>47</v>
      </c>
    </row>
    <row r="214" spans="1:33" x14ac:dyDescent="0.25">
      <c r="A214" s="329" t="s">
        <v>482</v>
      </c>
      <c r="B214" s="335" t="s">
        <v>483</v>
      </c>
      <c r="C214" s="331">
        <v>1269</v>
      </c>
      <c r="D214" s="331">
        <v>0</v>
      </c>
      <c r="E214" s="331">
        <v>88</v>
      </c>
      <c r="F214" s="331">
        <v>753</v>
      </c>
      <c r="G214" s="331">
        <v>310</v>
      </c>
      <c r="H214" s="331">
        <v>2420</v>
      </c>
      <c r="I214" s="330">
        <v>2110</v>
      </c>
      <c r="J214" s="330">
        <v>42</v>
      </c>
      <c r="K214" s="332">
        <v>84.57</v>
      </c>
      <c r="L214" s="332">
        <v>83.73</v>
      </c>
      <c r="M214" s="332">
        <v>3.09</v>
      </c>
      <c r="N214" s="332">
        <v>86.69</v>
      </c>
      <c r="O214" s="333">
        <v>956</v>
      </c>
      <c r="P214" s="330">
        <v>73.48</v>
      </c>
      <c r="Q214" s="330">
        <v>70.040000000000006</v>
      </c>
      <c r="R214" s="330">
        <v>19.34</v>
      </c>
      <c r="S214" s="330">
        <v>92.47</v>
      </c>
      <c r="T214" s="330">
        <v>781</v>
      </c>
      <c r="U214" s="330">
        <v>102.62</v>
      </c>
      <c r="V214" s="330">
        <v>307</v>
      </c>
      <c r="W214" s="330">
        <v>120.53</v>
      </c>
      <c r="X214" s="330">
        <v>12</v>
      </c>
      <c r="Y214" s="330">
        <v>0</v>
      </c>
      <c r="Z214" s="330">
        <v>1</v>
      </c>
      <c r="AA214" s="330">
        <v>0</v>
      </c>
      <c r="AB214" s="330">
        <v>22</v>
      </c>
      <c r="AC214" s="330">
        <v>6</v>
      </c>
      <c r="AD214" s="334">
        <v>1268</v>
      </c>
      <c r="AE214" s="334">
        <v>13</v>
      </c>
      <c r="AF214" s="334">
        <v>4</v>
      </c>
      <c r="AG214" s="334">
        <v>17</v>
      </c>
    </row>
    <row r="215" spans="1:33" x14ac:dyDescent="0.25">
      <c r="A215" s="329" t="s">
        <v>484</v>
      </c>
      <c r="B215" s="335" t="s">
        <v>485</v>
      </c>
      <c r="C215" s="331">
        <v>8786</v>
      </c>
      <c r="D215" s="331">
        <v>9</v>
      </c>
      <c r="E215" s="331">
        <v>284</v>
      </c>
      <c r="F215" s="331">
        <v>853</v>
      </c>
      <c r="G215" s="331">
        <v>484</v>
      </c>
      <c r="H215" s="331">
        <v>10416</v>
      </c>
      <c r="I215" s="330">
        <v>9932</v>
      </c>
      <c r="J215" s="330">
        <v>2</v>
      </c>
      <c r="K215" s="332">
        <v>120.13</v>
      </c>
      <c r="L215" s="332">
        <v>133.77000000000001</v>
      </c>
      <c r="M215" s="332">
        <v>10.3</v>
      </c>
      <c r="N215" s="332">
        <v>127.32</v>
      </c>
      <c r="O215" s="333">
        <v>7895</v>
      </c>
      <c r="P215" s="330">
        <v>119.63</v>
      </c>
      <c r="Q215" s="330">
        <v>118.71</v>
      </c>
      <c r="R215" s="330">
        <v>48.09</v>
      </c>
      <c r="S215" s="330">
        <v>164.34</v>
      </c>
      <c r="T215" s="330">
        <v>1053</v>
      </c>
      <c r="U215" s="330">
        <v>196.65</v>
      </c>
      <c r="V215" s="330">
        <v>798</v>
      </c>
      <c r="W215" s="330">
        <v>0</v>
      </c>
      <c r="X215" s="330">
        <v>0</v>
      </c>
      <c r="Y215" s="330">
        <v>0</v>
      </c>
      <c r="Z215" s="330">
        <v>10</v>
      </c>
      <c r="AA215" s="330">
        <v>1</v>
      </c>
      <c r="AB215" s="330">
        <v>23</v>
      </c>
      <c r="AC215" s="330">
        <v>9</v>
      </c>
      <c r="AD215" s="334">
        <v>8735</v>
      </c>
      <c r="AE215" s="334">
        <v>36</v>
      </c>
      <c r="AF215" s="334">
        <v>39</v>
      </c>
      <c r="AG215" s="334">
        <v>75</v>
      </c>
    </row>
    <row r="216" spans="1:33" x14ac:dyDescent="0.25">
      <c r="A216" s="329" t="s">
        <v>486</v>
      </c>
      <c r="B216" s="335" t="s">
        <v>487</v>
      </c>
      <c r="C216" s="331">
        <v>734</v>
      </c>
      <c r="D216" s="331">
        <v>0</v>
      </c>
      <c r="E216" s="331">
        <v>119</v>
      </c>
      <c r="F216" s="331">
        <v>96</v>
      </c>
      <c r="G216" s="331">
        <v>57</v>
      </c>
      <c r="H216" s="331">
        <v>1006</v>
      </c>
      <c r="I216" s="330">
        <v>949</v>
      </c>
      <c r="J216" s="330">
        <v>1</v>
      </c>
      <c r="K216" s="332">
        <v>90.84</v>
      </c>
      <c r="L216" s="332">
        <v>88.99</v>
      </c>
      <c r="M216" s="332">
        <v>3.65</v>
      </c>
      <c r="N216" s="332">
        <v>93.57</v>
      </c>
      <c r="O216" s="333">
        <v>534</v>
      </c>
      <c r="P216" s="330">
        <v>112.05</v>
      </c>
      <c r="Q216" s="330">
        <v>108.36</v>
      </c>
      <c r="R216" s="330">
        <v>94.27</v>
      </c>
      <c r="S216" s="330">
        <v>206.32</v>
      </c>
      <c r="T216" s="330">
        <v>144</v>
      </c>
      <c r="U216" s="330">
        <v>107.18</v>
      </c>
      <c r="V216" s="330">
        <v>167</v>
      </c>
      <c r="W216" s="330">
        <v>169.36</v>
      </c>
      <c r="X216" s="330">
        <v>62</v>
      </c>
      <c r="Y216" s="330">
        <v>0</v>
      </c>
      <c r="Z216" s="330">
        <v>0</v>
      </c>
      <c r="AA216" s="330">
        <v>0</v>
      </c>
      <c r="AB216" s="330">
        <v>0</v>
      </c>
      <c r="AC216" s="330">
        <v>0</v>
      </c>
      <c r="AD216" s="334">
        <v>734</v>
      </c>
      <c r="AE216" s="334">
        <v>1</v>
      </c>
      <c r="AF216" s="334">
        <v>5</v>
      </c>
      <c r="AG216" s="334">
        <v>6</v>
      </c>
    </row>
    <row r="217" spans="1:33" x14ac:dyDescent="0.25">
      <c r="A217" s="329" t="s">
        <v>488</v>
      </c>
      <c r="B217" s="335" t="s">
        <v>489</v>
      </c>
      <c r="C217" s="331">
        <v>18289</v>
      </c>
      <c r="D217" s="331">
        <v>0</v>
      </c>
      <c r="E217" s="331">
        <v>588</v>
      </c>
      <c r="F217" s="331">
        <v>2045</v>
      </c>
      <c r="G217" s="331">
        <v>184</v>
      </c>
      <c r="H217" s="331">
        <v>21106</v>
      </c>
      <c r="I217" s="330">
        <v>20922</v>
      </c>
      <c r="J217" s="330">
        <v>47</v>
      </c>
      <c r="K217" s="332">
        <v>74.86</v>
      </c>
      <c r="L217" s="332">
        <v>74.67</v>
      </c>
      <c r="M217" s="332">
        <v>4.24</v>
      </c>
      <c r="N217" s="332">
        <v>78.62</v>
      </c>
      <c r="O217" s="333">
        <v>16290</v>
      </c>
      <c r="P217" s="330">
        <v>75.97</v>
      </c>
      <c r="Q217" s="330">
        <v>70.12</v>
      </c>
      <c r="R217" s="330">
        <v>38.15</v>
      </c>
      <c r="S217" s="330">
        <v>113.27</v>
      </c>
      <c r="T217" s="330">
        <v>2479</v>
      </c>
      <c r="U217" s="330">
        <v>91.31</v>
      </c>
      <c r="V217" s="330">
        <v>1801</v>
      </c>
      <c r="W217" s="330">
        <v>0</v>
      </c>
      <c r="X217" s="330">
        <v>0</v>
      </c>
      <c r="Y217" s="330">
        <v>0</v>
      </c>
      <c r="Z217" s="330">
        <v>152</v>
      </c>
      <c r="AA217" s="330">
        <v>5</v>
      </c>
      <c r="AB217" s="330">
        <v>7</v>
      </c>
      <c r="AC217" s="330">
        <v>2</v>
      </c>
      <c r="AD217" s="334">
        <v>18127</v>
      </c>
      <c r="AE217" s="334">
        <v>141</v>
      </c>
      <c r="AF217" s="334">
        <v>122</v>
      </c>
      <c r="AG217" s="334">
        <v>263</v>
      </c>
    </row>
    <row r="218" spans="1:33" x14ac:dyDescent="0.25">
      <c r="A218" s="329" t="s">
        <v>490</v>
      </c>
      <c r="B218" s="335" t="s">
        <v>491</v>
      </c>
      <c r="C218" s="331">
        <v>2173</v>
      </c>
      <c r="D218" s="331">
        <v>0</v>
      </c>
      <c r="E218" s="331">
        <v>59</v>
      </c>
      <c r="F218" s="331">
        <v>696</v>
      </c>
      <c r="G218" s="331">
        <v>124</v>
      </c>
      <c r="H218" s="331">
        <v>3052</v>
      </c>
      <c r="I218" s="330">
        <v>2928</v>
      </c>
      <c r="J218" s="330">
        <v>28</v>
      </c>
      <c r="K218" s="332">
        <v>99.17</v>
      </c>
      <c r="L218" s="332">
        <v>99.41</v>
      </c>
      <c r="M218" s="332">
        <v>6.65</v>
      </c>
      <c r="N218" s="332">
        <v>103.74</v>
      </c>
      <c r="O218" s="333">
        <v>1763</v>
      </c>
      <c r="P218" s="330">
        <v>86.86</v>
      </c>
      <c r="Q218" s="330">
        <v>86.68</v>
      </c>
      <c r="R218" s="330">
        <v>38.869999999999997</v>
      </c>
      <c r="S218" s="330">
        <v>125.16</v>
      </c>
      <c r="T218" s="330">
        <v>751</v>
      </c>
      <c r="U218" s="330">
        <v>140.56</v>
      </c>
      <c r="V218" s="330">
        <v>411</v>
      </c>
      <c r="W218" s="330">
        <v>0</v>
      </c>
      <c r="X218" s="330">
        <v>0</v>
      </c>
      <c r="Y218" s="330">
        <v>0</v>
      </c>
      <c r="Z218" s="330">
        <v>1</v>
      </c>
      <c r="AA218" s="330">
        <v>0</v>
      </c>
      <c r="AB218" s="330">
        <v>17</v>
      </c>
      <c r="AC218" s="330">
        <v>2</v>
      </c>
      <c r="AD218" s="334">
        <v>2173</v>
      </c>
      <c r="AE218" s="334">
        <v>4</v>
      </c>
      <c r="AF218" s="334">
        <v>8</v>
      </c>
      <c r="AG218" s="334">
        <v>12</v>
      </c>
    </row>
    <row r="219" spans="1:33" x14ac:dyDescent="0.25">
      <c r="A219" s="329" t="s">
        <v>492</v>
      </c>
      <c r="B219" s="335" t="s">
        <v>493</v>
      </c>
      <c r="C219" s="331">
        <v>4224</v>
      </c>
      <c r="D219" s="331">
        <v>0</v>
      </c>
      <c r="E219" s="331">
        <v>96</v>
      </c>
      <c r="F219" s="331">
        <v>350</v>
      </c>
      <c r="G219" s="331">
        <v>48</v>
      </c>
      <c r="H219" s="331">
        <v>4718</v>
      </c>
      <c r="I219" s="330">
        <v>4670</v>
      </c>
      <c r="J219" s="330">
        <v>2</v>
      </c>
      <c r="K219" s="332">
        <v>73.38</v>
      </c>
      <c r="L219" s="332">
        <v>71.03</v>
      </c>
      <c r="M219" s="332">
        <v>4.3099999999999996</v>
      </c>
      <c r="N219" s="332">
        <v>73.87</v>
      </c>
      <c r="O219" s="333">
        <v>3724</v>
      </c>
      <c r="P219" s="330">
        <v>89.13</v>
      </c>
      <c r="Q219" s="330">
        <v>80.3</v>
      </c>
      <c r="R219" s="330">
        <v>47.43</v>
      </c>
      <c r="S219" s="330">
        <v>134.1</v>
      </c>
      <c r="T219" s="330">
        <v>405</v>
      </c>
      <c r="U219" s="330">
        <v>90.43</v>
      </c>
      <c r="V219" s="330">
        <v>489</v>
      </c>
      <c r="W219" s="330">
        <v>0</v>
      </c>
      <c r="X219" s="330">
        <v>0</v>
      </c>
      <c r="Y219" s="330">
        <v>0</v>
      </c>
      <c r="Z219" s="330">
        <v>16</v>
      </c>
      <c r="AA219" s="330">
        <v>1</v>
      </c>
      <c r="AB219" s="330">
        <v>0</v>
      </c>
      <c r="AC219" s="330">
        <v>0</v>
      </c>
      <c r="AD219" s="334">
        <v>4218</v>
      </c>
      <c r="AE219" s="334">
        <v>23</v>
      </c>
      <c r="AF219" s="334">
        <v>7</v>
      </c>
      <c r="AG219" s="334">
        <v>30</v>
      </c>
    </row>
    <row r="220" spans="1:33" x14ac:dyDescent="0.25">
      <c r="A220" s="329" t="s">
        <v>494</v>
      </c>
      <c r="B220" s="335" t="s">
        <v>495</v>
      </c>
      <c r="C220" s="331">
        <v>3701</v>
      </c>
      <c r="D220" s="331">
        <v>0</v>
      </c>
      <c r="E220" s="331">
        <v>62</v>
      </c>
      <c r="F220" s="331">
        <v>638</v>
      </c>
      <c r="G220" s="331">
        <v>240</v>
      </c>
      <c r="H220" s="331">
        <v>4641</v>
      </c>
      <c r="I220" s="330">
        <v>4401</v>
      </c>
      <c r="J220" s="330">
        <v>4</v>
      </c>
      <c r="K220" s="332">
        <v>95.44</v>
      </c>
      <c r="L220" s="332">
        <v>95.48</v>
      </c>
      <c r="M220" s="332">
        <v>3.71</v>
      </c>
      <c r="N220" s="332">
        <v>98.5</v>
      </c>
      <c r="O220" s="333">
        <v>3219</v>
      </c>
      <c r="P220" s="330">
        <v>88.47</v>
      </c>
      <c r="Q220" s="330">
        <v>86.83</v>
      </c>
      <c r="R220" s="330">
        <v>34.58</v>
      </c>
      <c r="S220" s="330">
        <v>123.05</v>
      </c>
      <c r="T220" s="330">
        <v>560</v>
      </c>
      <c r="U220" s="330">
        <v>117.47</v>
      </c>
      <c r="V220" s="330">
        <v>477</v>
      </c>
      <c r="W220" s="330">
        <v>108.68</v>
      </c>
      <c r="X220" s="330">
        <v>9</v>
      </c>
      <c r="Y220" s="330">
        <v>13</v>
      </c>
      <c r="Z220" s="330">
        <v>3</v>
      </c>
      <c r="AA220" s="330">
        <v>0</v>
      </c>
      <c r="AB220" s="330">
        <v>30</v>
      </c>
      <c r="AC220" s="330">
        <v>3</v>
      </c>
      <c r="AD220" s="334">
        <v>3701</v>
      </c>
      <c r="AE220" s="334">
        <v>14</v>
      </c>
      <c r="AF220" s="334">
        <v>26</v>
      </c>
      <c r="AG220" s="334">
        <v>40</v>
      </c>
    </row>
    <row r="221" spans="1:33" x14ac:dyDescent="0.25">
      <c r="A221" s="329" t="s">
        <v>496</v>
      </c>
      <c r="B221" s="335" t="s">
        <v>497</v>
      </c>
      <c r="C221" s="331">
        <v>3422</v>
      </c>
      <c r="D221" s="331">
        <v>0</v>
      </c>
      <c r="E221" s="331">
        <v>405</v>
      </c>
      <c r="F221" s="331">
        <v>860</v>
      </c>
      <c r="G221" s="331">
        <v>279</v>
      </c>
      <c r="H221" s="331">
        <v>4966</v>
      </c>
      <c r="I221" s="330">
        <v>4687</v>
      </c>
      <c r="J221" s="330">
        <v>0</v>
      </c>
      <c r="K221" s="332">
        <v>81</v>
      </c>
      <c r="L221" s="332">
        <v>79.48</v>
      </c>
      <c r="M221" s="332">
        <v>8.09</v>
      </c>
      <c r="N221" s="332">
        <v>85.02</v>
      </c>
      <c r="O221" s="333">
        <v>2839</v>
      </c>
      <c r="P221" s="330">
        <v>87.87</v>
      </c>
      <c r="Q221" s="330">
        <v>75.87</v>
      </c>
      <c r="R221" s="330">
        <v>39.18</v>
      </c>
      <c r="S221" s="330">
        <v>125.26</v>
      </c>
      <c r="T221" s="330">
        <v>1245</v>
      </c>
      <c r="U221" s="330">
        <v>97.01</v>
      </c>
      <c r="V221" s="330">
        <v>472</v>
      </c>
      <c r="W221" s="330">
        <v>90.62</v>
      </c>
      <c r="X221" s="330">
        <v>10</v>
      </c>
      <c r="Y221" s="330">
        <v>0</v>
      </c>
      <c r="Z221" s="330">
        <v>1</v>
      </c>
      <c r="AA221" s="330">
        <v>58</v>
      </c>
      <c r="AB221" s="330">
        <v>1</v>
      </c>
      <c r="AC221" s="330">
        <v>5</v>
      </c>
      <c r="AD221" s="334">
        <v>3383</v>
      </c>
      <c r="AE221" s="334">
        <v>47</v>
      </c>
      <c r="AF221" s="334">
        <v>30</v>
      </c>
      <c r="AG221" s="334">
        <v>77</v>
      </c>
    </row>
    <row r="222" spans="1:33" x14ac:dyDescent="0.25">
      <c r="A222" s="329" t="s">
        <v>498</v>
      </c>
      <c r="B222" s="335" t="s">
        <v>499</v>
      </c>
      <c r="C222" s="331">
        <v>2342</v>
      </c>
      <c r="D222" s="331">
        <v>0</v>
      </c>
      <c r="E222" s="331">
        <v>53</v>
      </c>
      <c r="F222" s="331">
        <v>239</v>
      </c>
      <c r="G222" s="331">
        <v>538</v>
      </c>
      <c r="H222" s="331">
        <v>3172</v>
      </c>
      <c r="I222" s="330">
        <v>2634</v>
      </c>
      <c r="J222" s="330">
        <v>14</v>
      </c>
      <c r="K222" s="332">
        <v>98.34</v>
      </c>
      <c r="L222" s="332">
        <v>98.67</v>
      </c>
      <c r="M222" s="332">
        <v>6.08</v>
      </c>
      <c r="N222" s="332">
        <v>102.76</v>
      </c>
      <c r="O222" s="333">
        <v>2118</v>
      </c>
      <c r="P222" s="330">
        <v>84.72</v>
      </c>
      <c r="Q222" s="330">
        <v>88.1</v>
      </c>
      <c r="R222" s="330">
        <v>43.14</v>
      </c>
      <c r="S222" s="330">
        <v>127.86</v>
      </c>
      <c r="T222" s="330">
        <v>175</v>
      </c>
      <c r="U222" s="330">
        <v>113.62</v>
      </c>
      <c r="V222" s="330">
        <v>182</v>
      </c>
      <c r="W222" s="330">
        <v>188.47</v>
      </c>
      <c r="X222" s="330">
        <v>72</v>
      </c>
      <c r="Y222" s="330">
        <v>0</v>
      </c>
      <c r="Z222" s="330">
        <v>1</v>
      </c>
      <c r="AA222" s="330">
        <v>2</v>
      </c>
      <c r="AB222" s="330">
        <v>42</v>
      </c>
      <c r="AC222" s="330">
        <v>13</v>
      </c>
      <c r="AD222" s="334">
        <v>2292</v>
      </c>
      <c r="AE222" s="334">
        <v>23</v>
      </c>
      <c r="AF222" s="334">
        <v>31</v>
      </c>
      <c r="AG222" s="334">
        <v>54</v>
      </c>
    </row>
    <row r="223" spans="1:33" x14ac:dyDescent="0.25">
      <c r="A223" s="329" t="s">
        <v>500</v>
      </c>
      <c r="B223" s="335" t="s">
        <v>501</v>
      </c>
      <c r="C223" s="331">
        <v>1377</v>
      </c>
      <c r="D223" s="331">
        <v>369</v>
      </c>
      <c r="E223" s="331">
        <v>93</v>
      </c>
      <c r="F223" s="331">
        <v>239</v>
      </c>
      <c r="G223" s="331">
        <v>423</v>
      </c>
      <c r="H223" s="331">
        <v>2501</v>
      </c>
      <c r="I223" s="330">
        <v>2078</v>
      </c>
      <c r="J223" s="330">
        <v>7</v>
      </c>
      <c r="K223" s="332">
        <v>119.72</v>
      </c>
      <c r="L223" s="332">
        <v>115.44</v>
      </c>
      <c r="M223" s="332">
        <v>9.2799999999999994</v>
      </c>
      <c r="N223" s="332">
        <v>127.65</v>
      </c>
      <c r="O223" s="333">
        <v>928</v>
      </c>
      <c r="P223" s="330">
        <v>118.19</v>
      </c>
      <c r="Q223" s="330">
        <v>104.94</v>
      </c>
      <c r="R223" s="330">
        <v>24.74</v>
      </c>
      <c r="S223" s="330">
        <v>142.84</v>
      </c>
      <c r="T223" s="330">
        <v>271</v>
      </c>
      <c r="U223" s="330">
        <v>198.34</v>
      </c>
      <c r="V223" s="330">
        <v>243</v>
      </c>
      <c r="W223" s="330">
        <v>128</v>
      </c>
      <c r="X223" s="330">
        <v>33</v>
      </c>
      <c r="Y223" s="330">
        <v>0</v>
      </c>
      <c r="Z223" s="330">
        <v>0</v>
      </c>
      <c r="AA223" s="330">
        <v>171</v>
      </c>
      <c r="AB223" s="330">
        <v>31</v>
      </c>
      <c r="AC223" s="330">
        <v>6</v>
      </c>
      <c r="AD223" s="334">
        <v>1320</v>
      </c>
      <c r="AE223" s="334">
        <v>23</v>
      </c>
      <c r="AF223" s="334">
        <v>1</v>
      </c>
      <c r="AG223" s="334">
        <v>24</v>
      </c>
    </row>
    <row r="224" spans="1:33" x14ac:dyDescent="0.25">
      <c r="A224" s="329" t="s">
        <v>502</v>
      </c>
      <c r="B224" s="335" t="s">
        <v>503</v>
      </c>
      <c r="C224" s="331">
        <v>2863</v>
      </c>
      <c r="D224" s="331">
        <v>0</v>
      </c>
      <c r="E224" s="331">
        <v>98</v>
      </c>
      <c r="F224" s="331">
        <v>1383</v>
      </c>
      <c r="G224" s="331">
        <v>375</v>
      </c>
      <c r="H224" s="331">
        <v>4719</v>
      </c>
      <c r="I224" s="330">
        <v>4344</v>
      </c>
      <c r="J224" s="330">
        <v>17</v>
      </c>
      <c r="K224" s="332">
        <v>95.12</v>
      </c>
      <c r="L224" s="332">
        <v>94.97</v>
      </c>
      <c r="M224" s="332">
        <v>4.32</v>
      </c>
      <c r="N224" s="332">
        <v>96.77</v>
      </c>
      <c r="O224" s="333">
        <v>2601</v>
      </c>
      <c r="P224" s="330">
        <v>94.26</v>
      </c>
      <c r="Q224" s="330">
        <v>90.93</v>
      </c>
      <c r="R224" s="330">
        <v>19.47</v>
      </c>
      <c r="S224" s="330">
        <v>113.55</v>
      </c>
      <c r="T224" s="330">
        <v>1476</v>
      </c>
      <c r="U224" s="330">
        <v>107.61</v>
      </c>
      <c r="V224" s="330">
        <v>223</v>
      </c>
      <c r="W224" s="330">
        <v>153.84</v>
      </c>
      <c r="X224" s="330">
        <v>5</v>
      </c>
      <c r="Y224" s="330">
        <v>0</v>
      </c>
      <c r="Z224" s="330">
        <v>1</v>
      </c>
      <c r="AA224" s="330">
        <v>1</v>
      </c>
      <c r="AB224" s="330">
        <v>14</v>
      </c>
      <c r="AC224" s="330">
        <v>11</v>
      </c>
      <c r="AD224" s="334">
        <v>2800</v>
      </c>
      <c r="AE224" s="334">
        <v>2</v>
      </c>
      <c r="AF224" s="334">
        <v>3</v>
      </c>
      <c r="AG224" s="334">
        <v>5</v>
      </c>
    </row>
    <row r="225" spans="1:33" x14ac:dyDescent="0.25">
      <c r="A225" s="329" t="s">
        <v>504</v>
      </c>
      <c r="B225" s="335" t="s">
        <v>505</v>
      </c>
      <c r="C225" s="331">
        <v>5607</v>
      </c>
      <c r="D225" s="331">
        <v>12</v>
      </c>
      <c r="E225" s="331">
        <v>219</v>
      </c>
      <c r="F225" s="331">
        <v>646</v>
      </c>
      <c r="G225" s="331">
        <v>603</v>
      </c>
      <c r="H225" s="331">
        <v>7087</v>
      </c>
      <c r="I225" s="330">
        <v>6484</v>
      </c>
      <c r="J225" s="330">
        <v>0</v>
      </c>
      <c r="K225" s="332">
        <v>110.35</v>
      </c>
      <c r="L225" s="332">
        <v>106.53</v>
      </c>
      <c r="M225" s="332">
        <v>8.51</v>
      </c>
      <c r="N225" s="332">
        <v>115.16</v>
      </c>
      <c r="O225" s="333">
        <v>4513</v>
      </c>
      <c r="P225" s="330">
        <v>96.14</v>
      </c>
      <c r="Q225" s="330">
        <v>90.47</v>
      </c>
      <c r="R225" s="330">
        <v>40.590000000000003</v>
      </c>
      <c r="S225" s="330">
        <v>136.43</v>
      </c>
      <c r="T225" s="330">
        <v>821</v>
      </c>
      <c r="U225" s="330">
        <v>152.4</v>
      </c>
      <c r="V225" s="330">
        <v>947</v>
      </c>
      <c r="W225" s="330">
        <v>147.59</v>
      </c>
      <c r="X225" s="330">
        <v>35</v>
      </c>
      <c r="Y225" s="330">
        <v>52</v>
      </c>
      <c r="Z225" s="330">
        <v>2</v>
      </c>
      <c r="AA225" s="330">
        <v>7</v>
      </c>
      <c r="AB225" s="330">
        <v>29</v>
      </c>
      <c r="AC225" s="330">
        <v>11</v>
      </c>
      <c r="AD225" s="334">
        <v>5457</v>
      </c>
      <c r="AE225" s="334">
        <v>22</v>
      </c>
      <c r="AF225" s="334">
        <v>105</v>
      </c>
      <c r="AG225" s="334">
        <v>127</v>
      </c>
    </row>
    <row r="226" spans="1:33" x14ac:dyDescent="0.25">
      <c r="A226" s="329" t="s">
        <v>506</v>
      </c>
      <c r="B226" s="335" t="s">
        <v>507</v>
      </c>
      <c r="C226" s="331">
        <v>1504</v>
      </c>
      <c r="D226" s="331">
        <v>0</v>
      </c>
      <c r="E226" s="331">
        <v>32</v>
      </c>
      <c r="F226" s="331">
        <v>287</v>
      </c>
      <c r="G226" s="331">
        <v>188</v>
      </c>
      <c r="H226" s="331">
        <v>2011</v>
      </c>
      <c r="I226" s="330">
        <v>1823</v>
      </c>
      <c r="J226" s="330">
        <v>4</v>
      </c>
      <c r="K226" s="332">
        <v>89.04</v>
      </c>
      <c r="L226" s="332">
        <v>88.47</v>
      </c>
      <c r="M226" s="332">
        <v>5.8</v>
      </c>
      <c r="N226" s="332">
        <v>91.3</v>
      </c>
      <c r="O226" s="333">
        <v>1267</v>
      </c>
      <c r="P226" s="330">
        <v>85.59</v>
      </c>
      <c r="Q226" s="330">
        <v>81.11</v>
      </c>
      <c r="R226" s="330">
        <v>30.59</v>
      </c>
      <c r="S226" s="330">
        <v>109.13</v>
      </c>
      <c r="T226" s="330">
        <v>217</v>
      </c>
      <c r="U226" s="330">
        <v>111.12</v>
      </c>
      <c r="V226" s="330">
        <v>205</v>
      </c>
      <c r="W226" s="330">
        <v>0</v>
      </c>
      <c r="X226" s="330">
        <v>0</v>
      </c>
      <c r="Y226" s="330">
        <v>29</v>
      </c>
      <c r="Z226" s="330">
        <v>7</v>
      </c>
      <c r="AA226" s="330">
        <v>0</v>
      </c>
      <c r="AB226" s="330">
        <v>25</v>
      </c>
      <c r="AC226" s="330">
        <v>6</v>
      </c>
      <c r="AD226" s="334">
        <v>1490</v>
      </c>
      <c r="AE226" s="334">
        <v>8</v>
      </c>
      <c r="AF226" s="334">
        <v>2</v>
      </c>
      <c r="AG226" s="334">
        <v>10</v>
      </c>
    </row>
    <row r="227" spans="1:33" x14ac:dyDescent="0.25">
      <c r="A227" s="329" t="s">
        <v>508</v>
      </c>
      <c r="B227" s="335" t="s">
        <v>509</v>
      </c>
      <c r="C227" s="331">
        <v>3020</v>
      </c>
      <c r="D227" s="331">
        <v>3</v>
      </c>
      <c r="E227" s="331">
        <v>44</v>
      </c>
      <c r="F227" s="331">
        <v>114</v>
      </c>
      <c r="G227" s="331">
        <v>45</v>
      </c>
      <c r="H227" s="331">
        <v>3226</v>
      </c>
      <c r="I227" s="330">
        <v>3181</v>
      </c>
      <c r="J227" s="330">
        <v>8</v>
      </c>
      <c r="K227" s="332">
        <v>89.43</v>
      </c>
      <c r="L227" s="332">
        <v>85.65</v>
      </c>
      <c r="M227" s="332">
        <v>4.03</v>
      </c>
      <c r="N227" s="332">
        <v>90.74</v>
      </c>
      <c r="O227" s="333">
        <v>1979</v>
      </c>
      <c r="P227" s="330">
        <v>75.38</v>
      </c>
      <c r="Q227" s="330">
        <v>71.94</v>
      </c>
      <c r="R227" s="330">
        <v>50.86</v>
      </c>
      <c r="S227" s="330">
        <v>124.8</v>
      </c>
      <c r="T227" s="330">
        <v>142</v>
      </c>
      <c r="U227" s="330">
        <v>96.71</v>
      </c>
      <c r="V227" s="330">
        <v>936</v>
      </c>
      <c r="W227" s="330">
        <v>0</v>
      </c>
      <c r="X227" s="330">
        <v>0</v>
      </c>
      <c r="Y227" s="330">
        <v>0</v>
      </c>
      <c r="Z227" s="330">
        <v>3</v>
      </c>
      <c r="AA227" s="330">
        <v>37</v>
      </c>
      <c r="AB227" s="330">
        <v>7</v>
      </c>
      <c r="AC227" s="330">
        <v>2</v>
      </c>
      <c r="AD227" s="334">
        <v>2995</v>
      </c>
      <c r="AE227" s="334">
        <v>18</v>
      </c>
      <c r="AF227" s="334">
        <v>5</v>
      </c>
      <c r="AG227" s="334">
        <v>23</v>
      </c>
    </row>
    <row r="228" spans="1:33" x14ac:dyDescent="0.25">
      <c r="A228" s="329" t="s">
        <v>510</v>
      </c>
      <c r="B228" s="335" t="s">
        <v>511</v>
      </c>
      <c r="C228" s="331">
        <v>26950</v>
      </c>
      <c r="D228" s="331">
        <v>0</v>
      </c>
      <c r="E228" s="331">
        <v>1567</v>
      </c>
      <c r="F228" s="331">
        <v>1293</v>
      </c>
      <c r="G228" s="331">
        <v>340</v>
      </c>
      <c r="H228" s="331">
        <v>30150</v>
      </c>
      <c r="I228" s="330">
        <v>29810</v>
      </c>
      <c r="J228" s="330">
        <v>403</v>
      </c>
      <c r="K228" s="332">
        <v>77.260000000000005</v>
      </c>
      <c r="L228" s="332">
        <v>77.38</v>
      </c>
      <c r="M228" s="332">
        <v>7.8</v>
      </c>
      <c r="N228" s="332">
        <v>80.84</v>
      </c>
      <c r="O228" s="333">
        <v>24649</v>
      </c>
      <c r="P228" s="330">
        <v>79.510000000000005</v>
      </c>
      <c r="Q228" s="330">
        <v>72.87</v>
      </c>
      <c r="R228" s="330">
        <v>34.18</v>
      </c>
      <c r="S228" s="330">
        <v>112.35</v>
      </c>
      <c r="T228" s="330">
        <v>2565</v>
      </c>
      <c r="U228" s="330">
        <v>108.62</v>
      </c>
      <c r="V228" s="330">
        <v>2100</v>
      </c>
      <c r="W228" s="330">
        <v>158.43</v>
      </c>
      <c r="X228" s="330">
        <v>65</v>
      </c>
      <c r="Y228" s="330">
        <v>0</v>
      </c>
      <c r="Z228" s="330">
        <v>171</v>
      </c>
      <c r="AA228" s="330">
        <v>3</v>
      </c>
      <c r="AB228" s="330">
        <v>48</v>
      </c>
      <c r="AC228" s="330">
        <v>19</v>
      </c>
      <c r="AD228" s="334">
        <v>26848</v>
      </c>
      <c r="AE228" s="334">
        <v>84</v>
      </c>
      <c r="AF228" s="334">
        <v>289</v>
      </c>
      <c r="AG228" s="334">
        <v>373</v>
      </c>
    </row>
    <row r="229" spans="1:33" x14ac:dyDescent="0.25">
      <c r="A229" s="329" t="s">
        <v>512</v>
      </c>
      <c r="B229" s="335" t="s">
        <v>513</v>
      </c>
      <c r="C229" s="331">
        <v>5723</v>
      </c>
      <c r="D229" s="331">
        <v>41</v>
      </c>
      <c r="E229" s="331">
        <v>438</v>
      </c>
      <c r="F229" s="331">
        <v>1077</v>
      </c>
      <c r="G229" s="331">
        <v>586</v>
      </c>
      <c r="H229" s="331">
        <v>7865</v>
      </c>
      <c r="I229" s="330">
        <v>7279</v>
      </c>
      <c r="J229" s="330">
        <v>0</v>
      </c>
      <c r="K229" s="332">
        <v>89.1</v>
      </c>
      <c r="L229" s="332">
        <v>86.82</v>
      </c>
      <c r="M229" s="332">
        <v>7.1</v>
      </c>
      <c r="N229" s="332">
        <v>94.63</v>
      </c>
      <c r="O229" s="333">
        <v>4519</v>
      </c>
      <c r="P229" s="330">
        <v>92.72</v>
      </c>
      <c r="Q229" s="330">
        <v>81.680000000000007</v>
      </c>
      <c r="R229" s="330">
        <v>46.98</v>
      </c>
      <c r="S229" s="330">
        <v>137.34</v>
      </c>
      <c r="T229" s="330">
        <v>1137</v>
      </c>
      <c r="U229" s="330">
        <v>109.66</v>
      </c>
      <c r="V229" s="330">
        <v>698</v>
      </c>
      <c r="W229" s="330">
        <v>186.46</v>
      </c>
      <c r="X229" s="330">
        <v>288</v>
      </c>
      <c r="Y229" s="330">
        <v>81</v>
      </c>
      <c r="Z229" s="330">
        <v>4</v>
      </c>
      <c r="AA229" s="330">
        <v>19</v>
      </c>
      <c r="AB229" s="330">
        <v>5</v>
      </c>
      <c r="AC229" s="330">
        <v>9</v>
      </c>
      <c r="AD229" s="334">
        <v>5490</v>
      </c>
      <c r="AE229" s="334">
        <v>22</v>
      </c>
      <c r="AF229" s="334">
        <v>25</v>
      </c>
      <c r="AG229" s="334">
        <v>47</v>
      </c>
    </row>
    <row r="230" spans="1:33" x14ac:dyDescent="0.25">
      <c r="A230" s="329" t="s">
        <v>514</v>
      </c>
      <c r="B230" s="335" t="s">
        <v>515</v>
      </c>
      <c r="C230" s="331">
        <v>6106</v>
      </c>
      <c r="D230" s="331">
        <v>0</v>
      </c>
      <c r="E230" s="331">
        <v>130</v>
      </c>
      <c r="F230" s="331">
        <v>612</v>
      </c>
      <c r="G230" s="331">
        <v>290</v>
      </c>
      <c r="H230" s="331">
        <v>7138</v>
      </c>
      <c r="I230" s="330">
        <v>6848</v>
      </c>
      <c r="J230" s="330">
        <v>10</v>
      </c>
      <c r="K230" s="332">
        <v>83.45</v>
      </c>
      <c r="L230" s="332">
        <v>82.91</v>
      </c>
      <c r="M230" s="332">
        <v>3.94</v>
      </c>
      <c r="N230" s="332">
        <v>84.34</v>
      </c>
      <c r="O230" s="333">
        <v>5440</v>
      </c>
      <c r="P230" s="330">
        <v>85.71</v>
      </c>
      <c r="Q230" s="330">
        <v>82.57</v>
      </c>
      <c r="R230" s="330">
        <v>32.9</v>
      </c>
      <c r="S230" s="330">
        <v>117.76</v>
      </c>
      <c r="T230" s="330">
        <v>583</v>
      </c>
      <c r="U230" s="330">
        <v>102.68</v>
      </c>
      <c r="V230" s="330">
        <v>635</v>
      </c>
      <c r="W230" s="330">
        <v>199.49</v>
      </c>
      <c r="X230" s="330">
        <v>64</v>
      </c>
      <c r="Y230" s="330">
        <v>0</v>
      </c>
      <c r="Z230" s="330">
        <v>15</v>
      </c>
      <c r="AA230" s="330">
        <v>0</v>
      </c>
      <c r="AB230" s="330">
        <v>7</v>
      </c>
      <c r="AC230" s="330">
        <v>1</v>
      </c>
      <c r="AD230" s="334">
        <v>6063</v>
      </c>
      <c r="AE230" s="334">
        <v>13</v>
      </c>
      <c r="AF230" s="334">
        <v>27</v>
      </c>
      <c r="AG230" s="334">
        <v>40</v>
      </c>
    </row>
    <row r="231" spans="1:33" x14ac:dyDescent="0.25">
      <c r="A231" s="329" t="s">
        <v>516</v>
      </c>
      <c r="B231" s="335" t="s">
        <v>517</v>
      </c>
      <c r="C231" s="331">
        <v>2864</v>
      </c>
      <c r="D231" s="331">
        <v>0</v>
      </c>
      <c r="E231" s="331">
        <v>286</v>
      </c>
      <c r="F231" s="331">
        <v>98</v>
      </c>
      <c r="G231" s="331">
        <v>274</v>
      </c>
      <c r="H231" s="331">
        <v>3522</v>
      </c>
      <c r="I231" s="330">
        <v>3248</v>
      </c>
      <c r="J231" s="330">
        <v>0</v>
      </c>
      <c r="K231" s="332">
        <v>91.29</v>
      </c>
      <c r="L231" s="332">
        <v>89.19</v>
      </c>
      <c r="M231" s="332">
        <v>4.54</v>
      </c>
      <c r="N231" s="332">
        <v>95.17</v>
      </c>
      <c r="O231" s="333">
        <v>1531</v>
      </c>
      <c r="P231" s="330">
        <v>81.069999999999993</v>
      </c>
      <c r="Q231" s="330">
        <v>75.569999999999993</v>
      </c>
      <c r="R231" s="330">
        <v>44.99</v>
      </c>
      <c r="S231" s="330">
        <v>122.95</v>
      </c>
      <c r="T231" s="330">
        <v>217</v>
      </c>
      <c r="U231" s="330">
        <v>113.32</v>
      </c>
      <c r="V231" s="330">
        <v>578</v>
      </c>
      <c r="W231" s="330">
        <v>0</v>
      </c>
      <c r="X231" s="330">
        <v>0</v>
      </c>
      <c r="Y231" s="330">
        <v>0</v>
      </c>
      <c r="Z231" s="330">
        <v>1</v>
      </c>
      <c r="AA231" s="330">
        <v>0</v>
      </c>
      <c r="AB231" s="330">
        <v>19</v>
      </c>
      <c r="AC231" s="330">
        <v>4</v>
      </c>
      <c r="AD231" s="334">
        <v>2044</v>
      </c>
      <c r="AE231" s="334">
        <v>15</v>
      </c>
      <c r="AF231" s="334">
        <v>6</v>
      </c>
      <c r="AG231" s="334">
        <v>21</v>
      </c>
    </row>
    <row r="232" spans="1:33" x14ac:dyDescent="0.25">
      <c r="A232" s="329" t="s">
        <v>518</v>
      </c>
      <c r="B232" s="335" t="s">
        <v>519</v>
      </c>
      <c r="C232" s="331">
        <v>15407</v>
      </c>
      <c r="D232" s="331">
        <v>8</v>
      </c>
      <c r="E232" s="331">
        <v>1637</v>
      </c>
      <c r="F232" s="331">
        <v>1649</v>
      </c>
      <c r="G232" s="331">
        <v>552</v>
      </c>
      <c r="H232" s="331">
        <v>19253</v>
      </c>
      <c r="I232" s="330">
        <v>18701</v>
      </c>
      <c r="J232" s="330">
        <v>17</v>
      </c>
      <c r="K232" s="332">
        <v>86.34</v>
      </c>
      <c r="L232" s="332">
        <v>83.38</v>
      </c>
      <c r="M232" s="332">
        <v>8.34</v>
      </c>
      <c r="N232" s="332">
        <v>89.38</v>
      </c>
      <c r="O232" s="333">
        <v>13802</v>
      </c>
      <c r="P232" s="330">
        <v>80.45</v>
      </c>
      <c r="Q232" s="330">
        <v>75.540000000000006</v>
      </c>
      <c r="R232" s="330">
        <v>32.64</v>
      </c>
      <c r="S232" s="330">
        <v>111.83</v>
      </c>
      <c r="T232" s="330">
        <v>2774</v>
      </c>
      <c r="U232" s="330">
        <v>98.41</v>
      </c>
      <c r="V232" s="330">
        <v>1002</v>
      </c>
      <c r="W232" s="330">
        <v>127.42</v>
      </c>
      <c r="X232" s="330">
        <v>11</v>
      </c>
      <c r="Y232" s="330">
        <v>0</v>
      </c>
      <c r="Z232" s="330">
        <v>50</v>
      </c>
      <c r="AA232" s="330">
        <v>20</v>
      </c>
      <c r="AB232" s="330">
        <v>24</v>
      </c>
      <c r="AC232" s="330">
        <v>9</v>
      </c>
      <c r="AD232" s="334">
        <v>14859</v>
      </c>
      <c r="AE232" s="334">
        <v>70</v>
      </c>
      <c r="AF232" s="334">
        <v>39</v>
      </c>
      <c r="AG232" s="334">
        <v>109</v>
      </c>
    </row>
    <row r="233" spans="1:33" x14ac:dyDescent="0.25">
      <c r="A233" s="329" t="s">
        <v>520</v>
      </c>
      <c r="B233" s="335" t="s">
        <v>521</v>
      </c>
      <c r="C233" s="331">
        <v>1599</v>
      </c>
      <c r="D233" s="331">
        <v>0</v>
      </c>
      <c r="E233" s="331">
        <v>45</v>
      </c>
      <c r="F233" s="331">
        <v>195</v>
      </c>
      <c r="G233" s="331">
        <v>279</v>
      </c>
      <c r="H233" s="331">
        <v>2118</v>
      </c>
      <c r="I233" s="330">
        <v>1839</v>
      </c>
      <c r="J233" s="330">
        <v>2</v>
      </c>
      <c r="K233" s="332">
        <v>91.95</v>
      </c>
      <c r="L233" s="332">
        <v>89.6</v>
      </c>
      <c r="M233" s="332">
        <v>5.59</v>
      </c>
      <c r="N233" s="332">
        <v>95.81</v>
      </c>
      <c r="O233" s="333">
        <v>1151</v>
      </c>
      <c r="P233" s="330">
        <v>103.74</v>
      </c>
      <c r="Q233" s="330">
        <v>96.26</v>
      </c>
      <c r="R233" s="330">
        <v>54.32</v>
      </c>
      <c r="S233" s="330">
        <v>157.59</v>
      </c>
      <c r="T233" s="330">
        <v>233</v>
      </c>
      <c r="U233" s="330">
        <v>105.11</v>
      </c>
      <c r="V233" s="330">
        <v>287</v>
      </c>
      <c r="W233" s="330">
        <v>0</v>
      </c>
      <c r="X233" s="330">
        <v>0</v>
      </c>
      <c r="Y233" s="330">
        <v>0</v>
      </c>
      <c r="Z233" s="330">
        <v>2</v>
      </c>
      <c r="AA233" s="330">
        <v>2</v>
      </c>
      <c r="AB233" s="330">
        <v>48</v>
      </c>
      <c r="AC233" s="330">
        <v>2</v>
      </c>
      <c r="AD233" s="334">
        <v>1575</v>
      </c>
      <c r="AE233" s="334">
        <v>17</v>
      </c>
      <c r="AF233" s="334">
        <v>11</v>
      </c>
      <c r="AG233" s="334">
        <v>28</v>
      </c>
    </row>
    <row r="234" spans="1:33" x14ac:dyDescent="0.25">
      <c r="A234" s="329" t="s">
        <v>522</v>
      </c>
      <c r="B234" s="335" t="s">
        <v>523</v>
      </c>
      <c r="C234" s="331">
        <v>5461</v>
      </c>
      <c r="D234" s="331">
        <v>0</v>
      </c>
      <c r="E234" s="331">
        <v>86</v>
      </c>
      <c r="F234" s="331">
        <v>1068</v>
      </c>
      <c r="G234" s="331">
        <v>762</v>
      </c>
      <c r="H234" s="331">
        <v>7377</v>
      </c>
      <c r="I234" s="330">
        <v>6615</v>
      </c>
      <c r="J234" s="330">
        <v>126</v>
      </c>
      <c r="K234" s="332">
        <v>106.3</v>
      </c>
      <c r="L234" s="332">
        <v>102.9</v>
      </c>
      <c r="M234" s="332">
        <v>4.16</v>
      </c>
      <c r="N234" s="332">
        <v>108.93</v>
      </c>
      <c r="O234" s="333">
        <v>5180</v>
      </c>
      <c r="P234" s="330">
        <v>91.55</v>
      </c>
      <c r="Q234" s="330">
        <v>87.11</v>
      </c>
      <c r="R234" s="330">
        <v>22.92</v>
      </c>
      <c r="S234" s="330">
        <v>114.3</v>
      </c>
      <c r="T234" s="330">
        <v>906</v>
      </c>
      <c r="U234" s="330">
        <v>154.41999999999999</v>
      </c>
      <c r="V234" s="330">
        <v>225</v>
      </c>
      <c r="W234" s="330">
        <v>138.06</v>
      </c>
      <c r="X234" s="330">
        <v>102</v>
      </c>
      <c r="Y234" s="330">
        <v>21</v>
      </c>
      <c r="Z234" s="330">
        <v>2</v>
      </c>
      <c r="AA234" s="330">
        <v>1</v>
      </c>
      <c r="AB234" s="330">
        <v>31</v>
      </c>
      <c r="AC234" s="330">
        <v>14</v>
      </c>
      <c r="AD234" s="334">
        <v>5429</v>
      </c>
      <c r="AE234" s="334">
        <v>35</v>
      </c>
      <c r="AF234" s="334">
        <v>7</v>
      </c>
      <c r="AG234" s="334">
        <v>42</v>
      </c>
    </row>
    <row r="235" spans="1:33" x14ac:dyDescent="0.25">
      <c r="A235" s="329" t="s">
        <v>524</v>
      </c>
      <c r="B235" s="335" t="s">
        <v>525</v>
      </c>
      <c r="C235" s="331">
        <v>15520</v>
      </c>
      <c r="D235" s="331">
        <v>6</v>
      </c>
      <c r="E235" s="331">
        <v>1331</v>
      </c>
      <c r="F235" s="331">
        <v>1040</v>
      </c>
      <c r="G235" s="331">
        <v>462</v>
      </c>
      <c r="H235" s="331">
        <v>18359</v>
      </c>
      <c r="I235" s="330">
        <v>17897</v>
      </c>
      <c r="J235" s="330">
        <v>15</v>
      </c>
      <c r="K235" s="332">
        <v>79.69</v>
      </c>
      <c r="L235" s="332">
        <v>77.63</v>
      </c>
      <c r="M235" s="332">
        <v>8.41</v>
      </c>
      <c r="N235" s="332">
        <v>82.49</v>
      </c>
      <c r="O235" s="333">
        <v>13216</v>
      </c>
      <c r="P235" s="330">
        <v>87.27</v>
      </c>
      <c r="Q235" s="330">
        <v>78.55</v>
      </c>
      <c r="R235" s="330">
        <v>53.87</v>
      </c>
      <c r="S235" s="330">
        <v>139.78</v>
      </c>
      <c r="T235" s="330">
        <v>2130</v>
      </c>
      <c r="U235" s="330">
        <v>95.83</v>
      </c>
      <c r="V235" s="330">
        <v>2026</v>
      </c>
      <c r="W235" s="330">
        <v>100.92</v>
      </c>
      <c r="X235" s="330">
        <v>10</v>
      </c>
      <c r="Y235" s="330">
        <v>0</v>
      </c>
      <c r="Z235" s="330">
        <v>50</v>
      </c>
      <c r="AA235" s="330">
        <v>6</v>
      </c>
      <c r="AB235" s="330">
        <v>12</v>
      </c>
      <c r="AC235" s="330">
        <v>14</v>
      </c>
      <c r="AD235" s="334">
        <v>15409</v>
      </c>
      <c r="AE235" s="334">
        <v>85</v>
      </c>
      <c r="AF235" s="334">
        <v>44</v>
      </c>
      <c r="AG235" s="334">
        <v>129</v>
      </c>
    </row>
    <row r="236" spans="1:33" x14ac:dyDescent="0.25">
      <c r="A236" s="329" t="s">
        <v>526</v>
      </c>
      <c r="B236" s="335" t="s">
        <v>527</v>
      </c>
      <c r="C236" s="331">
        <v>12639</v>
      </c>
      <c r="D236" s="331">
        <v>1</v>
      </c>
      <c r="E236" s="331">
        <v>387</v>
      </c>
      <c r="F236" s="331">
        <v>1642</v>
      </c>
      <c r="G236" s="331">
        <v>829</v>
      </c>
      <c r="H236" s="331">
        <v>15498</v>
      </c>
      <c r="I236" s="330">
        <v>14669</v>
      </c>
      <c r="J236" s="330">
        <v>58</v>
      </c>
      <c r="K236" s="332">
        <v>87.63</v>
      </c>
      <c r="L236" s="332">
        <v>87.2</v>
      </c>
      <c r="M236" s="332">
        <v>3.36</v>
      </c>
      <c r="N236" s="332">
        <v>89.42</v>
      </c>
      <c r="O236" s="333">
        <v>10316</v>
      </c>
      <c r="P236" s="330">
        <v>85.77</v>
      </c>
      <c r="Q236" s="330">
        <v>81.040000000000006</v>
      </c>
      <c r="R236" s="330">
        <v>21.87</v>
      </c>
      <c r="S236" s="330">
        <v>106.93</v>
      </c>
      <c r="T236" s="330">
        <v>1626</v>
      </c>
      <c r="U236" s="330">
        <v>105.56</v>
      </c>
      <c r="V236" s="330">
        <v>1660</v>
      </c>
      <c r="W236" s="330">
        <v>204.28</v>
      </c>
      <c r="X236" s="330">
        <v>328</v>
      </c>
      <c r="Y236" s="330">
        <v>14</v>
      </c>
      <c r="Z236" s="330">
        <v>28</v>
      </c>
      <c r="AA236" s="330">
        <v>21</v>
      </c>
      <c r="AB236" s="330">
        <v>32</v>
      </c>
      <c r="AC236" s="330">
        <v>12</v>
      </c>
      <c r="AD236" s="334">
        <v>12191</v>
      </c>
      <c r="AE236" s="334">
        <v>67</v>
      </c>
      <c r="AF236" s="334">
        <v>121</v>
      </c>
      <c r="AG236" s="334">
        <v>188</v>
      </c>
    </row>
    <row r="237" spans="1:33" x14ac:dyDescent="0.25">
      <c r="A237" s="329" t="s">
        <v>528</v>
      </c>
      <c r="B237" s="335" t="s">
        <v>529</v>
      </c>
      <c r="C237" s="331">
        <v>3578</v>
      </c>
      <c r="D237" s="331">
        <v>27</v>
      </c>
      <c r="E237" s="331">
        <v>332</v>
      </c>
      <c r="F237" s="331">
        <v>230</v>
      </c>
      <c r="G237" s="331">
        <v>486</v>
      </c>
      <c r="H237" s="331">
        <v>4653</v>
      </c>
      <c r="I237" s="330">
        <v>4167</v>
      </c>
      <c r="J237" s="330">
        <v>5</v>
      </c>
      <c r="K237" s="332">
        <v>119.53</v>
      </c>
      <c r="L237" s="332">
        <v>117.44</v>
      </c>
      <c r="M237" s="332">
        <v>6.81</v>
      </c>
      <c r="N237" s="332">
        <v>125.89</v>
      </c>
      <c r="O237" s="333">
        <v>3173</v>
      </c>
      <c r="P237" s="330">
        <v>111.49</v>
      </c>
      <c r="Q237" s="330">
        <v>94.42</v>
      </c>
      <c r="R237" s="330">
        <v>67.260000000000005</v>
      </c>
      <c r="S237" s="330">
        <v>164.84</v>
      </c>
      <c r="T237" s="330">
        <v>493</v>
      </c>
      <c r="U237" s="330">
        <v>146.15</v>
      </c>
      <c r="V237" s="330">
        <v>175</v>
      </c>
      <c r="W237" s="330">
        <v>0</v>
      </c>
      <c r="X237" s="330">
        <v>0</v>
      </c>
      <c r="Y237" s="330">
        <v>0</v>
      </c>
      <c r="Z237" s="330">
        <v>1</v>
      </c>
      <c r="AA237" s="330">
        <v>4</v>
      </c>
      <c r="AB237" s="330">
        <v>10</v>
      </c>
      <c r="AC237" s="330">
        <v>11</v>
      </c>
      <c r="AD237" s="334">
        <v>3405</v>
      </c>
      <c r="AE237" s="334">
        <v>7</v>
      </c>
      <c r="AF237" s="334">
        <v>10</v>
      </c>
      <c r="AG237" s="334">
        <v>17</v>
      </c>
    </row>
    <row r="238" spans="1:33" x14ac:dyDescent="0.25">
      <c r="A238" s="329" t="s">
        <v>530</v>
      </c>
      <c r="B238" s="335" t="s">
        <v>531</v>
      </c>
      <c r="C238" s="331">
        <v>2430</v>
      </c>
      <c r="D238" s="331">
        <v>0</v>
      </c>
      <c r="E238" s="331">
        <v>215</v>
      </c>
      <c r="F238" s="331">
        <v>588</v>
      </c>
      <c r="G238" s="331">
        <v>572</v>
      </c>
      <c r="H238" s="331">
        <v>3805</v>
      </c>
      <c r="I238" s="330">
        <v>3233</v>
      </c>
      <c r="J238" s="330">
        <v>0</v>
      </c>
      <c r="K238" s="332">
        <v>101.76</v>
      </c>
      <c r="L238" s="332">
        <v>99.88</v>
      </c>
      <c r="M238" s="332">
        <v>5.21</v>
      </c>
      <c r="N238" s="332">
        <v>105.84</v>
      </c>
      <c r="O238" s="333">
        <v>1922</v>
      </c>
      <c r="P238" s="330">
        <v>90.39</v>
      </c>
      <c r="Q238" s="330">
        <v>85.63</v>
      </c>
      <c r="R238" s="330">
        <v>55.04</v>
      </c>
      <c r="S238" s="330">
        <v>142.66999999999999</v>
      </c>
      <c r="T238" s="330">
        <v>459</v>
      </c>
      <c r="U238" s="330">
        <v>111.49</v>
      </c>
      <c r="V238" s="330">
        <v>468</v>
      </c>
      <c r="W238" s="330">
        <v>139.4</v>
      </c>
      <c r="X238" s="330">
        <v>107</v>
      </c>
      <c r="Y238" s="330">
        <v>0</v>
      </c>
      <c r="Z238" s="330">
        <v>4</v>
      </c>
      <c r="AA238" s="330">
        <v>0</v>
      </c>
      <c r="AB238" s="330">
        <v>62</v>
      </c>
      <c r="AC238" s="330">
        <v>13</v>
      </c>
      <c r="AD238" s="334">
        <v>2422</v>
      </c>
      <c r="AE238" s="334">
        <v>8</v>
      </c>
      <c r="AF238" s="334">
        <v>3</v>
      </c>
      <c r="AG238" s="334">
        <v>11</v>
      </c>
    </row>
    <row r="239" spans="1:33" x14ac:dyDescent="0.25">
      <c r="A239" s="329" t="s">
        <v>532</v>
      </c>
      <c r="B239" s="335" t="s">
        <v>533</v>
      </c>
      <c r="C239" s="330">
        <v>4110</v>
      </c>
      <c r="D239" s="330">
        <v>0</v>
      </c>
      <c r="E239" s="330">
        <v>342</v>
      </c>
      <c r="F239" s="330">
        <v>863</v>
      </c>
      <c r="G239" s="330">
        <v>587</v>
      </c>
      <c r="H239" s="330">
        <v>5902</v>
      </c>
      <c r="I239" s="330">
        <v>5315</v>
      </c>
      <c r="J239" s="330">
        <v>0</v>
      </c>
      <c r="K239" s="330">
        <v>95.29</v>
      </c>
      <c r="L239" s="332">
        <v>94.18</v>
      </c>
      <c r="M239" s="332">
        <v>4.53</v>
      </c>
      <c r="N239" s="332">
        <v>98.97</v>
      </c>
      <c r="O239" s="333">
        <v>3320</v>
      </c>
      <c r="P239" s="330">
        <v>91.12</v>
      </c>
      <c r="Q239" s="330">
        <v>88.74</v>
      </c>
      <c r="R239" s="330">
        <v>35.130000000000003</v>
      </c>
      <c r="S239" s="330">
        <v>125.44</v>
      </c>
      <c r="T239" s="330">
        <v>1000</v>
      </c>
      <c r="U239" s="330">
        <v>112.23</v>
      </c>
      <c r="V239" s="330">
        <v>393</v>
      </c>
      <c r="W239" s="330">
        <v>142.06</v>
      </c>
      <c r="X239" s="330">
        <v>78</v>
      </c>
      <c r="Y239" s="330">
        <v>0</v>
      </c>
      <c r="Z239" s="330">
        <v>4</v>
      </c>
      <c r="AA239" s="330">
        <v>8</v>
      </c>
      <c r="AB239" s="330">
        <v>64</v>
      </c>
      <c r="AC239" s="330">
        <v>11</v>
      </c>
      <c r="AD239" s="330">
        <v>3726</v>
      </c>
      <c r="AE239" s="330">
        <v>16</v>
      </c>
      <c r="AF239" s="330">
        <v>5</v>
      </c>
      <c r="AG239" s="330">
        <v>21</v>
      </c>
    </row>
    <row r="240" spans="1:33" x14ac:dyDescent="0.25">
      <c r="A240" s="329" t="s">
        <v>534</v>
      </c>
      <c r="B240" s="335" t="s">
        <v>535</v>
      </c>
      <c r="C240" s="331">
        <v>3269</v>
      </c>
      <c r="D240" s="331">
        <v>0</v>
      </c>
      <c r="E240" s="331">
        <v>356</v>
      </c>
      <c r="F240" s="331">
        <v>181</v>
      </c>
      <c r="G240" s="331">
        <v>1141</v>
      </c>
      <c r="H240" s="331">
        <v>4947</v>
      </c>
      <c r="I240" s="330">
        <v>3806</v>
      </c>
      <c r="J240" s="330">
        <v>20</v>
      </c>
      <c r="K240" s="332">
        <v>110.5</v>
      </c>
      <c r="L240" s="332">
        <v>108.61</v>
      </c>
      <c r="M240" s="332">
        <v>3.4</v>
      </c>
      <c r="N240" s="332">
        <v>113.27</v>
      </c>
      <c r="O240" s="333">
        <v>2300</v>
      </c>
      <c r="P240" s="330">
        <v>97.98</v>
      </c>
      <c r="Q240" s="330">
        <v>98.28</v>
      </c>
      <c r="R240" s="330">
        <v>42.17</v>
      </c>
      <c r="S240" s="330">
        <v>140.15</v>
      </c>
      <c r="T240" s="330">
        <v>235</v>
      </c>
      <c r="U240" s="330">
        <v>146.63999999999999</v>
      </c>
      <c r="V240" s="330">
        <v>591</v>
      </c>
      <c r="W240" s="330">
        <v>160.63</v>
      </c>
      <c r="X240" s="330">
        <v>79</v>
      </c>
      <c r="Y240" s="330">
        <v>0</v>
      </c>
      <c r="Z240" s="330">
        <v>0</v>
      </c>
      <c r="AA240" s="330">
        <v>36</v>
      </c>
      <c r="AB240" s="330">
        <v>48</v>
      </c>
      <c r="AC240" s="330">
        <v>24</v>
      </c>
      <c r="AD240" s="334">
        <v>3040</v>
      </c>
      <c r="AE240" s="334">
        <v>11</v>
      </c>
      <c r="AF240" s="334">
        <v>7</v>
      </c>
      <c r="AG240" s="334">
        <v>18</v>
      </c>
    </row>
    <row r="241" spans="1:33" x14ac:dyDescent="0.25">
      <c r="A241" s="329" t="s">
        <v>536</v>
      </c>
      <c r="B241" s="335" t="s">
        <v>537</v>
      </c>
      <c r="C241" s="331">
        <v>1396</v>
      </c>
      <c r="D241" s="331">
        <v>0</v>
      </c>
      <c r="E241" s="331">
        <v>143</v>
      </c>
      <c r="F241" s="331">
        <v>48</v>
      </c>
      <c r="G241" s="331">
        <v>218</v>
      </c>
      <c r="H241" s="331">
        <v>1805</v>
      </c>
      <c r="I241" s="330">
        <v>1587</v>
      </c>
      <c r="J241" s="330">
        <v>0</v>
      </c>
      <c r="K241" s="332">
        <v>92.26</v>
      </c>
      <c r="L241" s="332">
        <v>91.43</v>
      </c>
      <c r="M241" s="332">
        <v>5.29</v>
      </c>
      <c r="N241" s="332">
        <v>95.94</v>
      </c>
      <c r="O241" s="333">
        <v>1139</v>
      </c>
      <c r="P241" s="330">
        <v>109.61</v>
      </c>
      <c r="Q241" s="330">
        <v>107.1</v>
      </c>
      <c r="R241" s="330">
        <v>86.1</v>
      </c>
      <c r="S241" s="330">
        <v>195.71</v>
      </c>
      <c r="T241" s="330">
        <v>119</v>
      </c>
      <c r="U241" s="330">
        <v>99.87</v>
      </c>
      <c r="V241" s="330">
        <v>238</v>
      </c>
      <c r="W241" s="330">
        <v>185.89</v>
      </c>
      <c r="X241" s="330">
        <v>47</v>
      </c>
      <c r="Y241" s="330">
        <v>0</v>
      </c>
      <c r="Z241" s="330">
        <v>0</v>
      </c>
      <c r="AA241" s="330">
        <v>1</v>
      </c>
      <c r="AB241" s="330">
        <v>54</v>
      </c>
      <c r="AC241" s="330">
        <v>7</v>
      </c>
      <c r="AD241" s="334">
        <v>1377</v>
      </c>
      <c r="AE241" s="334">
        <v>7</v>
      </c>
      <c r="AF241" s="334">
        <v>11</v>
      </c>
      <c r="AG241" s="334">
        <v>18</v>
      </c>
    </row>
    <row r="242" spans="1:33" x14ac:dyDescent="0.25">
      <c r="A242" s="329" t="s">
        <v>538</v>
      </c>
      <c r="B242" s="335" t="s">
        <v>539</v>
      </c>
      <c r="C242" s="331">
        <v>10577</v>
      </c>
      <c r="D242" s="331">
        <v>22</v>
      </c>
      <c r="E242" s="331">
        <v>317</v>
      </c>
      <c r="F242" s="331">
        <v>1838</v>
      </c>
      <c r="G242" s="331">
        <v>830</v>
      </c>
      <c r="H242" s="331">
        <v>13584</v>
      </c>
      <c r="I242" s="330">
        <v>12754</v>
      </c>
      <c r="J242" s="330">
        <v>0</v>
      </c>
      <c r="K242" s="332">
        <v>96.96</v>
      </c>
      <c r="L242" s="332">
        <v>97.99</v>
      </c>
      <c r="M242" s="332">
        <v>5.42</v>
      </c>
      <c r="N242" s="332">
        <v>100.05</v>
      </c>
      <c r="O242" s="333">
        <v>9596</v>
      </c>
      <c r="P242" s="330">
        <v>88.5</v>
      </c>
      <c r="Q242" s="330">
        <v>90.63</v>
      </c>
      <c r="R242" s="330">
        <v>32.24</v>
      </c>
      <c r="S242" s="330">
        <v>120.64</v>
      </c>
      <c r="T242" s="330">
        <v>1876</v>
      </c>
      <c r="U242" s="330">
        <v>136.55000000000001</v>
      </c>
      <c r="V242" s="330">
        <v>624</v>
      </c>
      <c r="W242" s="330">
        <v>185.74</v>
      </c>
      <c r="X242" s="330">
        <v>91</v>
      </c>
      <c r="Y242" s="330">
        <v>20</v>
      </c>
      <c r="Z242" s="330">
        <v>23</v>
      </c>
      <c r="AA242" s="330">
        <v>7</v>
      </c>
      <c r="AB242" s="330">
        <v>31</v>
      </c>
      <c r="AC242" s="330">
        <v>5</v>
      </c>
      <c r="AD242" s="334">
        <v>10257</v>
      </c>
      <c r="AE242" s="334">
        <v>49</v>
      </c>
      <c r="AF242" s="334">
        <v>30</v>
      </c>
      <c r="AG242" s="334">
        <v>79</v>
      </c>
    </row>
    <row r="243" spans="1:33" x14ac:dyDescent="0.25">
      <c r="A243" s="329" t="s">
        <v>540</v>
      </c>
      <c r="B243" s="335" t="s">
        <v>541</v>
      </c>
      <c r="C243" s="331">
        <v>3870</v>
      </c>
      <c r="D243" s="331">
        <v>0</v>
      </c>
      <c r="E243" s="331">
        <v>82</v>
      </c>
      <c r="F243" s="331">
        <v>603</v>
      </c>
      <c r="G243" s="331">
        <v>524</v>
      </c>
      <c r="H243" s="331">
        <v>5079</v>
      </c>
      <c r="I243" s="330">
        <v>4555</v>
      </c>
      <c r="J243" s="330">
        <v>0</v>
      </c>
      <c r="K243" s="332">
        <v>93.26</v>
      </c>
      <c r="L243" s="332">
        <v>89.71</v>
      </c>
      <c r="M243" s="332">
        <v>1.9</v>
      </c>
      <c r="N243" s="332">
        <v>95.07</v>
      </c>
      <c r="O243" s="333">
        <v>3286</v>
      </c>
      <c r="P243" s="330">
        <v>81.319999999999993</v>
      </c>
      <c r="Q243" s="330">
        <v>73.67</v>
      </c>
      <c r="R243" s="330">
        <v>33.71</v>
      </c>
      <c r="S243" s="330">
        <v>113.94</v>
      </c>
      <c r="T243" s="330">
        <v>557</v>
      </c>
      <c r="U243" s="330">
        <v>124.15</v>
      </c>
      <c r="V243" s="330">
        <v>259</v>
      </c>
      <c r="W243" s="330">
        <v>218.18</v>
      </c>
      <c r="X243" s="330">
        <v>37</v>
      </c>
      <c r="Y243" s="330">
        <v>0</v>
      </c>
      <c r="Z243" s="330">
        <v>6</v>
      </c>
      <c r="AA243" s="330">
        <v>9</v>
      </c>
      <c r="AB243" s="330">
        <v>60</v>
      </c>
      <c r="AC243" s="330">
        <v>9</v>
      </c>
      <c r="AD243" s="334">
        <v>3615</v>
      </c>
      <c r="AE243" s="334">
        <v>18</v>
      </c>
      <c r="AF243" s="334">
        <v>12</v>
      </c>
      <c r="AG243" s="334">
        <v>30</v>
      </c>
    </row>
    <row r="244" spans="1:33" x14ac:dyDescent="0.25">
      <c r="A244" s="329" t="s">
        <v>542</v>
      </c>
      <c r="B244" s="335" t="s">
        <v>543</v>
      </c>
      <c r="C244" s="331">
        <v>1009</v>
      </c>
      <c r="D244" s="331">
        <v>0</v>
      </c>
      <c r="E244" s="331">
        <v>103</v>
      </c>
      <c r="F244" s="331">
        <v>0</v>
      </c>
      <c r="G244" s="331">
        <v>290</v>
      </c>
      <c r="H244" s="331">
        <v>1402</v>
      </c>
      <c r="I244" s="330">
        <v>1112</v>
      </c>
      <c r="J244" s="330">
        <v>6</v>
      </c>
      <c r="K244" s="332">
        <v>84.8</v>
      </c>
      <c r="L244" s="332">
        <v>84.36</v>
      </c>
      <c r="M244" s="332">
        <v>4.5599999999999996</v>
      </c>
      <c r="N244" s="332">
        <v>88.44</v>
      </c>
      <c r="O244" s="333">
        <v>753</v>
      </c>
      <c r="P244" s="330">
        <v>111.39</v>
      </c>
      <c r="Q244" s="330">
        <v>71.66</v>
      </c>
      <c r="R244" s="330">
        <v>103.91</v>
      </c>
      <c r="S244" s="330">
        <v>215.3</v>
      </c>
      <c r="T244" s="330">
        <v>93</v>
      </c>
      <c r="U244" s="330">
        <v>104.65</v>
      </c>
      <c r="V244" s="330">
        <v>153</v>
      </c>
      <c r="W244" s="330">
        <v>0</v>
      </c>
      <c r="X244" s="330">
        <v>0</v>
      </c>
      <c r="Y244" s="330">
        <v>0</v>
      </c>
      <c r="Z244" s="330">
        <v>0</v>
      </c>
      <c r="AA244" s="330">
        <v>0</v>
      </c>
      <c r="AB244" s="330">
        <v>48</v>
      </c>
      <c r="AC244" s="330">
        <v>7</v>
      </c>
      <c r="AD244" s="334">
        <v>944</v>
      </c>
      <c r="AE244" s="334">
        <v>2</v>
      </c>
      <c r="AF244" s="334">
        <v>0</v>
      </c>
      <c r="AG244" s="334">
        <v>2</v>
      </c>
    </row>
    <row r="245" spans="1:33" x14ac:dyDescent="0.25">
      <c r="A245" s="329" t="s">
        <v>544</v>
      </c>
      <c r="B245" s="335" t="s">
        <v>545</v>
      </c>
      <c r="C245" s="331">
        <v>1661</v>
      </c>
      <c r="D245" s="331">
        <v>0</v>
      </c>
      <c r="E245" s="331">
        <v>141</v>
      </c>
      <c r="F245" s="331">
        <v>350</v>
      </c>
      <c r="G245" s="331">
        <v>474</v>
      </c>
      <c r="H245" s="331">
        <v>2626</v>
      </c>
      <c r="I245" s="330">
        <v>2152</v>
      </c>
      <c r="J245" s="330">
        <v>0</v>
      </c>
      <c r="K245" s="332">
        <v>87.57</v>
      </c>
      <c r="L245" s="332">
        <v>86.17</v>
      </c>
      <c r="M245" s="332">
        <v>5.51</v>
      </c>
      <c r="N245" s="332">
        <v>92.21</v>
      </c>
      <c r="O245" s="333">
        <v>1218</v>
      </c>
      <c r="P245" s="330">
        <v>92.12</v>
      </c>
      <c r="Q245" s="330">
        <v>72.349999999999994</v>
      </c>
      <c r="R245" s="330">
        <v>38.71</v>
      </c>
      <c r="S245" s="330">
        <v>130.71</v>
      </c>
      <c r="T245" s="330">
        <v>327</v>
      </c>
      <c r="U245" s="330">
        <v>101.32</v>
      </c>
      <c r="V245" s="330">
        <v>168</v>
      </c>
      <c r="W245" s="330">
        <v>120.54</v>
      </c>
      <c r="X245" s="330">
        <v>21</v>
      </c>
      <c r="Y245" s="330">
        <v>22</v>
      </c>
      <c r="Z245" s="330">
        <v>0</v>
      </c>
      <c r="AA245" s="330">
        <v>0</v>
      </c>
      <c r="AB245" s="330">
        <v>9</v>
      </c>
      <c r="AC245" s="330">
        <v>13</v>
      </c>
      <c r="AD245" s="334">
        <v>1606</v>
      </c>
      <c r="AE245" s="334">
        <v>5</v>
      </c>
      <c r="AF245" s="334">
        <v>1</v>
      </c>
      <c r="AG245" s="334">
        <v>6</v>
      </c>
    </row>
    <row r="246" spans="1:33" x14ac:dyDescent="0.25">
      <c r="A246" s="329" t="s">
        <v>546</v>
      </c>
      <c r="B246" s="335" t="s">
        <v>547</v>
      </c>
      <c r="C246" s="331">
        <v>4051</v>
      </c>
      <c r="D246" s="331">
        <v>52</v>
      </c>
      <c r="E246" s="331">
        <v>214</v>
      </c>
      <c r="F246" s="331">
        <v>545</v>
      </c>
      <c r="G246" s="331">
        <v>162</v>
      </c>
      <c r="H246" s="331">
        <v>5024</v>
      </c>
      <c r="I246" s="330">
        <v>4862</v>
      </c>
      <c r="J246" s="330">
        <v>0</v>
      </c>
      <c r="K246" s="332">
        <v>91.51</v>
      </c>
      <c r="L246" s="332">
        <v>91.29</v>
      </c>
      <c r="M246" s="332">
        <v>4.4400000000000004</v>
      </c>
      <c r="N246" s="332">
        <v>92.58</v>
      </c>
      <c r="O246" s="333">
        <v>3583</v>
      </c>
      <c r="P246" s="330">
        <v>84.96</v>
      </c>
      <c r="Q246" s="330">
        <v>81.709999999999994</v>
      </c>
      <c r="R246" s="330">
        <v>40.35</v>
      </c>
      <c r="S246" s="330">
        <v>124.82</v>
      </c>
      <c r="T246" s="330">
        <v>664</v>
      </c>
      <c r="U246" s="330">
        <v>112.94</v>
      </c>
      <c r="V246" s="330">
        <v>442</v>
      </c>
      <c r="W246" s="330">
        <v>203.43</v>
      </c>
      <c r="X246" s="330">
        <v>8</v>
      </c>
      <c r="Y246" s="330">
        <v>73</v>
      </c>
      <c r="Z246" s="330">
        <v>15</v>
      </c>
      <c r="AA246" s="330">
        <v>0</v>
      </c>
      <c r="AB246" s="330">
        <v>0</v>
      </c>
      <c r="AC246" s="330">
        <v>2</v>
      </c>
      <c r="AD246" s="334">
        <v>3965</v>
      </c>
      <c r="AE246" s="334">
        <v>19</v>
      </c>
      <c r="AF246" s="334">
        <v>14</v>
      </c>
      <c r="AG246" s="334">
        <v>33</v>
      </c>
    </row>
    <row r="247" spans="1:33" x14ac:dyDescent="0.25">
      <c r="A247" s="329" t="s">
        <v>548</v>
      </c>
      <c r="B247" s="335" t="s">
        <v>549</v>
      </c>
      <c r="C247" s="331">
        <v>6258</v>
      </c>
      <c r="D247" s="331">
        <v>0</v>
      </c>
      <c r="E247" s="331">
        <v>243</v>
      </c>
      <c r="F247" s="331">
        <v>924</v>
      </c>
      <c r="G247" s="331">
        <v>598</v>
      </c>
      <c r="H247" s="331">
        <v>8023</v>
      </c>
      <c r="I247" s="330">
        <v>7425</v>
      </c>
      <c r="J247" s="330">
        <v>8</v>
      </c>
      <c r="K247" s="332">
        <v>88.11</v>
      </c>
      <c r="L247" s="332">
        <v>87.84</v>
      </c>
      <c r="M247" s="332">
        <v>4.82</v>
      </c>
      <c r="N247" s="332">
        <v>89.44</v>
      </c>
      <c r="O247" s="333">
        <v>4438</v>
      </c>
      <c r="P247" s="330">
        <v>88.01</v>
      </c>
      <c r="Q247" s="330">
        <v>79.959999999999994</v>
      </c>
      <c r="R247" s="330">
        <v>30.89</v>
      </c>
      <c r="S247" s="330">
        <v>118.44</v>
      </c>
      <c r="T247" s="330">
        <v>1134</v>
      </c>
      <c r="U247" s="330">
        <v>112.23</v>
      </c>
      <c r="V247" s="330">
        <v>1675</v>
      </c>
      <c r="W247" s="330">
        <v>0</v>
      </c>
      <c r="X247" s="330">
        <v>0</v>
      </c>
      <c r="Y247" s="330">
        <v>0</v>
      </c>
      <c r="Z247" s="330">
        <v>4</v>
      </c>
      <c r="AA247" s="330">
        <v>0</v>
      </c>
      <c r="AB247" s="330">
        <v>53</v>
      </c>
      <c r="AC247" s="330">
        <v>8</v>
      </c>
      <c r="AD247" s="334">
        <v>6230</v>
      </c>
      <c r="AE247" s="334">
        <v>42</v>
      </c>
      <c r="AF247" s="334">
        <v>32</v>
      </c>
      <c r="AG247" s="334">
        <v>74</v>
      </c>
    </row>
    <row r="248" spans="1:33" x14ac:dyDescent="0.25">
      <c r="A248" s="329" t="s">
        <v>550</v>
      </c>
      <c r="B248" s="335" t="s">
        <v>551</v>
      </c>
      <c r="C248" s="331">
        <v>6272</v>
      </c>
      <c r="D248" s="331">
        <v>0</v>
      </c>
      <c r="E248" s="331">
        <v>233</v>
      </c>
      <c r="F248" s="331">
        <v>752</v>
      </c>
      <c r="G248" s="331">
        <v>868</v>
      </c>
      <c r="H248" s="331">
        <v>8125</v>
      </c>
      <c r="I248" s="330">
        <v>7257</v>
      </c>
      <c r="J248" s="330">
        <v>1</v>
      </c>
      <c r="K248" s="332">
        <v>110.41</v>
      </c>
      <c r="L248" s="332">
        <v>109.57</v>
      </c>
      <c r="M248" s="332">
        <v>6.79</v>
      </c>
      <c r="N248" s="332">
        <v>112.82</v>
      </c>
      <c r="O248" s="333">
        <v>5288</v>
      </c>
      <c r="P248" s="330">
        <v>94.04</v>
      </c>
      <c r="Q248" s="330">
        <v>89.53</v>
      </c>
      <c r="R248" s="330">
        <v>23.06</v>
      </c>
      <c r="S248" s="330">
        <v>114.18</v>
      </c>
      <c r="T248" s="330">
        <v>821</v>
      </c>
      <c r="U248" s="330">
        <v>173.33</v>
      </c>
      <c r="V248" s="330">
        <v>772</v>
      </c>
      <c r="W248" s="330">
        <v>162.63999999999999</v>
      </c>
      <c r="X248" s="330">
        <v>39</v>
      </c>
      <c r="Y248" s="330">
        <v>0</v>
      </c>
      <c r="Z248" s="330">
        <v>2</v>
      </c>
      <c r="AA248" s="330">
        <v>2</v>
      </c>
      <c r="AB248" s="330">
        <v>103</v>
      </c>
      <c r="AC248" s="330">
        <v>16</v>
      </c>
      <c r="AD248" s="334">
        <v>6074</v>
      </c>
      <c r="AE248" s="334">
        <v>33</v>
      </c>
      <c r="AF248" s="334">
        <v>21</v>
      </c>
      <c r="AG248" s="334">
        <v>54</v>
      </c>
    </row>
    <row r="249" spans="1:33" x14ac:dyDescent="0.25">
      <c r="A249" s="329" t="s">
        <v>552</v>
      </c>
      <c r="B249" s="335" t="s">
        <v>553</v>
      </c>
      <c r="C249" s="331">
        <v>3906</v>
      </c>
      <c r="D249" s="331">
        <v>3</v>
      </c>
      <c r="E249" s="331">
        <v>272</v>
      </c>
      <c r="F249" s="331">
        <v>1075</v>
      </c>
      <c r="G249" s="331">
        <v>215</v>
      </c>
      <c r="H249" s="331">
        <v>5471</v>
      </c>
      <c r="I249" s="330">
        <v>5256</v>
      </c>
      <c r="J249" s="330">
        <v>4</v>
      </c>
      <c r="K249" s="332">
        <v>86.83</v>
      </c>
      <c r="L249" s="332">
        <v>86.17</v>
      </c>
      <c r="M249" s="332">
        <v>2.67</v>
      </c>
      <c r="N249" s="332">
        <v>89.45</v>
      </c>
      <c r="O249" s="333">
        <v>3540</v>
      </c>
      <c r="P249" s="330">
        <v>88.72</v>
      </c>
      <c r="Q249" s="330">
        <v>79.8</v>
      </c>
      <c r="R249" s="330">
        <v>26.31</v>
      </c>
      <c r="S249" s="330">
        <v>115.01</v>
      </c>
      <c r="T249" s="330">
        <v>1266</v>
      </c>
      <c r="U249" s="330">
        <v>100.11</v>
      </c>
      <c r="V249" s="330">
        <v>350</v>
      </c>
      <c r="W249" s="330">
        <v>0</v>
      </c>
      <c r="X249" s="330">
        <v>0</v>
      </c>
      <c r="Y249" s="330">
        <v>0</v>
      </c>
      <c r="Z249" s="330">
        <v>7</v>
      </c>
      <c r="AA249" s="330">
        <v>0</v>
      </c>
      <c r="AB249" s="330">
        <v>12</v>
      </c>
      <c r="AC249" s="330">
        <v>3</v>
      </c>
      <c r="AD249" s="334">
        <v>3904</v>
      </c>
      <c r="AE249" s="334">
        <v>35</v>
      </c>
      <c r="AF249" s="334">
        <v>2</v>
      </c>
      <c r="AG249" s="334">
        <v>37</v>
      </c>
    </row>
    <row r="250" spans="1:33" x14ac:dyDescent="0.25">
      <c r="A250" s="329" t="s">
        <v>554</v>
      </c>
      <c r="B250" s="335" t="s">
        <v>555</v>
      </c>
      <c r="C250" s="331">
        <v>9054</v>
      </c>
      <c r="D250" s="331">
        <v>0</v>
      </c>
      <c r="E250" s="331">
        <v>311</v>
      </c>
      <c r="F250" s="331">
        <v>1696</v>
      </c>
      <c r="G250" s="331">
        <v>662</v>
      </c>
      <c r="H250" s="331">
        <v>11723</v>
      </c>
      <c r="I250" s="330">
        <v>11061</v>
      </c>
      <c r="J250" s="330">
        <v>0</v>
      </c>
      <c r="K250" s="332">
        <v>91.7</v>
      </c>
      <c r="L250" s="332">
        <v>91.01</v>
      </c>
      <c r="M250" s="332">
        <v>4.21</v>
      </c>
      <c r="N250" s="332">
        <v>93.04</v>
      </c>
      <c r="O250" s="333">
        <v>8234</v>
      </c>
      <c r="P250" s="330">
        <v>85.98</v>
      </c>
      <c r="Q250" s="330">
        <v>84.15</v>
      </c>
      <c r="R250" s="330">
        <v>26.46</v>
      </c>
      <c r="S250" s="330">
        <v>112.33</v>
      </c>
      <c r="T250" s="330">
        <v>1973</v>
      </c>
      <c r="U250" s="330">
        <v>113.85</v>
      </c>
      <c r="V250" s="330">
        <v>579</v>
      </c>
      <c r="W250" s="330">
        <v>115.27</v>
      </c>
      <c r="X250" s="330">
        <v>28</v>
      </c>
      <c r="Y250" s="330">
        <v>0</v>
      </c>
      <c r="Z250" s="330">
        <v>37</v>
      </c>
      <c r="AA250" s="330">
        <v>1</v>
      </c>
      <c r="AB250" s="330">
        <v>15</v>
      </c>
      <c r="AC250" s="330">
        <v>13</v>
      </c>
      <c r="AD250" s="334">
        <v>9040</v>
      </c>
      <c r="AE250" s="334">
        <v>46</v>
      </c>
      <c r="AF250" s="334">
        <v>42</v>
      </c>
      <c r="AG250" s="334">
        <v>88</v>
      </c>
    </row>
    <row r="251" spans="1:33" x14ac:dyDescent="0.25">
      <c r="A251" s="329" t="s">
        <v>556</v>
      </c>
      <c r="B251" s="335" t="s">
        <v>557</v>
      </c>
      <c r="C251" s="331">
        <v>5707</v>
      </c>
      <c r="D251" s="331">
        <v>0</v>
      </c>
      <c r="E251" s="331">
        <v>277</v>
      </c>
      <c r="F251" s="331">
        <v>673</v>
      </c>
      <c r="G251" s="331">
        <v>378</v>
      </c>
      <c r="H251" s="331">
        <v>7035</v>
      </c>
      <c r="I251" s="330">
        <v>6657</v>
      </c>
      <c r="J251" s="330">
        <v>0</v>
      </c>
      <c r="K251" s="332">
        <v>87.82</v>
      </c>
      <c r="L251" s="332">
        <v>87.22</v>
      </c>
      <c r="M251" s="332">
        <v>4.5199999999999996</v>
      </c>
      <c r="N251" s="332">
        <v>89.05</v>
      </c>
      <c r="O251" s="333">
        <v>5572</v>
      </c>
      <c r="P251" s="330">
        <v>81.489999999999995</v>
      </c>
      <c r="Q251" s="330">
        <v>80.75</v>
      </c>
      <c r="R251" s="330">
        <v>37.56</v>
      </c>
      <c r="S251" s="330">
        <v>117.76</v>
      </c>
      <c r="T251" s="330">
        <v>811</v>
      </c>
      <c r="U251" s="330">
        <v>104.78</v>
      </c>
      <c r="V251" s="330">
        <v>98</v>
      </c>
      <c r="W251" s="330">
        <v>176.66</v>
      </c>
      <c r="X251" s="330">
        <v>139</v>
      </c>
      <c r="Y251" s="330">
        <v>0</v>
      </c>
      <c r="Z251" s="330">
        <v>3</v>
      </c>
      <c r="AA251" s="330">
        <v>2</v>
      </c>
      <c r="AB251" s="330">
        <v>32</v>
      </c>
      <c r="AC251" s="330">
        <v>5</v>
      </c>
      <c r="AD251" s="334">
        <v>5707</v>
      </c>
      <c r="AE251" s="334">
        <v>17</v>
      </c>
      <c r="AF251" s="334">
        <v>6</v>
      </c>
      <c r="AG251" s="334">
        <v>23</v>
      </c>
    </row>
    <row r="252" spans="1:33" x14ac:dyDescent="0.25">
      <c r="A252" s="329" t="s">
        <v>558</v>
      </c>
      <c r="B252" s="335" t="s">
        <v>559</v>
      </c>
      <c r="C252" s="331">
        <v>3823</v>
      </c>
      <c r="D252" s="331">
        <v>3</v>
      </c>
      <c r="E252" s="331">
        <v>351</v>
      </c>
      <c r="F252" s="331">
        <v>964</v>
      </c>
      <c r="G252" s="331">
        <v>208</v>
      </c>
      <c r="H252" s="331">
        <v>5349</v>
      </c>
      <c r="I252" s="330">
        <v>5141</v>
      </c>
      <c r="J252" s="330">
        <v>0</v>
      </c>
      <c r="K252" s="332">
        <v>79.72</v>
      </c>
      <c r="L252" s="332">
        <v>77.16</v>
      </c>
      <c r="M252" s="332">
        <v>3.26</v>
      </c>
      <c r="N252" s="332">
        <v>81.96</v>
      </c>
      <c r="O252" s="333">
        <v>3138</v>
      </c>
      <c r="P252" s="330">
        <v>83.28</v>
      </c>
      <c r="Q252" s="330">
        <v>76.62</v>
      </c>
      <c r="R252" s="330">
        <v>58.2</v>
      </c>
      <c r="S252" s="330">
        <v>140.72</v>
      </c>
      <c r="T252" s="330">
        <v>917</v>
      </c>
      <c r="U252" s="330">
        <v>98.39</v>
      </c>
      <c r="V252" s="330">
        <v>626</v>
      </c>
      <c r="W252" s="330">
        <v>101.39</v>
      </c>
      <c r="X252" s="330">
        <v>288</v>
      </c>
      <c r="Y252" s="330">
        <v>0</v>
      </c>
      <c r="Z252" s="330">
        <v>1</v>
      </c>
      <c r="AA252" s="330">
        <v>4</v>
      </c>
      <c r="AB252" s="330">
        <v>1</v>
      </c>
      <c r="AC252" s="330">
        <v>5</v>
      </c>
      <c r="AD252" s="334">
        <v>3663</v>
      </c>
      <c r="AE252" s="334">
        <v>72</v>
      </c>
      <c r="AF252" s="334">
        <v>12</v>
      </c>
      <c r="AG252" s="334">
        <v>84</v>
      </c>
    </row>
    <row r="253" spans="1:33" x14ac:dyDescent="0.25">
      <c r="A253" s="329" t="s">
        <v>560</v>
      </c>
      <c r="B253" s="335" t="s">
        <v>561</v>
      </c>
      <c r="C253" s="331">
        <v>5854</v>
      </c>
      <c r="D253" s="331">
        <v>68</v>
      </c>
      <c r="E253" s="331">
        <v>888</v>
      </c>
      <c r="F253" s="331">
        <v>1084</v>
      </c>
      <c r="G253" s="331">
        <v>984</v>
      </c>
      <c r="H253" s="331">
        <v>8878</v>
      </c>
      <c r="I253" s="330">
        <v>7894</v>
      </c>
      <c r="J253" s="330">
        <v>8</v>
      </c>
      <c r="K253" s="332">
        <v>104.59</v>
      </c>
      <c r="L253" s="332">
        <v>102.34</v>
      </c>
      <c r="M253" s="332">
        <v>7.68</v>
      </c>
      <c r="N253" s="332">
        <v>111.15</v>
      </c>
      <c r="O253" s="333">
        <v>4659</v>
      </c>
      <c r="P253" s="330">
        <v>92.96</v>
      </c>
      <c r="Q253" s="330">
        <v>88.91</v>
      </c>
      <c r="R253" s="330">
        <v>39.75</v>
      </c>
      <c r="S253" s="330">
        <v>130.82</v>
      </c>
      <c r="T253" s="330">
        <v>1659</v>
      </c>
      <c r="U253" s="330">
        <v>140.21</v>
      </c>
      <c r="V253" s="330">
        <v>784</v>
      </c>
      <c r="W253" s="330">
        <v>144.79</v>
      </c>
      <c r="X253" s="330">
        <v>21</v>
      </c>
      <c r="Y253" s="330">
        <v>70</v>
      </c>
      <c r="Z253" s="330">
        <v>4</v>
      </c>
      <c r="AA253" s="330">
        <v>2</v>
      </c>
      <c r="AB253" s="330">
        <v>24</v>
      </c>
      <c r="AC253" s="330">
        <v>41</v>
      </c>
      <c r="AD253" s="334">
        <v>5722</v>
      </c>
      <c r="AE253" s="334">
        <v>30</v>
      </c>
      <c r="AF253" s="334">
        <v>14</v>
      </c>
      <c r="AG253" s="334">
        <v>44</v>
      </c>
    </row>
    <row r="254" spans="1:33" x14ac:dyDescent="0.25">
      <c r="A254" s="329" t="s">
        <v>562</v>
      </c>
      <c r="B254" s="335" t="s">
        <v>563</v>
      </c>
      <c r="C254" s="331">
        <v>2825</v>
      </c>
      <c r="D254" s="331">
        <v>0</v>
      </c>
      <c r="E254" s="331">
        <v>532</v>
      </c>
      <c r="F254" s="331">
        <v>316</v>
      </c>
      <c r="G254" s="331">
        <v>378</v>
      </c>
      <c r="H254" s="331">
        <v>4051</v>
      </c>
      <c r="I254" s="330">
        <v>3673</v>
      </c>
      <c r="J254" s="330">
        <v>35</v>
      </c>
      <c r="K254" s="332">
        <v>97.13</v>
      </c>
      <c r="L254" s="332">
        <v>95.92</v>
      </c>
      <c r="M254" s="332">
        <v>11.98</v>
      </c>
      <c r="N254" s="332">
        <v>106.83</v>
      </c>
      <c r="O254" s="333">
        <v>2446</v>
      </c>
      <c r="P254" s="330">
        <v>90.43</v>
      </c>
      <c r="Q254" s="330">
        <v>85.66</v>
      </c>
      <c r="R254" s="330">
        <v>59.57</v>
      </c>
      <c r="S254" s="330">
        <v>145.22</v>
      </c>
      <c r="T254" s="330">
        <v>511</v>
      </c>
      <c r="U254" s="330">
        <v>147.78</v>
      </c>
      <c r="V254" s="330">
        <v>334</v>
      </c>
      <c r="W254" s="330">
        <v>0</v>
      </c>
      <c r="X254" s="330">
        <v>0</v>
      </c>
      <c r="Y254" s="330">
        <v>0</v>
      </c>
      <c r="Z254" s="330">
        <v>0</v>
      </c>
      <c r="AA254" s="330">
        <v>2</v>
      </c>
      <c r="AB254" s="330">
        <v>70</v>
      </c>
      <c r="AC254" s="330">
        <v>4</v>
      </c>
      <c r="AD254" s="334">
        <v>2797</v>
      </c>
      <c r="AE254" s="334">
        <v>12</v>
      </c>
      <c r="AF254" s="334">
        <v>3</v>
      </c>
      <c r="AG254" s="334">
        <v>15</v>
      </c>
    </row>
    <row r="255" spans="1:33" x14ac:dyDescent="0.25">
      <c r="A255" s="329" t="s">
        <v>564</v>
      </c>
      <c r="B255" s="335" t="s">
        <v>565</v>
      </c>
      <c r="C255" s="331">
        <v>14853</v>
      </c>
      <c r="D255" s="331">
        <v>266</v>
      </c>
      <c r="E255" s="331">
        <v>1481</v>
      </c>
      <c r="F255" s="331">
        <v>682</v>
      </c>
      <c r="G255" s="331">
        <v>2941</v>
      </c>
      <c r="H255" s="331">
        <v>20223</v>
      </c>
      <c r="I255" s="330">
        <v>17282</v>
      </c>
      <c r="J255" s="330">
        <v>128</v>
      </c>
      <c r="K255" s="332">
        <v>121.63</v>
      </c>
      <c r="L255" s="332">
        <v>123.38</v>
      </c>
      <c r="M255" s="332">
        <v>12.73</v>
      </c>
      <c r="N255" s="332">
        <v>131.24</v>
      </c>
      <c r="O255" s="333">
        <v>12214</v>
      </c>
      <c r="P255" s="330">
        <v>110.71</v>
      </c>
      <c r="Q255" s="330">
        <v>105.46</v>
      </c>
      <c r="R255" s="330">
        <v>60.49</v>
      </c>
      <c r="S255" s="330">
        <v>162.13999999999999</v>
      </c>
      <c r="T255" s="330">
        <v>1963</v>
      </c>
      <c r="U255" s="330">
        <v>199.29</v>
      </c>
      <c r="V255" s="330">
        <v>1037</v>
      </c>
      <c r="W255" s="330">
        <v>189.3</v>
      </c>
      <c r="X255" s="330">
        <v>25</v>
      </c>
      <c r="Y255" s="330">
        <v>10</v>
      </c>
      <c r="Z255" s="330">
        <v>10</v>
      </c>
      <c r="AA255" s="330">
        <v>28</v>
      </c>
      <c r="AB255" s="330">
        <v>189</v>
      </c>
      <c r="AC255" s="330">
        <v>81</v>
      </c>
      <c r="AD255" s="334">
        <v>13968</v>
      </c>
      <c r="AE255" s="334">
        <v>50</v>
      </c>
      <c r="AF255" s="334">
        <v>128</v>
      </c>
      <c r="AG255" s="334">
        <v>178</v>
      </c>
    </row>
    <row r="256" spans="1:33" x14ac:dyDescent="0.25">
      <c r="A256" s="329" t="s">
        <v>566</v>
      </c>
      <c r="B256" s="335" t="s">
        <v>567</v>
      </c>
      <c r="C256" s="331">
        <v>4911</v>
      </c>
      <c r="D256" s="331">
        <v>0</v>
      </c>
      <c r="E256" s="331">
        <v>138</v>
      </c>
      <c r="F256" s="331">
        <v>338</v>
      </c>
      <c r="G256" s="331">
        <v>417</v>
      </c>
      <c r="H256" s="331">
        <v>5804</v>
      </c>
      <c r="I256" s="330">
        <v>5387</v>
      </c>
      <c r="J256" s="330">
        <v>30</v>
      </c>
      <c r="K256" s="332">
        <v>115.83</v>
      </c>
      <c r="L256" s="332">
        <v>110.25</v>
      </c>
      <c r="M256" s="332">
        <v>5.39</v>
      </c>
      <c r="N256" s="332">
        <v>120.62</v>
      </c>
      <c r="O256" s="333">
        <v>4776</v>
      </c>
      <c r="P256" s="330">
        <v>110.03</v>
      </c>
      <c r="Q256" s="330">
        <v>101.59</v>
      </c>
      <c r="R256" s="330">
        <v>69.09</v>
      </c>
      <c r="S256" s="330">
        <v>178.72</v>
      </c>
      <c r="T256" s="330">
        <v>345</v>
      </c>
      <c r="U256" s="330">
        <v>213.04</v>
      </c>
      <c r="V256" s="330">
        <v>162</v>
      </c>
      <c r="W256" s="330">
        <v>109.82</v>
      </c>
      <c r="X256" s="330">
        <v>3</v>
      </c>
      <c r="Y256" s="330">
        <v>0</v>
      </c>
      <c r="Z256" s="330">
        <v>0</v>
      </c>
      <c r="AA256" s="330">
        <v>1</v>
      </c>
      <c r="AB256" s="330">
        <v>0</v>
      </c>
      <c r="AC256" s="330">
        <v>6</v>
      </c>
      <c r="AD256" s="334">
        <v>4905</v>
      </c>
      <c r="AE256" s="334">
        <v>10</v>
      </c>
      <c r="AF256" s="334">
        <v>11</v>
      </c>
      <c r="AG256" s="334">
        <v>21</v>
      </c>
    </row>
    <row r="257" spans="1:33" x14ac:dyDescent="0.25">
      <c r="A257" s="329" t="s">
        <v>568</v>
      </c>
      <c r="B257" s="335" t="s">
        <v>569</v>
      </c>
      <c r="C257" s="331">
        <v>1991</v>
      </c>
      <c r="D257" s="331">
        <v>81</v>
      </c>
      <c r="E257" s="331">
        <v>284</v>
      </c>
      <c r="F257" s="331">
        <v>178</v>
      </c>
      <c r="G257" s="331">
        <v>218</v>
      </c>
      <c r="H257" s="331">
        <v>2752</v>
      </c>
      <c r="I257" s="330">
        <v>2534</v>
      </c>
      <c r="J257" s="330">
        <v>2</v>
      </c>
      <c r="K257" s="332">
        <v>121.02</v>
      </c>
      <c r="L257" s="332">
        <v>117.36</v>
      </c>
      <c r="M257" s="332">
        <v>7.02</v>
      </c>
      <c r="N257" s="332">
        <v>127.21</v>
      </c>
      <c r="O257" s="333">
        <v>1587</v>
      </c>
      <c r="P257" s="330">
        <v>112.32</v>
      </c>
      <c r="Q257" s="330">
        <v>102.22</v>
      </c>
      <c r="R257" s="330">
        <v>36.409999999999997</v>
      </c>
      <c r="S257" s="330">
        <v>146.96</v>
      </c>
      <c r="T257" s="330">
        <v>389</v>
      </c>
      <c r="U257" s="330">
        <v>184.4</v>
      </c>
      <c r="V257" s="330">
        <v>260</v>
      </c>
      <c r="W257" s="330">
        <v>177.59</v>
      </c>
      <c r="X257" s="330">
        <v>22</v>
      </c>
      <c r="Y257" s="330">
        <v>0</v>
      </c>
      <c r="Z257" s="330">
        <v>0</v>
      </c>
      <c r="AA257" s="330">
        <v>2</v>
      </c>
      <c r="AB257" s="330">
        <v>8</v>
      </c>
      <c r="AC257" s="330">
        <v>10</v>
      </c>
      <c r="AD257" s="334">
        <v>1986</v>
      </c>
      <c r="AE257" s="334">
        <v>16</v>
      </c>
      <c r="AF257" s="334">
        <v>4</v>
      </c>
      <c r="AG257" s="334">
        <v>20</v>
      </c>
    </row>
    <row r="258" spans="1:33" x14ac:dyDescent="0.25">
      <c r="A258" s="329" t="s">
        <v>570</v>
      </c>
      <c r="B258" s="335" t="s">
        <v>571</v>
      </c>
      <c r="C258" s="331">
        <v>14393</v>
      </c>
      <c r="D258" s="331">
        <v>0</v>
      </c>
      <c r="E258" s="331">
        <v>637</v>
      </c>
      <c r="F258" s="331">
        <v>2077</v>
      </c>
      <c r="G258" s="331">
        <v>499</v>
      </c>
      <c r="H258" s="331">
        <v>17606</v>
      </c>
      <c r="I258" s="330">
        <v>17107</v>
      </c>
      <c r="J258" s="330">
        <v>0</v>
      </c>
      <c r="K258" s="332">
        <v>88.05</v>
      </c>
      <c r="L258" s="332">
        <v>87.78</v>
      </c>
      <c r="M258" s="332">
        <v>1.66</v>
      </c>
      <c r="N258" s="332">
        <v>89.55</v>
      </c>
      <c r="O258" s="333">
        <v>13234</v>
      </c>
      <c r="P258" s="330">
        <v>90.99</v>
      </c>
      <c r="Q258" s="330">
        <v>82.26</v>
      </c>
      <c r="R258" s="330">
        <v>41.49</v>
      </c>
      <c r="S258" s="330">
        <v>132.27000000000001</v>
      </c>
      <c r="T258" s="330">
        <v>2536</v>
      </c>
      <c r="U258" s="330">
        <v>99.03</v>
      </c>
      <c r="V258" s="330">
        <v>1087</v>
      </c>
      <c r="W258" s="330">
        <v>106.35</v>
      </c>
      <c r="X258" s="330">
        <v>1</v>
      </c>
      <c r="Y258" s="330">
        <v>0</v>
      </c>
      <c r="Z258" s="330">
        <v>76</v>
      </c>
      <c r="AA258" s="330">
        <v>24</v>
      </c>
      <c r="AB258" s="330">
        <v>27</v>
      </c>
      <c r="AC258" s="330">
        <v>11</v>
      </c>
      <c r="AD258" s="334">
        <v>14348</v>
      </c>
      <c r="AE258" s="334">
        <v>125</v>
      </c>
      <c r="AF258" s="334">
        <v>92</v>
      </c>
      <c r="AG258" s="334">
        <v>217</v>
      </c>
    </row>
    <row r="259" spans="1:33" x14ac:dyDescent="0.25">
      <c r="A259" s="329" t="s">
        <v>572</v>
      </c>
      <c r="B259" s="335" t="s">
        <v>573</v>
      </c>
      <c r="C259" s="331">
        <v>6269</v>
      </c>
      <c r="D259" s="331">
        <v>1</v>
      </c>
      <c r="E259" s="331">
        <v>239</v>
      </c>
      <c r="F259" s="331">
        <v>1673</v>
      </c>
      <c r="G259" s="331">
        <v>396</v>
      </c>
      <c r="H259" s="331">
        <v>8578</v>
      </c>
      <c r="I259" s="330">
        <v>8182</v>
      </c>
      <c r="J259" s="330">
        <v>0</v>
      </c>
      <c r="K259" s="332">
        <v>82.94</v>
      </c>
      <c r="L259" s="332">
        <v>82.52</v>
      </c>
      <c r="M259" s="332">
        <v>4.3899999999999997</v>
      </c>
      <c r="N259" s="332">
        <v>85.51</v>
      </c>
      <c r="O259" s="333">
        <v>5694</v>
      </c>
      <c r="P259" s="330">
        <v>79.72</v>
      </c>
      <c r="Q259" s="330">
        <v>80.95</v>
      </c>
      <c r="R259" s="330">
        <v>19.350000000000001</v>
      </c>
      <c r="S259" s="330">
        <v>98.46</v>
      </c>
      <c r="T259" s="330">
        <v>1775</v>
      </c>
      <c r="U259" s="330">
        <v>100.61</v>
      </c>
      <c r="V259" s="330">
        <v>564</v>
      </c>
      <c r="W259" s="330">
        <v>181.69</v>
      </c>
      <c r="X259" s="330">
        <v>134</v>
      </c>
      <c r="Y259" s="330">
        <v>0</v>
      </c>
      <c r="Z259" s="330">
        <v>16</v>
      </c>
      <c r="AA259" s="330">
        <v>9</v>
      </c>
      <c r="AB259" s="330">
        <v>27</v>
      </c>
      <c r="AC259" s="330">
        <v>10</v>
      </c>
      <c r="AD259" s="334">
        <v>6263</v>
      </c>
      <c r="AE259" s="334">
        <v>17</v>
      </c>
      <c r="AF259" s="334">
        <v>18</v>
      </c>
      <c r="AG259" s="334">
        <v>35</v>
      </c>
    </row>
    <row r="260" spans="1:33" x14ac:dyDescent="0.25">
      <c r="A260" s="329" t="s">
        <v>574</v>
      </c>
      <c r="B260" s="335" t="s">
        <v>575</v>
      </c>
      <c r="C260" s="331">
        <v>2772</v>
      </c>
      <c r="D260" s="331">
        <v>2</v>
      </c>
      <c r="E260" s="331">
        <v>155</v>
      </c>
      <c r="F260" s="331">
        <v>926</v>
      </c>
      <c r="G260" s="331">
        <v>69</v>
      </c>
      <c r="H260" s="331">
        <v>3924</v>
      </c>
      <c r="I260" s="330">
        <v>3855</v>
      </c>
      <c r="J260" s="330">
        <v>61</v>
      </c>
      <c r="K260" s="332">
        <v>85.35</v>
      </c>
      <c r="L260" s="332">
        <v>82.34</v>
      </c>
      <c r="M260" s="332">
        <v>6.79</v>
      </c>
      <c r="N260" s="332">
        <v>87.16</v>
      </c>
      <c r="O260" s="333">
        <v>2460</v>
      </c>
      <c r="P260" s="330">
        <v>84.68</v>
      </c>
      <c r="Q260" s="330">
        <v>76.11</v>
      </c>
      <c r="R260" s="330">
        <v>23.03</v>
      </c>
      <c r="S260" s="330">
        <v>106.8</v>
      </c>
      <c r="T260" s="330">
        <v>986</v>
      </c>
      <c r="U260" s="330">
        <v>96.95</v>
      </c>
      <c r="V260" s="330">
        <v>231</v>
      </c>
      <c r="W260" s="330">
        <v>138.30000000000001</v>
      </c>
      <c r="X260" s="330">
        <v>74</v>
      </c>
      <c r="Y260" s="330">
        <v>0</v>
      </c>
      <c r="Z260" s="330">
        <v>13</v>
      </c>
      <c r="AA260" s="330">
        <v>2</v>
      </c>
      <c r="AB260" s="330">
        <v>0</v>
      </c>
      <c r="AC260" s="330">
        <v>0</v>
      </c>
      <c r="AD260" s="334">
        <v>2589</v>
      </c>
      <c r="AE260" s="334">
        <v>26</v>
      </c>
      <c r="AF260" s="334">
        <v>8</v>
      </c>
      <c r="AG260" s="334">
        <v>34</v>
      </c>
    </row>
    <row r="261" spans="1:33" x14ac:dyDescent="0.25">
      <c r="A261" s="329" t="s">
        <v>576</v>
      </c>
      <c r="B261" s="335" t="s">
        <v>577</v>
      </c>
      <c r="C261" s="331">
        <v>1712</v>
      </c>
      <c r="D261" s="331">
        <v>3</v>
      </c>
      <c r="E261" s="331">
        <v>164</v>
      </c>
      <c r="F261" s="331">
        <v>312</v>
      </c>
      <c r="G261" s="331">
        <v>412</v>
      </c>
      <c r="H261" s="331">
        <v>2603</v>
      </c>
      <c r="I261" s="330">
        <v>2191</v>
      </c>
      <c r="J261" s="330">
        <v>3</v>
      </c>
      <c r="K261" s="332">
        <v>112.62</v>
      </c>
      <c r="L261" s="332">
        <v>110.5</v>
      </c>
      <c r="M261" s="332">
        <v>6.46</v>
      </c>
      <c r="N261" s="332">
        <v>118.64</v>
      </c>
      <c r="O261" s="333">
        <v>1415</v>
      </c>
      <c r="P261" s="330">
        <v>103.36</v>
      </c>
      <c r="Q261" s="330">
        <v>89.38</v>
      </c>
      <c r="R261" s="330">
        <v>34.950000000000003</v>
      </c>
      <c r="S261" s="330">
        <v>137.69999999999999</v>
      </c>
      <c r="T261" s="330">
        <v>401</v>
      </c>
      <c r="U261" s="330">
        <v>137.72999999999999</v>
      </c>
      <c r="V261" s="330">
        <v>151</v>
      </c>
      <c r="W261" s="330">
        <v>0</v>
      </c>
      <c r="X261" s="330">
        <v>0</v>
      </c>
      <c r="Y261" s="330">
        <v>0</v>
      </c>
      <c r="Z261" s="330">
        <v>1</v>
      </c>
      <c r="AA261" s="330">
        <v>0</v>
      </c>
      <c r="AB261" s="330">
        <v>1</v>
      </c>
      <c r="AC261" s="330">
        <v>10</v>
      </c>
      <c r="AD261" s="334">
        <v>1585</v>
      </c>
      <c r="AE261" s="334">
        <v>10</v>
      </c>
      <c r="AF261" s="334">
        <v>1</v>
      </c>
      <c r="AG261" s="334">
        <v>11</v>
      </c>
    </row>
    <row r="262" spans="1:33" x14ac:dyDescent="0.25">
      <c r="A262" s="329" t="s">
        <v>578</v>
      </c>
      <c r="B262" s="335" t="s">
        <v>579</v>
      </c>
      <c r="C262" s="331">
        <v>4536</v>
      </c>
      <c r="D262" s="331">
        <v>4</v>
      </c>
      <c r="E262" s="331">
        <v>427</v>
      </c>
      <c r="F262" s="331">
        <v>1350</v>
      </c>
      <c r="G262" s="331">
        <v>960</v>
      </c>
      <c r="H262" s="331">
        <v>7277</v>
      </c>
      <c r="I262" s="330">
        <v>6317</v>
      </c>
      <c r="J262" s="330">
        <v>65</v>
      </c>
      <c r="K262" s="332">
        <v>82.97</v>
      </c>
      <c r="L262" s="332">
        <v>81.739999999999995</v>
      </c>
      <c r="M262" s="332">
        <v>7.82</v>
      </c>
      <c r="N262" s="332">
        <v>87.32</v>
      </c>
      <c r="O262" s="333">
        <v>3804</v>
      </c>
      <c r="P262" s="330">
        <v>83.52</v>
      </c>
      <c r="Q262" s="330">
        <v>76.900000000000006</v>
      </c>
      <c r="R262" s="330">
        <v>27.86</v>
      </c>
      <c r="S262" s="330">
        <v>110.42</v>
      </c>
      <c r="T262" s="330">
        <v>1657</v>
      </c>
      <c r="U262" s="330">
        <v>109.63</v>
      </c>
      <c r="V262" s="330">
        <v>559</v>
      </c>
      <c r="W262" s="330">
        <v>143.97</v>
      </c>
      <c r="X262" s="330">
        <v>57</v>
      </c>
      <c r="Y262" s="330">
        <v>0</v>
      </c>
      <c r="Z262" s="330">
        <v>10</v>
      </c>
      <c r="AA262" s="330">
        <v>4</v>
      </c>
      <c r="AB262" s="330">
        <v>16</v>
      </c>
      <c r="AC262" s="330">
        <v>8</v>
      </c>
      <c r="AD262" s="334">
        <v>4185</v>
      </c>
      <c r="AE262" s="334">
        <v>17</v>
      </c>
      <c r="AF262" s="334">
        <v>21</v>
      </c>
      <c r="AG262" s="334">
        <v>38</v>
      </c>
    </row>
    <row r="263" spans="1:33" x14ac:dyDescent="0.25">
      <c r="A263" s="329" t="s">
        <v>580</v>
      </c>
      <c r="B263" s="335" t="s">
        <v>581</v>
      </c>
      <c r="C263" s="331">
        <v>12816</v>
      </c>
      <c r="D263" s="331">
        <v>4</v>
      </c>
      <c r="E263" s="331">
        <v>467</v>
      </c>
      <c r="F263" s="331">
        <v>658</v>
      </c>
      <c r="G263" s="331">
        <v>242</v>
      </c>
      <c r="H263" s="331">
        <v>14187</v>
      </c>
      <c r="I263" s="330">
        <v>13945</v>
      </c>
      <c r="J263" s="330">
        <v>2</v>
      </c>
      <c r="K263" s="332">
        <v>80.59</v>
      </c>
      <c r="L263" s="332">
        <v>80.73</v>
      </c>
      <c r="M263" s="332">
        <v>11.4</v>
      </c>
      <c r="N263" s="332">
        <v>83.74</v>
      </c>
      <c r="O263" s="333">
        <v>10998</v>
      </c>
      <c r="P263" s="330">
        <v>85.19</v>
      </c>
      <c r="Q263" s="330">
        <v>78.8</v>
      </c>
      <c r="R263" s="330">
        <v>47.31</v>
      </c>
      <c r="S263" s="330">
        <v>132.22999999999999</v>
      </c>
      <c r="T263" s="330">
        <v>1045</v>
      </c>
      <c r="U263" s="330">
        <v>97.63</v>
      </c>
      <c r="V263" s="330">
        <v>1714</v>
      </c>
      <c r="W263" s="330">
        <v>166.33</v>
      </c>
      <c r="X263" s="330">
        <v>58</v>
      </c>
      <c r="Y263" s="330">
        <v>20</v>
      </c>
      <c r="Z263" s="330">
        <v>58</v>
      </c>
      <c r="AA263" s="330">
        <v>0</v>
      </c>
      <c r="AB263" s="330">
        <v>4</v>
      </c>
      <c r="AC263" s="330">
        <v>6</v>
      </c>
      <c r="AD263" s="334">
        <v>12742</v>
      </c>
      <c r="AE263" s="334">
        <v>84</v>
      </c>
      <c r="AF263" s="334">
        <v>194</v>
      </c>
      <c r="AG263" s="334">
        <v>278</v>
      </c>
    </row>
    <row r="264" spans="1:33" x14ac:dyDescent="0.25">
      <c r="A264" s="329" t="s">
        <v>582</v>
      </c>
      <c r="B264" s="335" t="s">
        <v>583</v>
      </c>
      <c r="C264" s="331">
        <v>5971</v>
      </c>
      <c r="D264" s="331">
        <v>14</v>
      </c>
      <c r="E264" s="331">
        <v>755</v>
      </c>
      <c r="F264" s="331">
        <v>1501</v>
      </c>
      <c r="G264" s="331">
        <v>244</v>
      </c>
      <c r="H264" s="331">
        <v>8485</v>
      </c>
      <c r="I264" s="330">
        <v>8241</v>
      </c>
      <c r="J264" s="330">
        <v>11</v>
      </c>
      <c r="K264" s="332">
        <v>76.010000000000005</v>
      </c>
      <c r="L264" s="332">
        <v>75.12</v>
      </c>
      <c r="M264" s="332">
        <v>4.57</v>
      </c>
      <c r="N264" s="332">
        <v>79.03</v>
      </c>
      <c r="O264" s="333">
        <v>4879</v>
      </c>
      <c r="P264" s="330">
        <v>95.39</v>
      </c>
      <c r="Q264" s="330">
        <v>87.64</v>
      </c>
      <c r="R264" s="330">
        <v>54.25</v>
      </c>
      <c r="S264" s="330">
        <v>148.21</v>
      </c>
      <c r="T264" s="330">
        <v>1790</v>
      </c>
      <c r="U264" s="330">
        <v>91.78</v>
      </c>
      <c r="V264" s="330">
        <v>534</v>
      </c>
      <c r="W264" s="330">
        <v>213.12</v>
      </c>
      <c r="X264" s="330">
        <v>126</v>
      </c>
      <c r="Y264" s="330">
        <v>0</v>
      </c>
      <c r="Z264" s="330">
        <v>4</v>
      </c>
      <c r="AA264" s="330">
        <v>21</v>
      </c>
      <c r="AB264" s="330">
        <v>0</v>
      </c>
      <c r="AC264" s="330">
        <v>11</v>
      </c>
      <c r="AD264" s="334">
        <v>5385</v>
      </c>
      <c r="AE264" s="334">
        <v>40</v>
      </c>
      <c r="AF264" s="334">
        <v>36</v>
      </c>
      <c r="AG264" s="334">
        <v>76</v>
      </c>
    </row>
    <row r="265" spans="1:33" x14ac:dyDescent="0.25">
      <c r="A265" s="329" t="s">
        <v>584</v>
      </c>
      <c r="B265" s="335" t="s">
        <v>585</v>
      </c>
      <c r="C265" s="331">
        <v>6882</v>
      </c>
      <c r="D265" s="331">
        <v>2</v>
      </c>
      <c r="E265" s="331">
        <v>93</v>
      </c>
      <c r="F265" s="331">
        <v>721</v>
      </c>
      <c r="G265" s="331">
        <v>757</v>
      </c>
      <c r="H265" s="331">
        <v>8455</v>
      </c>
      <c r="I265" s="330">
        <v>7698</v>
      </c>
      <c r="J265" s="330">
        <v>30</v>
      </c>
      <c r="K265" s="332">
        <v>104.44</v>
      </c>
      <c r="L265" s="332">
        <v>104.77</v>
      </c>
      <c r="M265" s="332">
        <v>5.72</v>
      </c>
      <c r="N265" s="332">
        <v>107.02</v>
      </c>
      <c r="O265" s="333">
        <v>6264</v>
      </c>
      <c r="P265" s="330">
        <v>88.47</v>
      </c>
      <c r="Q265" s="330">
        <v>96.24</v>
      </c>
      <c r="R265" s="330">
        <v>30.15</v>
      </c>
      <c r="S265" s="330">
        <v>118.35</v>
      </c>
      <c r="T265" s="330">
        <v>673</v>
      </c>
      <c r="U265" s="330">
        <v>134.79</v>
      </c>
      <c r="V265" s="330">
        <v>274</v>
      </c>
      <c r="W265" s="330">
        <v>170.96</v>
      </c>
      <c r="X265" s="330">
        <v>50</v>
      </c>
      <c r="Y265" s="330">
        <v>12</v>
      </c>
      <c r="Z265" s="330">
        <v>9</v>
      </c>
      <c r="AA265" s="330">
        <v>60</v>
      </c>
      <c r="AB265" s="330">
        <v>76</v>
      </c>
      <c r="AC265" s="330">
        <v>13</v>
      </c>
      <c r="AD265" s="334">
        <v>6486</v>
      </c>
      <c r="AE265" s="334">
        <v>27</v>
      </c>
      <c r="AF265" s="334">
        <v>98</v>
      </c>
      <c r="AG265" s="334">
        <v>125</v>
      </c>
    </row>
    <row r="266" spans="1:33" x14ac:dyDescent="0.25">
      <c r="A266" s="329" t="s">
        <v>586</v>
      </c>
      <c r="B266" s="335" t="s">
        <v>587</v>
      </c>
      <c r="C266" s="331">
        <v>1469</v>
      </c>
      <c r="D266" s="331">
        <v>0</v>
      </c>
      <c r="E266" s="331">
        <v>158</v>
      </c>
      <c r="F266" s="331">
        <v>138</v>
      </c>
      <c r="G266" s="331">
        <v>352</v>
      </c>
      <c r="H266" s="331">
        <v>2117</v>
      </c>
      <c r="I266" s="330">
        <v>1765</v>
      </c>
      <c r="J266" s="330">
        <v>0</v>
      </c>
      <c r="K266" s="332">
        <v>97.87</v>
      </c>
      <c r="L266" s="332">
        <v>95.44</v>
      </c>
      <c r="M266" s="332">
        <v>4.99</v>
      </c>
      <c r="N266" s="332">
        <v>101.92</v>
      </c>
      <c r="O266" s="333">
        <v>1021</v>
      </c>
      <c r="P266" s="330">
        <v>110.37</v>
      </c>
      <c r="Q266" s="330">
        <v>79.98</v>
      </c>
      <c r="R266" s="330">
        <v>40.08</v>
      </c>
      <c r="S266" s="330">
        <v>148.59</v>
      </c>
      <c r="T266" s="330">
        <v>258</v>
      </c>
      <c r="U266" s="330">
        <v>118.76</v>
      </c>
      <c r="V266" s="330">
        <v>362</v>
      </c>
      <c r="W266" s="330">
        <v>0</v>
      </c>
      <c r="X266" s="330">
        <v>0</v>
      </c>
      <c r="Y266" s="330">
        <v>23</v>
      </c>
      <c r="Z266" s="330">
        <v>0</v>
      </c>
      <c r="AA266" s="330">
        <v>0</v>
      </c>
      <c r="AB266" s="330">
        <v>5</v>
      </c>
      <c r="AC266" s="330">
        <v>5</v>
      </c>
      <c r="AD266" s="334">
        <v>1397</v>
      </c>
      <c r="AE266" s="334">
        <v>4</v>
      </c>
      <c r="AF266" s="334">
        <v>7</v>
      </c>
      <c r="AG266" s="334">
        <v>11</v>
      </c>
    </row>
    <row r="267" spans="1:33" x14ac:dyDescent="0.25">
      <c r="A267" s="329" t="s">
        <v>588</v>
      </c>
      <c r="B267" s="335" t="s">
        <v>589</v>
      </c>
      <c r="C267" s="331">
        <v>31640</v>
      </c>
      <c r="D267" s="331">
        <v>14</v>
      </c>
      <c r="E267" s="331">
        <v>591</v>
      </c>
      <c r="F267" s="331">
        <v>2061</v>
      </c>
      <c r="G267" s="331">
        <v>281</v>
      </c>
      <c r="H267" s="331">
        <v>34587</v>
      </c>
      <c r="I267" s="330">
        <v>34306</v>
      </c>
      <c r="J267" s="330">
        <v>12</v>
      </c>
      <c r="K267" s="332">
        <v>78.84</v>
      </c>
      <c r="L267" s="332">
        <v>78.48</v>
      </c>
      <c r="M267" s="332">
        <v>6.94</v>
      </c>
      <c r="N267" s="332">
        <v>80.17</v>
      </c>
      <c r="O267" s="333">
        <v>29341</v>
      </c>
      <c r="P267" s="330">
        <v>83.55</v>
      </c>
      <c r="Q267" s="330">
        <v>75.680000000000007</v>
      </c>
      <c r="R267" s="330">
        <v>37.630000000000003</v>
      </c>
      <c r="S267" s="330">
        <v>120.14</v>
      </c>
      <c r="T267" s="330">
        <v>1985</v>
      </c>
      <c r="U267" s="330">
        <v>97.8</v>
      </c>
      <c r="V267" s="330">
        <v>1945</v>
      </c>
      <c r="W267" s="330">
        <v>186.79</v>
      </c>
      <c r="X267" s="330">
        <v>528</v>
      </c>
      <c r="Y267" s="330">
        <v>0</v>
      </c>
      <c r="Z267" s="330">
        <v>189</v>
      </c>
      <c r="AA267" s="330">
        <v>0</v>
      </c>
      <c r="AB267" s="330">
        <v>16</v>
      </c>
      <c r="AC267" s="330">
        <v>9</v>
      </c>
      <c r="AD267" s="334">
        <v>31338</v>
      </c>
      <c r="AE267" s="334">
        <v>309</v>
      </c>
      <c r="AF267" s="334">
        <v>55</v>
      </c>
      <c r="AG267" s="334">
        <v>364</v>
      </c>
    </row>
    <row r="268" spans="1:33" x14ac:dyDescent="0.25">
      <c r="A268" s="329" t="s">
        <v>590</v>
      </c>
      <c r="B268" s="335" t="s">
        <v>591</v>
      </c>
      <c r="C268" s="331">
        <v>3049</v>
      </c>
      <c r="D268" s="331">
        <v>1</v>
      </c>
      <c r="E268" s="331">
        <v>134</v>
      </c>
      <c r="F268" s="331">
        <v>307</v>
      </c>
      <c r="G268" s="331">
        <v>277</v>
      </c>
      <c r="H268" s="331">
        <v>3768</v>
      </c>
      <c r="I268" s="330">
        <v>3491</v>
      </c>
      <c r="J268" s="330">
        <v>54</v>
      </c>
      <c r="K268" s="332">
        <v>111.25</v>
      </c>
      <c r="L268" s="332">
        <v>108.01</v>
      </c>
      <c r="M268" s="332">
        <v>5.89</v>
      </c>
      <c r="N268" s="332">
        <v>114.44</v>
      </c>
      <c r="O268" s="333">
        <v>2978</v>
      </c>
      <c r="P268" s="330">
        <v>110.06</v>
      </c>
      <c r="Q268" s="330">
        <v>87.79</v>
      </c>
      <c r="R268" s="330">
        <v>30.34</v>
      </c>
      <c r="S268" s="330">
        <v>139.74</v>
      </c>
      <c r="T268" s="330">
        <v>410</v>
      </c>
      <c r="U268" s="330">
        <v>219.22</v>
      </c>
      <c r="V268" s="330">
        <v>68</v>
      </c>
      <c r="W268" s="330">
        <v>0</v>
      </c>
      <c r="X268" s="330">
        <v>0</v>
      </c>
      <c r="Y268" s="330">
        <v>6</v>
      </c>
      <c r="Z268" s="330">
        <v>0</v>
      </c>
      <c r="AA268" s="330">
        <v>1</v>
      </c>
      <c r="AB268" s="330">
        <v>24</v>
      </c>
      <c r="AC268" s="330">
        <v>2</v>
      </c>
      <c r="AD268" s="334">
        <v>3049</v>
      </c>
      <c r="AE268" s="334">
        <v>15</v>
      </c>
      <c r="AF268" s="334">
        <v>7</v>
      </c>
      <c r="AG268" s="334">
        <v>22</v>
      </c>
    </row>
    <row r="269" spans="1:33" x14ac:dyDescent="0.25">
      <c r="A269" s="329" t="s">
        <v>592</v>
      </c>
      <c r="B269" s="335" t="s">
        <v>593</v>
      </c>
      <c r="C269" s="331">
        <v>4612</v>
      </c>
      <c r="D269" s="331">
        <v>8</v>
      </c>
      <c r="E269" s="331">
        <v>385</v>
      </c>
      <c r="F269" s="331">
        <v>952</v>
      </c>
      <c r="G269" s="331">
        <v>767</v>
      </c>
      <c r="H269" s="331">
        <v>6724</v>
      </c>
      <c r="I269" s="330">
        <v>5957</v>
      </c>
      <c r="J269" s="330">
        <v>8</v>
      </c>
      <c r="K269" s="332">
        <v>117.09</v>
      </c>
      <c r="L269" s="332">
        <v>116.35</v>
      </c>
      <c r="M269" s="332">
        <v>8.3800000000000008</v>
      </c>
      <c r="N269" s="332">
        <v>124.84</v>
      </c>
      <c r="O269" s="333">
        <v>4077</v>
      </c>
      <c r="P269" s="330">
        <v>122.13</v>
      </c>
      <c r="Q269" s="330">
        <v>104.22</v>
      </c>
      <c r="R269" s="330">
        <v>41.54</v>
      </c>
      <c r="S269" s="330">
        <v>157.46</v>
      </c>
      <c r="T269" s="330">
        <v>822</v>
      </c>
      <c r="U269" s="330">
        <v>179.23</v>
      </c>
      <c r="V269" s="330">
        <v>339</v>
      </c>
      <c r="W269" s="330">
        <v>210.86</v>
      </c>
      <c r="X269" s="330">
        <v>93</v>
      </c>
      <c r="Y269" s="330">
        <v>0</v>
      </c>
      <c r="Z269" s="330">
        <v>0</v>
      </c>
      <c r="AA269" s="330">
        <v>2</v>
      </c>
      <c r="AB269" s="330">
        <v>53</v>
      </c>
      <c r="AC269" s="330">
        <v>17</v>
      </c>
      <c r="AD269" s="334">
        <v>4450</v>
      </c>
      <c r="AE269" s="334">
        <v>6</v>
      </c>
      <c r="AF269" s="334">
        <v>10</v>
      </c>
      <c r="AG269" s="334">
        <v>16</v>
      </c>
    </row>
    <row r="270" spans="1:33" x14ac:dyDescent="0.25">
      <c r="A270" s="329" t="s">
        <v>594</v>
      </c>
      <c r="B270" s="335" t="s">
        <v>595</v>
      </c>
      <c r="C270" s="331">
        <v>7683</v>
      </c>
      <c r="D270" s="331">
        <v>0</v>
      </c>
      <c r="E270" s="331">
        <v>237</v>
      </c>
      <c r="F270" s="331">
        <v>437</v>
      </c>
      <c r="G270" s="331">
        <v>671</v>
      </c>
      <c r="H270" s="331">
        <v>9028</v>
      </c>
      <c r="I270" s="330">
        <v>8357</v>
      </c>
      <c r="J270" s="330">
        <v>4</v>
      </c>
      <c r="K270" s="332">
        <v>97.47</v>
      </c>
      <c r="L270" s="332">
        <v>96.72</v>
      </c>
      <c r="M270" s="332">
        <v>5.86</v>
      </c>
      <c r="N270" s="332">
        <v>100.14</v>
      </c>
      <c r="O270" s="333">
        <v>6523</v>
      </c>
      <c r="P270" s="330">
        <v>92.59</v>
      </c>
      <c r="Q270" s="330">
        <v>83.09</v>
      </c>
      <c r="R270" s="330">
        <v>46.28</v>
      </c>
      <c r="S270" s="330">
        <v>138.79</v>
      </c>
      <c r="T270" s="330">
        <v>605</v>
      </c>
      <c r="U270" s="330">
        <v>127.15</v>
      </c>
      <c r="V270" s="330">
        <v>1043</v>
      </c>
      <c r="W270" s="330">
        <v>0</v>
      </c>
      <c r="X270" s="330">
        <v>0</v>
      </c>
      <c r="Y270" s="330">
        <v>0</v>
      </c>
      <c r="Z270" s="330">
        <v>1</v>
      </c>
      <c r="AA270" s="330">
        <v>2</v>
      </c>
      <c r="AB270" s="330">
        <v>45</v>
      </c>
      <c r="AC270" s="330">
        <v>17</v>
      </c>
      <c r="AD270" s="334">
        <v>7594</v>
      </c>
      <c r="AE270" s="334">
        <v>22</v>
      </c>
      <c r="AF270" s="334">
        <v>35</v>
      </c>
      <c r="AG270" s="334">
        <v>57</v>
      </c>
    </row>
    <row r="271" spans="1:33" x14ac:dyDescent="0.25">
      <c r="A271" s="329" t="s">
        <v>596</v>
      </c>
      <c r="B271" s="335" t="s">
        <v>597</v>
      </c>
      <c r="C271" s="331">
        <v>4010</v>
      </c>
      <c r="D271" s="331">
        <v>12</v>
      </c>
      <c r="E271" s="331">
        <v>507</v>
      </c>
      <c r="F271" s="331">
        <v>804</v>
      </c>
      <c r="G271" s="331">
        <v>1051</v>
      </c>
      <c r="H271" s="331">
        <v>6384</v>
      </c>
      <c r="I271" s="330">
        <v>5333</v>
      </c>
      <c r="J271" s="330">
        <v>0</v>
      </c>
      <c r="K271" s="332">
        <v>95.92</v>
      </c>
      <c r="L271" s="332">
        <v>94.58</v>
      </c>
      <c r="M271" s="332">
        <v>7.45</v>
      </c>
      <c r="N271" s="332">
        <v>101.83</v>
      </c>
      <c r="O271" s="333">
        <v>3153</v>
      </c>
      <c r="P271" s="330">
        <v>83.83</v>
      </c>
      <c r="Q271" s="330">
        <v>81.12</v>
      </c>
      <c r="R271" s="330">
        <v>48.68</v>
      </c>
      <c r="S271" s="330">
        <v>129.91999999999999</v>
      </c>
      <c r="T271" s="330">
        <v>1183</v>
      </c>
      <c r="U271" s="330">
        <v>128.52000000000001</v>
      </c>
      <c r="V271" s="330">
        <v>614</v>
      </c>
      <c r="W271" s="330">
        <v>162.49</v>
      </c>
      <c r="X271" s="330">
        <v>79</v>
      </c>
      <c r="Y271" s="330">
        <v>57</v>
      </c>
      <c r="Z271" s="330">
        <v>1</v>
      </c>
      <c r="AA271" s="330">
        <v>1</v>
      </c>
      <c r="AB271" s="330">
        <v>15</v>
      </c>
      <c r="AC271" s="330">
        <v>31</v>
      </c>
      <c r="AD271" s="334">
        <v>3893</v>
      </c>
      <c r="AE271" s="334">
        <v>22</v>
      </c>
      <c r="AF271" s="334">
        <v>8</v>
      </c>
      <c r="AG271" s="334">
        <v>30</v>
      </c>
    </row>
    <row r="272" spans="1:33" x14ac:dyDescent="0.25">
      <c r="A272" s="329" t="s">
        <v>598</v>
      </c>
      <c r="B272" s="335" t="s">
        <v>599</v>
      </c>
      <c r="C272" s="331">
        <v>20145</v>
      </c>
      <c r="D272" s="331">
        <v>2</v>
      </c>
      <c r="E272" s="331">
        <v>556</v>
      </c>
      <c r="F272" s="331">
        <v>1518</v>
      </c>
      <c r="G272" s="331">
        <v>71</v>
      </c>
      <c r="H272" s="331">
        <v>22292</v>
      </c>
      <c r="I272" s="330">
        <v>22221</v>
      </c>
      <c r="J272" s="330">
        <v>30</v>
      </c>
      <c r="K272" s="332">
        <v>81.400000000000006</v>
      </c>
      <c r="L272" s="332">
        <v>78.569999999999993</v>
      </c>
      <c r="M272" s="332">
        <v>3.58</v>
      </c>
      <c r="N272" s="332">
        <v>84.66</v>
      </c>
      <c r="O272" s="333">
        <v>16748</v>
      </c>
      <c r="P272" s="330">
        <v>80.400000000000006</v>
      </c>
      <c r="Q272" s="330">
        <v>72.5</v>
      </c>
      <c r="R272" s="330">
        <v>33.78</v>
      </c>
      <c r="S272" s="330">
        <v>113.33</v>
      </c>
      <c r="T272" s="330">
        <v>1940</v>
      </c>
      <c r="U272" s="330">
        <v>103.72</v>
      </c>
      <c r="V272" s="330">
        <v>2368</v>
      </c>
      <c r="W272" s="330">
        <v>105.46</v>
      </c>
      <c r="X272" s="330">
        <v>19</v>
      </c>
      <c r="Y272" s="330">
        <v>0</v>
      </c>
      <c r="Z272" s="330">
        <v>46</v>
      </c>
      <c r="AA272" s="330">
        <v>0</v>
      </c>
      <c r="AB272" s="330">
        <v>1</v>
      </c>
      <c r="AC272" s="330">
        <v>4</v>
      </c>
      <c r="AD272" s="334">
        <v>19157</v>
      </c>
      <c r="AE272" s="334">
        <v>147</v>
      </c>
      <c r="AF272" s="334">
        <v>29</v>
      </c>
      <c r="AG272" s="334">
        <v>176</v>
      </c>
    </row>
    <row r="273" spans="1:33" x14ac:dyDescent="0.25">
      <c r="A273" s="329" t="s">
        <v>600</v>
      </c>
      <c r="B273" s="335" t="s">
        <v>601</v>
      </c>
      <c r="C273" s="331">
        <v>1501</v>
      </c>
      <c r="D273" s="331">
        <v>0</v>
      </c>
      <c r="E273" s="331">
        <v>123</v>
      </c>
      <c r="F273" s="331">
        <v>109</v>
      </c>
      <c r="G273" s="331">
        <v>166</v>
      </c>
      <c r="H273" s="331">
        <v>1899</v>
      </c>
      <c r="I273" s="330">
        <v>1733</v>
      </c>
      <c r="J273" s="330">
        <v>0</v>
      </c>
      <c r="K273" s="332">
        <v>87.96</v>
      </c>
      <c r="L273" s="332">
        <v>85.25</v>
      </c>
      <c r="M273" s="332">
        <v>5.01</v>
      </c>
      <c r="N273" s="332">
        <v>92.03</v>
      </c>
      <c r="O273" s="333">
        <v>1247</v>
      </c>
      <c r="P273" s="330">
        <v>82.44</v>
      </c>
      <c r="Q273" s="330">
        <v>80.3</v>
      </c>
      <c r="R273" s="330">
        <v>30.61</v>
      </c>
      <c r="S273" s="330">
        <v>113.05</v>
      </c>
      <c r="T273" s="330">
        <v>194</v>
      </c>
      <c r="U273" s="330">
        <v>107.31</v>
      </c>
      <c r="V273" s="330">
        <v>240</v>
      </c>
      <c r="W273" s="330">
        <v>0</v>
      </c>
      <c r="X273" s="330">
        <v>0</v>
      </c>
      <c r="Y273" s="330">
        <v>9</v>
      </c>
      <c r="Z273" s="330">
        <v>0</v>
      </c>
      <c r="AA273" s="330">
        <v>3</v>
      </c>
      <c r="AB273" s="330">
        <v>30</v>
      </c>
      <c r="AC273" s="330">
        <v>5</v>
      </c>
      <c r="AD273" s="334">
        <v>1486</v>
      </c>
      <c r="AE273" s="334">
        <v>18</v>
      </c>
      <c r="AF273" s="334">
        <v>0</v>
      </c>
      <c r="AG273" s="334">
        <v>18</v>
      </c>
    </row>
    <row r="274" spans="1:33" x14ac:dyDescent="0.25">
      <c r="A274" s="329" t="s">
        <v>602</v>
      </c>
      <c r="B274" s="335" t="s">
        <v>603</v>
      </c>
      <c r="C274" s="331">
        <v>1099</v>
      </c>
      <c r="D274" s="331">
        <v>0</v>
      </c>
      <c r="E274" s="331">
        <v>115</v>
      </c>
      <c r="F274" s="331">
        <v>99</v>
      </c>
      <c r="G274" s="331">
        <v>262</v>
      </c>
      <c r="H274" s="331">
        <v>1575</v>
      </c>
      <c r="I274" s="330">
        <v>1313</v>
      </c>
      <c r="J274" s="330">
        <v>0</v>
      </c>
      <c r="K274" s="332">
        <v>123.91</v>
      </c>
      <c r="L274" s="332">
        <v>120.76</v>
      </c>
      <c r="M274" s="332">
        <v>8.2100000000000009</v>
      </c>
      <c r="N274" s="332">
        <v>131.63999999999999</v>
      </c>
      <c r="O274" s="333">
        <v>707</v>
      </c>
      <c r="P274" s="330">
        <v>134.6</v>
      </c>
      <c r="Q274" s="330">
        <v>99.09</v>
      </c>
      <c r="R274" s="330">
        <v>58.97</v>
      </c>
      <c r="S274" s="330">
        <v>193.57</v>
      </c>
      <c r="T274" s="330">
        <v>86</v>
      </c>
      <c r="U274" s="330">
        <v>178.93</v>
      </c>
      <c r="V274" s="330">
        <v>335</v>
      </c>
      <c r="W274" s="330">
        <v>111.05</v>
      </c>
      <c r="X274" s="330">
        <v>7</v>
      </c>
      <c r="Y274" s="330">
        <v>0</v>
      </c>
      <c r="Z274" s="330">
        <v>0</v>
      </c>
      <c r="AA274" s="330">
        <v>0</v>
      </c>
      <c r="AB274" s="330">
        <v>19</v>
      </c>
      <c r="AC274" s="330">
        <v>1</v>
      </c>
      <c r="AD274" s="334">
        <v>1076</v>
      </c>
      <c r="AE274" s="334">
        <v>4</v>
      </c>
      <c r="AF274" s="334">
        <v>1</v>
      </c>
      <c r="AG274" s="334">
        <v>5</v>
      </c>
    </row>
    <row r="275" spans="1:33" x14ac:dyDescent="0.25">
      <c r="A275" s="329" t="s">
        <v>604</v>
      </c>
      <c r="B275" s="335" t="s">
        <v>605</v>
      </c>
      <c r="C275" s="331">
        <v>4176</v>
      </c>
      <c r="D275" s="331">
        <v>0</v>
      </c>
      <c r="E275" s="331">
        <v>188</v>
      </c>
      <c r="F275" s="331">
        <v>1374</v>
      </c>
      <c r="G275" s="331">
        <v>594</v>
      </c>
      <c r="H275" s="331">
        <v>6332</v>
      </c>
      <c r="I275" s="330">
        <v>5738</v>
      </c>
      <c r="J275" s="330">
        <v>0</v>
      </c>
      <c r="K275" s="332">
        <v>85.86</v>
      </c>
      <c r="L275" s="332">
        <v>85.14</v>
      </c>
      <c r="M275" s="332">
        <v>3.55</v>
      </c>
      <c r="N275" s="332">
        <v>89.26</v>
      </c>
      <c r="O275" s="333">
        <v>3396</v>
      </c>
      <c r="P275" s="330">
        <v>81.93</v>
      </c>
      <c r="Q275" s="330">
        <v>79.14</v>
      </c>
      <c r="R275" s="330">
        <v>14.24</v>
      </c>
      <c r="S275" s="330">
        <v>95.98</v>
      </c>
      <c r="T275" s="330">
        <v>1261</v>
      </c>
      <c r="U275" s="330">
        <v>126.59</v>
      </c>
      <c r="V275" s="330">
        <v>702</v>
      </c>
      <c r="W275" s="330">
        <v>97.35</v>
      </c>
      <c r="X275" s="330">
        <v>11</v>
      </c>
      <c r="Y275" s="330">
        <v>0</v>
      </c>
      <c r="Z275" s="330">
        <v>12</v>
      </c>
      <c r="AA275" s="330">
        <v>4</v>
      </c>
      <c r="AB275" s="330">
        <v>19</v>
      </c>
      <c r="AC275" s="330">
        <v>13</v>
      </c>
      <c r="AD275" s="334">
        <v>4149</v>
      </c>
      <c r="AE275" s="334">
        <v>16</v>
      </c>
      <c r="AF275" s="334">
        <v>16</v>
      </c>
      <c r="AG275" s="334">
        <v>32</v>
      </c>
    </row>
    <row r="276" spans="1:33" x14ac:dyDescent="0.25">
      <c r="A276" s="329" t="s">
        <v>606</v>
      </c>
      <c r="B276" s="335" t="s">
        <v>607</v>
      </c>
      <c r="C276" s="331">
        <v>11230</v>
      </c>
      <c r="D276" s="331">
        <v>0</v>
      </c>
      <c r="E276" s="331">
        <v>383</v>
      </c>
      <c r="F276" s="331">
        <v>1884</v>
      </c>
      <c r="G276" s="331">
        <v>462</v>
      </c>
      <c r="H276" s="331">
        <v>13959</v>
      </c>
      <c r="I276" s="330">
        <v>13497</v>
      </c>
      <c r="J276" s="330">
        <v>24</v>
      </c>
      <c r="K276" s="332">
        <v>88.74</v>
      </c>
      <c r="L276" s="332">
        <v>88.32</v>
      </c>
      <c r="M276" s="332">
        <v>6.09</v>
      </c>
      <c r="N276" s="332">
        <v>91.14</v>
      </c>
      <c r="O276" s="333">
        <v>9891</v>
      </c>
      <c r="P276" s="330">
        <v>87.08</v>
      </c>
      <c r="Q276" s="330">
        <v>84.82</v>
      </c>
      <c r="R276" s="330">
        <v>39.299999999999997</v>
      </c>
      <c r="S276" s="330">
        <v>125.84</v>
      </c>
      <c r="T276" s="330">
        <v>1932</v>
      </c>
      <c r="U276" s="330">
        <v>111.98</v>
      </c>
      <c r="V276" s="330">
        <v>1045</v>
      </c>
      <c r="W276" s="330">
        <v>208.09</v>
      </c>
      <c r="X276" s="330">
        <v>242</v>
      </c>
      <c r="Y276" s="330">
        <v>0</v>
      </c>
      <c r="Z276" s="330">
        <v>47</v>
      </c>
      <c r="AA276" s="330">
        <v>106</v>
      </c>
      <c r="AB276" s="330">
        <v>5</v>
      </c>
      <c r="AC276" s="330">
        <v>6</v>
      </c>
      <c r="AD276" s="334">
        <v>11190</v>
      </c>
      <c r="AE276" s="334">
        <v>28</v>
      </c>
      <c r="AF276" s="334">
        <v>202</v>
      </c>
      <c r="AG276" s="334">
        <v>230</v>
      </c>
    </row>
    <row r="277" spans="1:33" x14ac:dyDescent="0.25">
      <c r="A277" s="329" t="s">
        <v>608</v>
      </c>
      <c r="B277" s="335" t="s">
        <v>609</v>
      </c>
      <c r="C277" s="331">
        <v>2064</v>
      </c>
      <c r="D277" s="331">
        <v>0</v>
      </c>
      <c r="E277" s="331">
        <v>231</v>
      </c>
      <c r="F277" s="331">
        <v>551</v>
      </c>
      <c r="G277" s="331">
        <v>94</v>
      </c>
      <c r="H277" s="331">
        <v>2940</v>
      </c>
      <c r="I277" s="330">
        <v>2846</v>
      </c>
      <c r="J277" s="330">
        <v>1</v>
      </c>
      <c r="K277" s="332">
        <v>99.82</v>
      </c>
      <c r="L277" s="332">
        <v>98.36</v>
      </c>
      <c r="M277" s="332">
        <v>15.98</v>
      </c>
      <c r="N277" s="332">
        <v>113.11</v>
      </c>
      <c r="O277" s="333">
        <v>1833</v>
      </c>
      <c r="P277" s="330">
        <v>89.38</v>
      </c>
      <c r="Q277" s="330">
        <v>81.510000000000005</v>
      </c>
      <c r="R277" s="330">
        <v>34.119999999999997</v>
      </c>
      <c r="S277" s="330">
        <v>123.19</v>
      </c>
      <c r="T277" s="330">
        <v>765</v>
      </c>
      <c r="U277" s="330">
        <v>120.8</v>
      </c>
      <c r="V277" s="330">
        <v>183</v>
      </c>
      <c r="W277" s="330">
        <v>0</v>
      </c>
      <c r="X277" s="330">
        <v>0</v>
      </c>
      <c r="Y277" s="330">
        <v>27</v>
      </c>
      <c r="Z277" s="330">
        <v>1</v>
      </c>
      <c r="AA277" s="330">
        <v>2</v>
      </c>
      <c r="AB277" s="330">
        <v>1</v>
      </c>
      <c r="AC277" s="330">
        <v>3</v>
      </c>
      <c r="AD277" s="334">
        <v>2064</v>
      </c>
      <c r="AE277" s="334">
        <v>23</v>
      </c>
      <c r="AF277" s="334">
        <v>3</v>
      </c>
      <c r="AG277" s="334">
        <v>26</v>
      </c>
    </row>
    <row r="278" spans="1:33" x14ac:dyDescent="0.25">
      <c r="A278" s="329" t="s">
        <v>610</v>
      </c>
      <c r="B278" s="335" t="s">
        <v>611</v>
      </c>
      <c r="C278" s="331">
        <v>7234</v>
      </c>
      <c r="D278" s="331">
        <v>0</v>
      </c>
      <c r="E278" s="331">
        <v>331</v>
      </c>
      <c r="F278" s="331">
        <v>363</v>
      </c>
      <c r="G278" s="331">
        <v>811</v>
      </c>
      <c r="H278" s="331">
        <v>8739</v>
      </c>
      <c r="I278" s="330">
        <v>7928</v>
      </c>
      <c r="J278" s="330">
        <v>0</v>
      </c>
      <c r="K278" s="332">
        <v>106.78</v>
      </c>
      <c r="L278" s="332">
        <v>105.54</v>
      </c>
      <c r="M278" s="332">
        <v>3.31</v>
      </c>
      <c r="N278" s="332">
        <v>109.69</v>
      </c>
      <c r="O278" s="333">
        <v>6238</v>
      </c>
      <c r="P278" s="330">
        <v>93.13</v>
      </c>
      <c r="Q278" s="330">
        <v>90.82</v>
      </c>
      <c r="R278" s="330">
        <v>31.02</v>
      </c>
      <c r="S278" s="330">
        <v>123.49</v>
      </c>
      <c r="T278" s="330">
        <v>561</v>
      </c>
      <c r="U278" s="330">
        <v>141.41</v>
      </c>
      <c r="V278" s="330">
        <v>746</v>
      </c>
      <c r="W278" s="330">
        <v>110.46</v>
      </c>
      <c r="X278" s="330">
        <v>1</v>
      </c>
      <c r="Y278" s="330">
        <v>43</v>
      </c>
      <c r="Z278" s="330">
        <v>13</v>
      </c>
      <c r="AA278" s="330">
        <v>16</v>
      </c>
      <c r="AB278" s="330">
        <v>108</v>
      </c>
      <c r="AC278" s="330">
        <v>13</v>
      </c>
      <c r="AD278" s="334">
        <v>7059</v>
      </c>
      <c r="AE278" s="334">
        <v>21</v>
      </c>
      <c r="AF278" s="334">
        <v>44</v>
      </c>
      <c r="AG278" s="334">
        <v>65</v>
      </c>
    </row>
    <row r="279" spans="1:33" x14ac:dyDescent="0.25">
      <c r="A279" s="329" t="s">
        <v>612</v>
      </c>
      <c r="B279" s="335" t="s">
        <v>613</v>
      </c>
      <c r="C279" s="331">
        <v>4502</v>
      </c>
      <c r="D279" s="331">
        <v>0</v>
      </c>
      <c r="E279" s="331">
        <v>81</v>
      </c>
      <c r="F279" s="331">
        <v>557</v>
      </c>
      <c r="G279" s="331">
        <v>773</v>
      </c>
      <c r="H279" s="331">
        <v>5913</v>
      </c>
      <c r="I279" s="330">
        <v>5140</v>
      </c>
      <c r="J279" s="330">
        <v>0</v>
      </c>
      <c r="K279" s="332">
        <v>94.84</v>
      </c>
      <c r="L279" s="332">
        <v>93.71</v>
      </c>
      <c r="M279" s="332">
        <v>4.5</v>
      </c>
      <c r="N279" s="332">
        <v>97.25</v>
      </c>
      <c r="O279" s="333">
        <v>3852</v>
      </c>
      <c r="P279" s="330">
        <v>88.69</v>
      </c>
      <c r="Q279" s="330">
        <v>83.88</v>
      </c>
      <c r="R279" s="330">
        <v>37.39</v>
      </c>
      <c r="S279" s="330">
        <v>126.08</v>
      </c>
      <c r="T279" s="330">
        <v>629</v>
      </c>
      <c r="U279" s="330">
        <v>130.82</v>
      </c>
      <c r="V279" s="330">
        <v>640</v>
      </c>
      <c r="W279" s="330">
        <v>157.4</v>
      </c>
      <c r="X279" s="330">
        <v>4</v>
      </c>
      <c r="Y279" s="330">
        <v>0</v>
      </c>
      <c r="Z279" s="330">
        <v>1</v>
      </c>
      <c r="AA279" s="330">
        <v>1</v>
      </c>
      <c r="AB279" s="330">
        <v>110</v>
      </c>
      <c r="AC279" s="330">
        <v>11</v>
      </c>
      <c r="AD279" s="334">
        <v>4496</v>
      </c>
      <c r="AE279" s="334">
        <v>3</v>
      </c>
      <c r="AF279" s="334">
        <v>5</v>
      </c>
      <c r="AG279" s="334">
        <v>8</v>
      </c>
    </row>
    <row r="280" spans="1:33" x14ac:dyDescent="0.25">
      <c r="A280" s="329" t="s">
        <v>614</v>
      </c>
      <c r="B280" s="335" t="s">
        <v>615</v>
      </c>
      <c r="C280" s="331">
        <v>3923</v>
      </c>
      <c r="D280" s="331">
        <v>0</v>
      </c>
      <c r="E280" s="331">
        <v>138</v>
      </c>
      <c r="F280" s="331">
        <v>657</v>
      </c>
      <c r="G280" s="331">
        <v>128</v>
      </c>
      <c r="H280" s="331">
        <v>4846</v>
      </c>
      <c r="I280" s="330">
        <v>4718</v>
      </c>
      <c r="J280" s="330">
        <v>3</v>
      </c>
      <c r="K280" s="332">
        <v>91.07</v>
      </c>
      <c r="L280" s="332">
        <v>90.42</v>
      </c>
      <c r="M280" s="332">
        <v>7.96</v>
      </c>
      <c r="N280" s="332">
        <v>96.86</v>
      </c>
      <c r="O280" s="333">
        <v>3615</v>
      </c>
      <c r="P280" s="330">
        <v>96.08</v>
      </c>
      <c r="Q280" s="330">
        <v>82.62</v>
      </c>
      <c r="R280" s="330">
        <v>44.29</v>
      </c>
      <c r="S280" s="330">
        <v>139.62</v>
      </c>
      <c r="T280" s="330">
        <v>772</v>
      </c>
      <c r="U280" s="330">
        <v>115.95</v>
      </c>
      <c r="V280" s="330">
        <v>281</v>
      </c>
      <c r="W280" s="330">
        <v>0</v>
      </c>
      <c r="X280" s="330">
        <v>0</v>
      </c>
      <c r="Y280" s="330">
        <v>0</v>
      </c>
      <c r="Z280" s="330">
        <v>1</v>
      </c>
      <c r="AA280" s="330">
        <v>44</v>
      </c>
      <c r="AB280" s="330">
        <v>1</v>
      </c>
      <c r="AC280" s="330">
        <v>2</v>
      </c>
      <c r="AD280" s="334">
        <v>3923</v>
      </c>
      <c r="AE280" s="334">
        <v>12</v>
      </c>
      <c r="AF280" s="334">
        <v>47</v>
      </c>
      <c r="AG280" s="334">
        <v>59</v>
      </c>
    </row>
    <row r="281" spans="1:33" x14ac:dyDescent="0.25">
      <c r="A281" s="329" t="s">
        <v>616</v>
      </c>
      <c r="B281" s="335" t="s">
        <v>617</v>
      </c>
      <c r="C281" s="331">
        <v>4642</v>
      </c>
      <c r="D281" s="331">
        <v>38</v>
      </c>
      <c r="E281" s="331">
        <v>53</v>
      </c>
      <c r="F281" s="331">
        <v>873</v>
      </c>
      <c r="G281" s="331">
        <v>213</v>
      </c>
      <c r="H281" s="331">
        <v>5819</v>
      </c>
      <c r="I281" s="330">
        <v>5606</v>
      </c>
      <c r="J281" s="330">
        <v>14</v>
      </c>
      <c r="K281" s="332">
        <v>112.24</v>
      </c>
      <c r="L281" s="332">
        <v>111.66</v>
      </c>
      <c r="M281" s="332">
        <v>6.63</v>
      </c>
      <c r="N281" s="332">
        <v>115.25</v>
      </c>
      <c r="O281" s="333">
        <v>4379</v>
      </c>
      <c r="P281" s="330">
        <v>98.76</v>
      </c>
      <c r="Q281" s="330">
        <v>97.57</v>
      </c>
      <c r="R281" s="330">
        <v>19.59</v>
      </c>
      <c r="S281" s="330">
        <v>115.89</v>
      </c>
      <c r="T281" s="330">
        <v>899</v>
      </c>
      <c r="U281" s="330">
        <v>161.76</v>
      </c>
      <c r="V281" s="330">
        <v>181</v>
      </c>
      <c r="W281" s="330">
        <v>0</v>
      </c>
      <c r="X281" s="330">
        <v>0</v>
      </c>
      <c r="Y281" s="330">
        <v>20</v>
      </c>
      <c r="Z281" s="330">
        <v>10</v>
      </c>
      <c r="AA281" s="330">
        <v>0</v>
      </c>
      <c r="AB281" s="330">
        <v>20</v>
      </c>
      <c r="AC281" s="330">
        <v>7</v>
      </c>
      <c r="AD281" s="334">
        <v>4630</v>
      </c>
      <c r="AE281" s="334">
        <v>12</v>
      </c>
      <c r="AF281" s="334">
        <v>57</v>
      </c>
      <c r="AG281" s="334">
        <v>69</v>
      </c>
    </row>
    <row r="282" spans="1:33" x14ac:dyDescent="0.25">
      <c r="A282" s="329" t="s">
        <v>618</v>
      </c>
      <c r="B282" s="335" t="s">
        <v>619</v>
      </c>
      <c r="C282" s="331">
        <v>1857</v>
      </c>
      <c r="D282" s="331">
        <v>0</v>
      </c>
      <c r="E282" s="331">
        <v>97</v>
      </c>
      <c r="F282" s="331">
        <v>91</v>
      </c>
      <c r="G282" s="331">
        <v>339</v>
      </c>
      <c r="H282" s="331">
        <v>2384</v>
      </c>
      <c r="I282" s="330">
        <v>2045</v>
      </c>
      <c r="J282" s="330">
        <v>5</v>
      </c>
      <c r="K282" s="332">
        <v>102.69</v>
      </c>
      <c r="L282" s="332">
        <v>104.37</v>
      </c>
      <c r="M282" s="332">
        <v>7.81</v>
      </c>
      <c r="N282" s="332">
        <v>107.88</v>
      </c>
      <c r="O282" s="333">
        <v>1193</v>
      </c>
      <c r="P282" s="330">
        <v>109.31</v>
      </c>
      <c r="Q282" s="330">
        <v>99.79</v>
      </c>
      <c r="R282" s="330">
        <v>63.75</v>
      </c>
      <c r="S282" s="330">
        <v>165.51</v>
      </c>
      <c r="T282" s="330">
        <v>152</v>
      </c>
      <c r="U282" s="330">
        <v>156.02000000000001</v>
      </c>
      <c r="V282" s="330">
        <v>509</v>
      </c>
      <c r="W282" s="330">
        <v>0</v>
      </c>
      <c r="X282" s="330">
        <v>0</v>
      </c>
      <c r="Y282" s="330">
        <v>8</v>
      </c>
      <c r="Z282" s="330">
        <v>2</v>
      </c>
      <c r="AA282" s="330">
        <v>0</v>
      </c>
      <c r="AB282" s="330">
        <v>37</v>
      </c>
      <c r="AC282" s="330">
        <v>11</v>
      </c>
      <c r="AD282" s="334">
        <v>1753</v>
      </c>
      <c r="AE282" s="334">
        <v>8</v>
      </c>
      <c r="AF282" s="334">
        <v>1</v>
      </c>
      <c r="AG282" s="334">
        <v>9</v>
      </c>
    </row>
    <row r="283" spans="1:33" x14ac:dyDescent="0.25">
      <c r="A283" s="329" t="s">
        <v>620</v>
      </c>
      <c r="B283" s="335" t="s">
        <v>621</v>
      </c>
      <c r="C283" s="331">
        <v>7661</v>
      </c>
      <c r="D283" s="331">
        <v>4</v>
      </c>
      <c r="E283" s="331">
        <v>140</v>
      </c>
      <c r="F283" s="331">
        <v>632</v>
      </c>
      <c r="G283" s="331">
        <v>1026</v>
      </c>
      <c r="H283" s="331">
        <v>9463</v>
      </c>
      <c r="I283" s="330">
        <v>8437</v>
      </c>
      <c r="J283" s="330">
        <v>0</v>
      </c>
      <c r="K283" s="332">
        <v>113.08</v>
      </c>
      <c r="L283" s="332">
        <v>113.06</v>
      </c>
      <c r="M283" s="332">
        <v>7.58</v>
      </c>
      <c r="N283" s="332">
        <v>114.24</v>
      </c>
      <c r="O283" s="333">
        <v>6453</v>
      </c>
      <c r="P283" s="330">
        <v>96.09</v>
      </c>
      <c r="Q283" s="330">
        <v>96.92</v>
      </c>
      <c r="R283" s="330">
        <v>29.8</v>
      </c>
      <c r="S283" s="330">
        <v>121.95</v>
      </c>
      <c r="T283" s="330">
        <v>568</v>
      </c>
      <c r="U283" s="330">
        <v>143.77000000000001</v>
      </c>
      <c r="V283" s="330">
        <v>1113</v>
      </c>
      <c r="W283" s="330">
        <v>209.12</v>
      </c>
      <c r="X283" s="330">
        <v>109</v>
      </c>
      <c r="Y283" s="330">
        <v>0</v>
      </c>
      <c r="Z283" s="330">
        <v>1</v>
      </c>
      <c r="AA283" s="330">
        <v>8</v>
      </c>
      <c r="AB283" s="330">
        <v>76</v>
      </c>
      <c r="AC283" s="330">
        <v>13</v>
      </c>
      <c r="AD283" s="334">
        <v>7641</v>
      </c>
      <c r="AE283" s="334">
        <v>15</v>
      </c>
      <c r="AF283" s="334">
        <v>31</v>
      </c>
      <c r="AG283" s="334">
        <v>46</v>
      </c>
    </row>
    <row r="284" spans="1:33" x14ac:dyDescent="0.25">
      <c r="A284" s="329" t="s">
        <v>622</v>
      </c>
      <c r="B284" s="335" t="s">
        <v>623</v>
      </c>
      <c r="C284" s="331">
        <v>4279</v>
      </c>
      <c r="D284" s="331">
        <v>11</v>
      </c>
      <c r="E284" s="331">
        <v>295</v>
      </c>
      <c r="F284" s="331">
        <v>910</v>
      </c>
      <c r="G284" s="331">
        <v>546</v>
      </c>
      <c r="H284" s="331">
        <v>6041</v>
      </c>
      <c r="I284" s="330">
        <v>5495</v>
      </c>
      <c r="J284" s="330">
        <v>6</v>
      </c>
      <c r="K284" s="332">
        <v>88.88</v>
      </c>
      <c r="L284" s="332">
        <v>85.89</v>
      </c>
      <c r="M284" s="332">
        <v>5.6</v>
      </c>
      <c r="N284" s="332">
        <v>93.65</v>
      </c>
      <c r="O284" s="333">
        <v>3807</v>
      </c>
      <c r="P284" s="330">
        <v>87.07</v>
      </c>
      <c r="Q284" s="330">
        <v>79.58</v>
      </c>
      <c r="R284" s="330">
        <v>36.72</v>
      </c>
      <c r="S284" s="330">
        <v>122.36</v>
      </c>
      <c r="T284" s="330">
        <v>949</v>
      </c>
      <c r="U284" s="330">
        <v>116.47</v>
      </c>
      <c r="V284" s="330">
        <v>458</v>
      </c>
      <c r="W284" s="330">
        <v>175.61</v>
      </c>
      <c r="X284" s="330">
        <v>3</v>
      </c>
      <c r="Y284" s="330">
        <v>0</v>
      </c>
      <c r="Z284" s="330">
        <v>12</v>
      </c>
      <c r="AA284" s="330">
        <v>1</v>
      </c>
      <c r="AB284" s="330">
        <v>2</v>
      </c>
      <c r="AC284" s="330">
        <v>9</v>
      </c>
      <c r="AD284" s="334">
        <v>4279</v>
      </c>
      <c r="AE284" s="334">
        <v>19</v>
      </c>
      <c r="AF284" s="334">
        <v>15</v>
      </c>
      <c r="AG284" s="334">
        <v>34</v>
      </c>
    </row>
    <row r="285" spans="1:33" x14ac:dyDescent="0.25">
      <c r="A285" s="329" t="s">
        <v>624</v>
      </c>
      <c r="B285" s="335" t="s">
        <v>625</v>
      </c>
      <c r="C285" s="331">
        <v>2374</v>
      </c>
      <c r="D285" s="331">
        <v>3</v>
      </c>
      <c r="E285" s="331">
        <v>46</v>
      </c>
      <c r="F285" s="331">
        <v>386</v>
      </c>
      <c r="G285" s="331">
        <v>191</v>
      </c>
      <c r="H285" s="331">
        <v>3000</v>
      </c>
      <c r="I285" s="330">
        <v>2809</v>
      </c>
      <c r="J285" s="330">
        <v>0</v>
      </c>
      <c r="K285" s="332">
        <v>82.68</v>
      </c>
      <c r="L285" s="332">
        <v>80.09</v>
      </c>
      <c r="M285" s="332">
        <v>3.21</v>
      </c>
      <c r="N285" s="332">
        <v>84.46</v>
      </c>
      <c r="O285" s="333">
        <v>2264</v>
      </c>
      <c r="P285" s="330">
        <v>72.489999999999995</v>
      </c>
      <c r="Q285" s="330">
        <v>67.03</v>
      </c>
      <c r="R285" s="330">
        <v>31.37</v>
      </c>
      <c r="S285" s="330">
        <v>98.46</v>
      </c>
      <c r="T285" s="330">
        <v>348</v>
      </c>
      <c r="U285" s="330">
        <v>105.4</v>
      </c>
      <c r="V285" s="330">
        <v>113</v>
      </c>
      <c r="W285" s="330">
        <v>181.12</v>
      </c>
      <c r="X285" s="330">
        <v>41</v>
      </c>
      <c r="Y285" s="330">
        <v>16</v>
      </c>
      <c r="Z285" s="330">
        <v>4</v>
      </c>
      <c r="AA285" s="330">
        <v>8</v>
      </c>
      <c r="AB285" s="330">
        <v>0</v>
      </c>
      <c r="AC285" s="330">
        <v>3</v>
      </c>
      <c r="AD285" s="334">
        <v>2362</v>
      </c>
      <c r="AE285" s="334">
        <v>6</v>
      </c>
      <c r="AF285" s="334">
        <v>6</v>
      </c>
      <c r="AG285" s="334">
        <v>12</v>
      </c>
    </row>
    <row r="286" spans="1:33" x14ac:dyDescent="0.25">
      <c r="A286" s="329" t="s">
        <v>626</v>
      </c>
      <c r="B286" s="335" t="s">
        <v>627</v>
      </c>
      <c r="C286" s="331">
        <v>29636</v>
      </c>
      <c r="D286" s="331">
        <v>110</v>
      </c>
      <c r="E286" s="331">
        <v>1484</v>
      </c>
      <c r="F286" s="331">
        <v>793</v>
      </c>
      <c r="G286" s="331">
        <v>2987</v>
      </c>
      <c r="H286" s="331">
        <v>35010</v>
      </c>
      <c r="I286" s="330">
        <v>32023</v>
      </c>
      <c r="J286" s="330">
        <v>103</v>
      </c>
      <c r="K286" s="332">
        <v>124.14</v>
      </c>
      <c r="L286" s="332">
        <v>127.84</v>
      </c>
      <c r="M286" s="332">
        <v>15.62</v>
      </c>
      <c r="N286" s="332">
        <v>138.53</v>
      </c>
      <c r="O286" s="333">
        <v>25491</v>
      </c>
      <c r="P286" s="330">
        <v>110.67</v>
      </c>
      <c r="Q286" s="330">
        <v>111.5</v>
      </c>
      <c r="R286" s="330">
        <v>61.6</v>
      </c>
      <c r="S286" s="330">
        <v>162.09</v>
      </c>
      <c r="T286" s="330">
        <v>1833</v>
      </c>
      <c r="U286" s="330">
        <v>199.72</v>
      </c>
      <c r="V286" s="330">
        <v>2341</v>
      </c>
      <c r="W286" s="330">
        <v>213.69</v>
      </c>
      <c r="X286" s="330">
        <v>154</v>
      </c>
      <c r="Y286" s="330">
        <v>0</v>
      </c>
      <c r="Z286" s="330">
        <v>35</v>
      </c>
      <c r="AA286" s="330">
        <v>113</v>
      </c>
      <c r="AB286" s="330">
        <v>54</v>
      </c>
      <c r="AC286" s="330">
        <v>122</v>
      </c>
      <c r="AD286" s="334">
        <v>28263</v>
      </c>
      <c r="AE286" s="334">
        <v>293</v>
      </c>
      <c r="AF286" s="334">
        <v>251</v>
      </c>
      <c r="AG286" s="334">
        <v>544</v>
      </c>
    </row>
    <row r="287" spans="1:33" x14ac:dyDescent="0.25">
      <c r="A287" s="329" t="s">
        <v>628</v>
      </c>
      <c r="B287" s="335" t="s">
        <v>629</v>
      </c>
      <c r="C287" s="331">
        <v>11721</v>
      </c>
      <c r="D287" s="331">
        <v>0</v>
      </c>
      <c r="E287" s="331">
        <v>491</v>
      </c>
      <c r="F287" s="331">
        <v>3342</v>
      </c>
      <c r="G287" s="331">
        <v>496</v>
      </c>
      <c r="H287" s="331">
        <v>16050</v>
      </c>
      <c r="I287" s="330">
        <v>15554</v>
      </c>
      <c r="J287" s="330">
        <v>32</v>
      </c>
      <c r="K287" s="332">
        <v>87.19</v>
      </c>
      <c r="L287" s="332">
        <v>87.92</v>
      </c>
      <c r="M287" s="332">
        <v>4.93</v>
      </c>
      <c r="N287" s="332">
        <v>90.92</v>
      </c>
      <c r="O287" s="333">
        <v>9803</v>
      </c>
      <c r="P287" s="330">
        <v>89.26</v>
      </c>
      <c r="Q287" s="330">
        <v>85.87</v>
      </c>
      <c r="R287" s="330">
        <v>22.03</v>
      </c>
      <c r="S287" s="330">
        <v>111.22</v>
      </c>
      <c r="T287" s="330">
        <v>3633</v>
      </c>
      <c r="U287" s="330">
        <v>119.69</v>
      </c>
      <c r="V287" s="330">
        <v>1846</v>
      </c>
      <c r="W287" s="330">
        <v>149.78</v>
      </c>
      <c r="X287" s="330">
        <v>137</v>
      </c>
      <c r="Y287" s="330">
        <v>0</v>
      </c>
      <c r="Z287" s="330">
        <v>59</v>
      </c>
      <c r="AA287" s="330">
        <v>3</v>
      </c>
      <c r="AB287" s="330">
        <v>3</v>
      </c>
      <c r="AC287" s="330">
        <v>28</v>
      </c>
      <c r="AD287" s="334">
        <v>11699</v>
      </c>
      <c r="AE287" s="334">
        <v>37</v>
      </c>
      <c r="AF287" s="334">
        <v>89</v>
      </c>
      <c r="AG287" s="334">
        <v>126</v>
      </c>
    </row>
    <row r="288" spans="1:33" x14ac:dyDescent="0.25">
      <c r="A288" s="329" t="s">
        <v>630</v>
      </c>
      <c r="B288" s="335" t="s">
        <v>631</v>
      </c>
      <c r="C288" s="331">
        <v>6256</v>
      </c>
      <c r="D288" s="331">
        <v>0</v>
      </c>
      <c r="E288" s="331">
        <v>159</v>
      </c>
      <c r="F288" s="331">
        <v>791</v>
      </c>
      <c r="G288" s="331">
        <v>479</v>
      </c>
      <c r="H288" s="331">
        <v>7685</v>
      </c>
      <c r="I288" s="330">
        <v>7206</v>
      </c>
      <c r="J288" s="330">
        <v>6</v>
      </c>
      <c r="K288" s="332">
        <v>109.77</v>
      </c>
      <c r="L288" s="332">
        <v>105.08</v>
      </c>
      <c r="M288" s="332">
        <v>3.77</v>
      </c>
      <c r="N288" s="332">
        <v>112.96</v>
      </c>
      <c r="O288" s="333">
        <v>5504</v>
      </c>
      <c r="P288" s="330">
        <v>100.43</v>
      </c>
      <c r="Q288" s="330">
        <v>91.33</v>
      </c>
      <c r="R288" s="330">
        <v>30.01</v>
      </c>
      <c r="S288" s="330">
        <v>129.22999999999999</v>
      </c>
      <c r="T288" s="330">
        <v>696</v>
      </c>
      <c r="U288" s="330">
        <v>153.22999999999999</v>
      </c>
      <c r="V288" s="330">
        <v>577</v>
      </c>
      <c r="W288" s="330">
        <v>130.97</v>
      </c>
      <c r="X288" s="330">
        <v>121</v>
      </c>
      <c r="Y288" s="330">
        <v>0</v>
      </c>
      <c r="Z288" s="330">
        <v>3</v>
      </c>
      <c r="AA288" s="330">
        <v>14</v>
      </c>
      <c r="AB288" s="330">
        <v>34</v>
      </c>
      <c r="AC288" s="330">
        <v>9</v>
      </c>
      <c r="AD288" s="334">
        <v>6101</v>
      </c>
      <c r="AE288" s="334">
        <v>11</v>
      </c>
      <c r="AF288" s="334">
        <v>44</v>
      </c>
      <c r="AG288" s="334">
        <v>55</v>
      </c>
    </row>
    <row r="289" spans="1:33" x14ac:dyDescent="0.25">
      <c r="A289" s="329" t="s">
        <v>632</v>
      </c>
      <c r="B289" s="335" t="s">
        <v>633</v>
      </c>
      <c r="C289" s="331">
        <v>1721</v>
      </c>
      <c r="D289" s="331">
        <v>0</v>
      </c>
      <c r="E289" s="331">
        <v>69</v>
      </c>
      <c r="F289" s="331">
        <v>193</v>
      </c>
      <c r="G289" s="331">
        <v>527</v>
      </c>
      <c r="H289" s="331">
        <v>2510</v>
      </c>
      <c r="I289" s="330">
        <v>1983</v>
      </c>
      <c r="J289" s="330">
        <v>2</v>
      </c>
      <c r="K289" s="332">
        <v>107.85</v>
      </c>
      <c r="L289" s="332">
        <v>106.97</v>
      </c>
      <c r="M289" s="332">
        <v>6.64</v>
      </c>
      <c r="N289" s="332">
        <v>112.32</v>
      </c>
      <c r="O289" s="333">
        <v>1002</v>
      </c>
      <c r="P289" s="330">
        <v>100.97</v>
      </c>
      <c r="Q289" s="330">
        <v>88.38</v>
      </c>
      <c r="R289" s="330">
        <v>58.9</v>
      </c>
      <c r="S289" s="330">
        <v>159.63999999999999</v>
      </c>
      <c r="T289" s="330">
        <v>254</v>
      </c>
      <c r="U289" s="330">
        <v>154.78</v>
      </c>
      <c r="V289" s="330">
        <v>699</v>
      </c>
      <c r="W289" s="330">
        <v>147.15</v>
      </c>
      <c r="X289" s="330">
        <v>6</v>
      </c>
      <c r="Y289" s="330">
        <v>3</v>
      </c>
      <c r="Z289" s="330">
        <v>0</v>
      </c>
      <c r="AA289" s="330">
        <v>0</v>
      </c>
      <c r="AB289" s="330">
        <v>65</v>
      </c>
      <c r="AC289" s="330">
        <v>2</v>
      </c>
      <c r="AD289" s="334">
        <v>1714</v>
      </c>
      <c r="AE289" s="334">
        <v>19</v>
      </c>
      <c r="AF289" s="334">
        <v>4</v>
      </c>
      <c r="AG289" s="334">
        <v>23</v>
      </c>
    </row>
    <row r="290" spans="1:33" x14ac:dyDescent="0.25">
      <c r="A290" s="329" t="s">
        <v>634</v>
      </c>
      <c r="B290" s="335" t="s">
        <v>635</v>
      </c>
      <c r="C290" s="331">
        <v>6975</v>
      </c>
      <c r="D290" s="331">
        <v>15</v>
      </c>
      <c r="E290" s="331">
        <v>235</v>
      </c>
      <c r="F290" s="331">
        <v>433</v>
      </c>
      <c r="G290" s="331">
        <v>782</v>
      </c>
      <c r="H290" s="331">
        <v>8440</v>
      </c>
      <c r="I290" s="330">
        <v>7658</v>
      </c>
      <c r="J290" s="330">
        <v>7</v>
      </c>
      <c r="K290" s="332">
        <v>106.78</v>
      </c>
      <c r="L290" s="332">
        <v>107.61</v>
      </c>
      <c r="M290" s="332">
        <v>5.18</v>
      </c>
      <c r="N290" s="332">
        <v>108</v>
      </c>
      <c r="O290" s="333">
        <v>5484</v>
      </c>
      <c r="P290" s="330">
        <v>101.67</v>
      </c>
      <c r="Q290" s="330">
        <v>98.48</v>
      </c>
      <c r="R290" s="330">
        <v>28.66</v>
      </c>
      <c r="S290" s="330">
        <v>129.38999999999999</v>
      </c>
      <c r="T290" s="330">
        <v>612</v>
      </c>
      <c r="U290" s="330">
        <v>164.35</v>
      </c>
      <c r="V290" s="330">
        <v>1437</v>
      </c>
      <c r="W290" s="330">
        <v>184.01</v>
      </c>
      <c r="X290" s="330">
        <v>27</v>
      </c>
      <c r="Y290" s="330">
        <v>0</v>
      </c>
      <c r="Z290" s="330">
        <v>2</v>
      </c>
      <c r="AA290" s="330">
        <v>12</v>
      </c>
      <c r="AB290" s="330">
        <v>39</v>
      </c>
      <c r="AC290" s="330">
        <v>12</v>
      </c>
      <c r="AD290" s="334">
        <v>6917</v>
      </c>
      <c r="AE290" s="334">
        <v>34</v>
      </c>
      <c r="AF290" s="334">
        <v>11</v>
      </c>
      <c r="AG290" s="334">
        <v>45</v>
      </c>
    </row>
    <row r="291" spans="1:33" x14ac:dyDescent="0.25">
      <c r="A291" s="329" t="s">
        <v>636</v>
      </c>
      <c r="B291" s="335" t="s">
        <v>637</v>
      </c>
      <c r="C291" s="331">
        <v>32562</v>
      </c>
      <c r="D291" s="331">
        <v>0</v>
      </c>
      <c r="E291" s="331">
        <v>2158</v>
      </c>
      <c r="F291" s="331">
        <v>620</v>
      </c>
      <c r="G291" s="331">
        <v>775</v>
      </c>
      <c r="H291" s="331">
        <v>36115</v>
      </c>
      <c r="I291" s="330">
        <v>35340</v>
      </c>
      <c r="J291" s="330">
        <v>2</v>
      </c>
      <c r="K291" s="332">
        <v>82.16</v>
      </c>
      <c r="L291" s="332">
        <v>82.51</v>
      </c>
      <c r="M291" s="332">
        <v>5.72</v>
      </c>
      <c r="N291" s="332">
        <v>82.9</v>
      </c>
      <c r="O291" s="333">
        <v>29939</v>
      </c>
      <c r="P291" s="330">
        <v>80.459999999999994</v>
      </c>
      <c r="Q291" s="330">
        <v>77.17</v>
      </c>
      <c r="R291" s="330">
        <v>37.17</v>
      </c>
      <c r="S291" s="330">
        <v>117.47</v>
      </c>
      <c r="T291" s="330">
        <v>2601</v>
      </c>
      <c r="U291" s="330">
        <v>97.07</v>
      </c>
      <c r="V291" s="330">
        <v>2210</v>
      </c>
      <c r="W291" s="330">
        <v>148.81</v>
      </c>
      <c r="X291" s="330">
        <v>8</v>
      </c>
      <c r="Y291" s="330">
        <v>0</v>
      </c>
      <c r="Z291" s="330">
        <v>170</v>
      </c>
      <c r="AA291" s="330">
        <v>11</v>
      </c>
      <c r="AB291" s="330">
        <v>110</v>
      </c>
      <c r="AC291" s="330">
        <v>15</v>
      </c>
      <c r="AD291" s="334">
        <v>32523</v>
      </c>
      <c r="AE291" s="334">
        <v>121</v>
      </c>
      <c r="AF291" s="334">
        <v>151</v>
      </c>
      <c r="AG291" s="334">
        <v>272</v>
      </c>
    </row>
    <row r="292" spans="1:33" x14ac:dyDescent="0.25">
      <c r="A292" s="329" t="s">
        <v>638</v>
      </c>
      <c r="B292" s="335" t="s">
        <v>639</v>
      </c>
      <c r="C292" s="331">
        <v>26800</v>
      </c>
      <c r="D292" s="331">
        <v>14</v>
      </c>
      <c r="E292" s="331">
        <v>450</v>
      </c>
      <c r="F292" s="331">
        <v>793</v>
      </c>
      <c r="G292" s="331">
        <v>510</v>
      </c>
      <c r="H292" s="331">
        <v>28567</v>
      </c>
      <c r="I292" s="330">
        <v>28057</v>
      </c>
      <c r="J292" s="330">
        <v>18</v>
      </c>
      <c r="K292" s="332">
        <v>84.79</v>
      </c>
      <c r="L292" s="332">
        <v>84.89</v>
      </c>
      <c r="M292" s="332">
        <v>9.1999999999999993</v>
      </c>
      <c r="N292" s="332">
        <v>89.44</v>
      </c>
      <c r="O292" s="333">
        <v>24445</v>
      </c>
      <c r="P292" s="330">
        <v>106.44</v>
      </c>
      <c r="Q292" s="330">
        <v>96.24</v>
      </c>
      <c r="R292" s="330">
        <v>43.27</v>
      </c>
      <c r="S292" s="330">
        <v>147.88</v>
      </c>
      <c r="T292" s="330">
        <v>1037</v>
      </c>
      <c r="U292" s="330">
        <v>109.03</v>
      </c>
      <c r="V292" s="330">
        <v>2124</v>
      </c>
      <c r="W292" s="330">
        <v>144.09</v>
      </c>
      <c r="X292" s="330">
        <v>192</v>
      </c>
      <c r="Y292" s="330">
        <v>0</v>
      </c>
      <c r="Z292" s="330">
        <v>124</v>
      </c>
      <c r="AA292" s="330">
        <v>16</v>
      </c>
      <c r="AB292" s="330">
        <v>36</v>
      </c>
      <c r="AC292" s="330">
        <v>16</v>
      </c>
      <c r="AD292" s="334">
        <v>26743</v>
      </c>
      <c r="AE292" s="334">
        <v>128</v>
      </c>
      <c r="AF292" s="334">
        <v>64</v>
      </c>
      <c r="AG292" s="334">
        <v>192</v>
      </c>
    </row>
    <row r="293" spans="1:33" x14ac:dyDescent="0.25">
      <c r="A293" s="329" t="s">
        <v>640</v>
      </c>
      <c r="B293" s="335" t="s">
        <v>641</v>
      </c>
      <c r="C293" s="331">
        <v>10585</v>
      </c>
      <c r="D293" s="331">
        <v>2</v>
      </c>
      <c r="E293" s="331">
        <v>945</v>
      </c>
      <c r="F293" s="331">
        <v>841</v>
      </c>
      <c r="G293" s="331">
        <v>1383</v>
      </c>
      <c r="H293" s="331">
        <v>13756</v>
      </c>
      <c r="I293" s="330">
        <v>12373</v>
      </c>
      <c r="J293" s="330">
        <v>15</v>
      </c>
      <c r="K293" s="332">
        <v>116.49</v>
      </c>
      <c r="L293" s="332">
        <v>114.76</v>
      </c>
      <c r="M293" s="332">
        <v>10.17</v>
      </c>
      <c r="N293" s="332">
        <v>121.81</v>
      </c>
      <c r="O293" s="333">
        <v>8672</v>
      </c>
      <c r="P293" s="330">
        <v>102.64</v>
      </c>
      <c r="Q293" s="330">
        <v>95.16</v>
      </c>
      <c r="R293" s="330">
        <v>40.270000000000003</v>
      </c>
      <c r="S293" s="330">
        <v>124.6</v>
      </c>
      <c r="T293" s="330">
        <v>1212</v>
      </c>
      <c r="U293" s="330">
        <v>175.95</v>
      </c>
      <c r="V293" s="330">
        <v>1364</v>
      </c>
      <c r="W293" s="330">
        <v>187.93</v>
      </c>
      <c r="X293" s="330">
        <v>63</v>
      </c>
      <c r="Y293" s="330">
        <v>0</v>
      </c>
      <c r="Z293" s="330">
        <v>5</v>
      </c>
      <c r="AA293" s="330">
        <v>2</v>
      </c>
      <c r="AB293" s="330">
        <v>21</v>
      </c>
      <c r="AC293" s="330">
        <v>30</v>
      </c>
      <c r="AD293" s="334">
        <v>10099</v>
      </c>
      <c r="AE293" s="334">
        <v>80</v>
      </c>
      <c r="AF293" s="334">
        <v>35</v>
      </c>
      <c r="AG293" s="334">
        <v>115</v>
      </c>
    </row>
    <row r="294" spans="1:33" x14ac:dyDescent="0.25">
      <c r="A294" s="329" t="s">
        <v>642</v>
      </c>
      <c r="B294" s="335" t="s">
        <v>643</v>
      </c>
      <c r="C294" s="331">
        <v>8699</v>
      </c>
      <c r="D294" s="331">
        <v>67</v>
      </c>
      <c r="E294" s="331">
        <v>1131</v>
      </c>
      <c r="F294" s="331">
        <v>989</v>
      </c>
      <c r="G294" s="331">
        <v>2340</v>
      </c>
      <c r="H294" s="331">
        <v>13226</v>
      </c>
      <c r="I294" s="330">
        <v>10886</v>
      </c>
      <c r="J294" s="330">
        <v>349</v>
      </c>
      <c r="K294" s="332">
        <v>127.94</v>
      </c>
      <c r="L294" s="332">
        <v>135.38</v>
      </c>
      <c r="M294" s="332">
        <v>9.2899999999999991</v>
      </c>
      <c r="N294" s="332">
        <v>133.13</v>
      </c>
      <c r="O294" s="333">
        <v>7539</v>
      </c>
      <c r="P294" s="330">
        <v>133.78</v>
      </c>
      <c r="Q294" s="330">
        <v>128.28</v>
      </c>
      <c r="R294" s="330">
        <v>50.42</v>
      </c>
      <c r="S294" s="330">
        <v>175.19</v>
      </c>
      <c r="T294" s="330">
        <v>2009</v>
      </c>
      <c r="U294" s="330">
        <v>205.06</v>
      </c>
      <c r="V294" s="330">
        <v>720</v>
      </c>
      <c r="W294" s="330">
        <v>222.34</v>
      </c>
      <c r="X294" s="330">
        <v>27</v>
      </c>
      <c r="Y294" s="330">
        <v>45</v>
      </c>
      <c r="Z294" s="330">
        <v>0</v>
      </c>
      <c r="AA294" s="330">
        <v>13</v>
      </c>
      <c r="AB294" s="330">
        <v>113</v>
      </c>
      <c r="AC294" s="330">
        <v>58</v>
      </c>
      <c r="AD294" s="334">
        <v>8374</v>
      </c>
      <c r="AE294" s="334">
        <v>34</v>
      </c>
      <c r="AF294" s="334">
        <v>47</v>
      </c>
      <c r="AG294" s="334">
        <v>81</v>
      </c>
    </row>
    <row r="295" spans="1:33" x14ac:dyDescent="0.25">
      <c r="A295" s="329" t="s">
        <v>644</v>
      </c>
      <c r="B295" s="335" t="s">
        <v>645</v>
      </c>
      <c r="C295" s="331">
        <v>11638</v>
      </c>
      <c r="D295" s="331">
        <v>0</v>
      </c>
      <c r="E295" s="331">
        <v>498</v>
      </c>
      <c r="F295" s="331">
        <v>2360</v>
      </c>
      <c r="G295" s="331">
        <v>604</v>
      </c>
      <c r="H295" s="331">
        <v>15100</v>
      </c>
      <c r="I295" s="330">
        <v>14496</v>
      </c>
      <c r="J295" s="330">
        <v>163</v>
      </c>
      <c r="K295" s="332">
        <v>83.46</v>
      </c>
      <c r="L295" s="332">
        <v>84.63</v>
      </c>
      <c r="M295" s="332">
        <v>5.08</v>
      </c>
      <c r="N295" s="332">
        <v>85.03</v>
      </c>
      <c r="O295" s="333">
        <v>10912</v>
      </c>
      <c r="P295" s="330">
        <v>83.75</v>
      </c>
      <c r="Q295" s="330">
        <v>81.760000000000005</v>
      </c>
      <c r="R295" s="330">
        <v>30.4</v>
      </c>
      <c r="S295" s="330">
        <v>109.54</v>
      </c>
      <c r="T295" s="330">
        <v>2781</v>
      </c>
      <c r="U295" s="330">
        <v>104.46</v>
      </c>
      <c r="V295" s="330">
        <v>674</v>
      </c>
      <c r="W295" s="330">
        <v>98.91</v>
      </c>
      <c r="X295" s="330">
        <v>2</v>
      </c>
      <c r="Y295" s="330">
        <v>6</v>
      </c>
      <c r="Z295" s="330">
        <v>53</v>
      </c>
      <c r="AA295" s="330">
        <v>0</v>
      </c>
      <c r="AB295" s="330">
        <v>19</v>
      </c>
      <c r="AC295" s="330">
        <v>14</v>
      </c>
      <c r="AD295" s="334">
        <v>11638</v>
      </c>
      <c r="AE295" s="334">
        <v>48</v>
      </c>
      <c r="AF295" s="334">
        <v>27</v>
      </c>
      <c r="AG295" s="334">
        <v>75</v>
      </c>
    </row>
    <row r="296" spans="1:33" x14ac:dyDescent="0.25">
      <c r="A296" s="329" t="s">
        <v>646</v>
      </c>
      <c r="B296" s="335" t="s">
        <v>647</v>
      </c>
      <c r="C296" s="331">
        <v>2816</v>
      </c>
      <c r="D296" s="331">
        <v>0</v>
      </c>
      <c r="E296" s="331">
        <v>140</v>
      </c>
      <c r="F296" s="331">
        <v>627</v>
      </c>
      <c r="G296" s="331">
        <v>832</v>
      </c>
      <c r="H296" s="331">
        <v>4415</v>
      </c>
      <c r="I296" s="330">
        <v>3583</v>
      </c>
      <c r="J296" s="330">
        <v>3</v>
      </c>
      <c r="K296" s="332">
        <v>103.85</v>
      </c>
      <c r="L296" s="332">
        <v>102.94</v>
      </c>
      <c r="M296" s="332">
        <v>7.55</v>
      </c>
      <c r="N296" s="332">
        <v>110.3</v>
      </c>
      <c r="O296" s="333">
        <v>2218</v>
      </c>
      <c r="P296" s="330">
        <v>102.68</v>
      </c>
      <c r="Q296" s="330">
        <v>91</v>
      </c>
      <c r="R296" s="330">
        <v>47.04</v>
      </c>
      <c r="S296" s="330">
        <v>149.47</v>
      </c>
      <c r="T296" s="330">
        <v>564</v>
      </c>
      <c r="U296" s="330">
        <v>138.43</v>
      </c>
      <c r="V296" s="330">
        <v>529</v>
      </c>
      <c r="W296" s="330">
        <v>186.89</v>
      </c>
      <c r="X296" s="330">
        <v>126</v>
      </c>
      <c r="Y296" s="330">
        <v>0</v>
      </c>
      <c r="Z296" s="330">
        <v>1</v>
      </c>
      <c r="AA296" s="330">
        <v>37</v>
      </c>
      <c r="AB296" s="330">
        <v>99</v>
      </c>
      <c r="AC296" s="330">
        <v>11</v>
      </c>
      <c r="AD296" s="334">
        <v>2752</v>
      </c>
      <c r="AE296" s="334">
        <v>26</v>
      </c>
      <c r="AF296" s="334">
        <v>49</v>
      </c>
      <c r="AG296" s="334">
        <v>75</v>
      </c>
    </row>
    <row r="297" spans="1:33" x14ac:dyDescent="0.25">
      <c r="A297" s="329" t="s">
        <v>648</v>
      </c>
      <c r="B297" s="335" t="s">
        <v>649</v>
      </c>
      <c r="C297" s="331">
        <v>5456</v>
      </c>
      <c r="D297" s="331">
        <v>155</v>
      </c>
      <c r="E297" s="331">
        <v>386</v>
      </c>
      <c r="F297" s="331">
        <v>589</v>
      </c>
      <c r="G297" s="331">
        <v>367</v>
      </c>
      <c r="H297" s="331">
        <v>6953</v>
      </c>
      <c r="I297" s="330">
        <v>6586</v>
      </c>
      <c r="J297" s="330">
        <v>110</v>
      </c>
      <c r="K297" s="332">
        <v>113.3</v>
      </c>
      <c r="L297" s="332">
        <v>117.32</v>
      </c>
      <c r="M297" s="332">
        <v>9.59</v>
      </c>
      <c r="N297" s="332">
        <v>117.6</v>
      </c>
      <c r="O297" s="333">
        <v>4992</v>
      </c>
      <c r="P297" s="330">
        <v>91.22</v>
      </c>
      <c r="Q297" s="330">
        <v>90.61</v>
      </c>
      <c r="R297" s="330">
        <v>37.619999999999997</v>
      </c>
      <c r="S297" s="330">
        <v>128.52000000000001</v>
      </c>
      <c r="T297" s="330">
        <v>711</v>
      </c>
      <c r="U297" s="330">
        <v>174.03</v>
      </c>
      <c r="V297" s="330">
        <v>386</v>
      </c>
      <c r="W297" s="330">
        <v>160.68</v>
      </c>
      <c r="X297" s="330">
        <v>2</v>
      </c>
      <c r="Y297" s="330">
        <v>32</v>
      </c>
      <c r="Z297" s="330">
        <v>9</v>
      </c>
      <c r="AA297" s="330">
        <v>1</v>
      </c>
      <c r="AB297" s="330">
        <v>6</v>
      </c>
      <c r="AC297" s="330">
        <v>9</v>
      </c>
      <c r="AD297" s="334">
        <v>5437</v>
      </c>
      <c r="AE297" s="334">
        <v>19</v>
      </c>
      <c r="AF297" s="334">
        <v>27</v>
      </c>
      <c r="AG297" s="334">
        <v>46</v>
      </c>
    </row>
    <row r="298" spans="1:33" x14ac:dyDescent="0.25">
      <c r="A298" s="329" t="s">
        <v>650</v>
      </c>
      <c r="B298" s="335" t="s">
        <v>651</v>
      </c>
      <c r="C298" s="331">
        <v>1195</v>
      </c>
      <c r="D298" s="331">
        <v>0</v>
      </c>
      <c r="E298" s="331">
        <v>137</v>
      </c>
      <c r="F298" s="331">
        <v>164</v>
      </c>
      <c r="G298" s="331">
        <v>446</v>
      </c>
      <c r="H298" s="331">
        <v>1942</v>
      </c>
      <c r="I298" s="330">
        <v>1496</v>
      </c>
      <c r="J298" s="330">
        <v>3</v>
      </c>
      <c r="K298" s="332">
        <v>117.6</v>
      </c>
      <c r="L298" s="332">
        <v>114.33</v>
      </c>
      <c r="M298" s="332">
        <v>4.33</v>
      </c>
      <c r="N298" s="332">
        <v>121.58</v>
      </c>
      <c r="O298" s="333">
        <v>915</v>
      </c>
      <c r="P298" s="330">
        <v>112.89</v>
      </c>
      <c r="Q298" s="330">
        <v>96.84</v>
      </c>
      <c r="R298" s="330">
        <v>31.35</v>
      </c>
      <c r="S298" s="330">
        <v>143.33000000000001</v>
      </c>
      <c r="T298" s="330">
        <v>137</v>
      </c>
      <c r="U298" s="330">
        <v>189.13</v>
      </c>
      <c r="V298" s="330">
        <v>238</v>
      </c>
      <c r="W298" s="330">
        <v>109.9</v>
      </c>
      <c r="X298" s="330">
        <v>3</v>
      </c>
      <c r="Y298" s="330">
        <v>0</v>
      </c>
      <c r="Z298" s="330">
        <v>0</v>
      </c>
      <c r="AA298" s="330">
        <v>0</v>
      </c>
      <c r="AB298" s="330">
        <v>41</v>
      </c>
      <c r="AC298" s="330">
        <v>6</v>
      </c>
      <c r="AD298" s="334">
        <v>1144</v>
      </c>
      <c r="AE298" s="334">
        <v>17</v>
      </c>
      <c r="AF298" s="334">
        <v>4</v>
      </c>
      <c r="AG298" s="334">
        <v>21</v>
      </c>
    </row>
    <row r="299" spans="1:33" x14ac:dyDescent="0.25">
      <c r="A299" s="329" t="s">
        <v>652</v>
      </c>
      <c r="B299" s="335" t="s">
        <v>653</v>
      </c>
      <c r="C299" s="331">
        <v>2221</v>
      </c>
      <c r="D299" s="331">
        <v>0</v>
      </c>
      <c r="E299" s="331">
        <v>90</v>
      </c>
      <c r="F299" s="331">
        <v>307</v>
      </c>
      <c r="G299" s="331">
        <v>533</v>
      </c>
      <c r="H299" s="331">
        <v>3151</v>
      </c>
      <c r="I299" s="330">
        <v>2618</v>
      </c>
      <c r="J299" s="330">
        <v>1</v>
      </c>
      <c r="K299" s="332">
        <v>102.68</v>
      </c>
      <c r="L299" s="332">
        <v>100.9</v>
      </c>
      <c r="M299" s="332">
        <v>6.13</v>
      </c>
      <c r="N299" s="332">
        <v>107.36</v>
      </c>
      <c r="O299" s="333">
        <v>1379</v>
      </c>
      <c r="P299" s="330">
        <v>80.37</v>
      </c>
      <c r="Q299" s="330">
        <v>76.36</v>
      </c>
      <c r="R299" s="330">
        <v>31.56</v>
      </c>
      <c r="S299" s="330">
        <v>109.26</v>
      </c>
      <c r="T299" s="330">
        <v>236</v>
      </c>
      <c r="U299" s="330">
        <v>144.97999999999999</v>
      </c>
      <c r="V299" s="330">
        <v>825</v>
      </c>
      <c r="W299" s="330">
        <v>186.25</v>
      </c>
      <c r="X299" s="330">
        <v>55</v>
      </c>
      <c r="Y299" s="330">
        <v>26</v>
      </c>
      <c r="Z299" s="330">
        <v>0</v>
      </c>
      <c r="AA299" s="330">
        <v>0</v>
      </c>
      <c r="AB299" s="330">
        <v>42</v>
      </c>
      <c r="AC299" s="330">
        <v>7</v>
      </c>
      <c r="AD299" s="334">
        <v>2221</v>
      </c>
      <c r="AE299" s="334">
        <v>12</v>
      </c>
      <c r="AF299" s="334">
        <v>4</v>
      </c>
      <c r="AG299" s="334">
        <v>16</v>
      </c>
    </row>
    <row r="300" spans="1:33" x14ac:dyDescent="0.25">
      <c r="A300" s="329" t="s">
        <v>654</v>
      </c>
      <c r="B300" s="335" t="s">
        <v>655</v>
      </c>
      <c r="C300" s="331">
        <v>2754</v>
      </c>
      <c r="D300" s="331">
        <v>0</v>
      </c>
      <c r="E300" s="331">
        <v>315</v>
      </c>
      <c r="F300" s="331">
        <v>329</v>
      </c>
      <c r="G300" s="331">
        <v>549</v>
      </c>
      <c r="H300" s="331">
        <v>3947</v>
      </c>
      <c r="I300" s="330">
        <v>3398</v>
      </c>
      <c r="J300" s="330">
        <v>129</v>
      </c>
      <c r="K300" s="332">
        <v>110.5</v>
      </c>
      <c r="L300" s="332">
        <v>108.92</v>
      </c>
      <c r="M300" s="332">
        <v>7.98</v>
      </c>
      <c r="N300" s="332">
        <v>116.78</v>
      </c>
      <c r="O300" s="333">
        <v>2168</v>
      </c>
      <c r="P300" s="330">
        <v>100.09</v>
      </c>
      <c r="Q300" s="330">
        <v>91.43</v>
      </c>
      <c r="R300" s="330">
        <v>39.46</v>
      </c>
      <c r="S300" s="330">
        <v>138.88</v>
      </c>
      <c r="T300" s="330">
        <v>235</v>
      </c>
      <c r="U300" s="330">
        <v>150.83000000000001</v>
      </c>
      <c r="V300" s="330">
        <v>453</v>
      </c>
      <c r="W300" s="330">
        <v>0</v>
      </c>
      <c r="X300" s="330">
        <v>0</v>
      </c>
      <c r="Y300" s="330">
        <v>0</v>
      </c>
      <c r="Z300" s="330">
        <v>2</v>
      </c>
      <c r="AA300" s="330">
        <v>0</v>
      </c>
      <c r="AB300" s="330">
        <v>104</v>
      </c>
      <c r="AC300" s="330">
        <v>8</v>
      </c>
      <c r="AD300" s="334">
        <v>2611</v>
      </c>
      <c r="AE300" s="334">
        <v>12</v>
      </c>
      <c r="AF300" s="334">
        <v>8</v>
      </c>
      <c r="AG300" s="334">
        <v>20</v>
      </c>
    </row>
    <row r="301" spans="1:33" x14ac:dyDescent="0.25">
      <c r="A301" s="329" t="s">
        <v>656</v>
      </c>
      <c r="B301" s="335" t="s">
        <v>657</v>
      </c>
      <c r="C301" s="331">
        <v>7959</v>
      </c>
      <c r="D301" s="331">
        <v>0</v>
      </c>
      <c r="E301" s="331">
        <v>375</v>
      </c>
      <c r="F301" s="331">
        <v>788</v>
      </c>
      <c r="G301" s="331">
        <v>697</v>
      </c>
      <c r="H301" s="331">
        <v>9819</v>
      </c>
      <c r="I301" s="330">
        <v>9122</v>
      </c>
      <c r="J301" s="330">
        <v>0</v>
      </c>
      <c r="K301" s="332">
        <v>116.54</v>
      </c>
      <c r="L301" s="332">
        <v>117.88</v>
      </c>
      <c r="M301" s="332">
        <v>5.3</v>
      </c>
      <c r="N301" s="332">
        <v>119.35</v>
      </c>
      <c r="O301" s="333">
        <v>7564</v>
      </c>
      <c r="P301" s="330">
        <v>114.49</v>
      </c>
      <c r="Q301" s="330">
        <v>107.32</v>
      </c>
      <c r="R301" s="330">
        <v>29.37</v>
      </c>
      <c r="S301" s="330">
        <v>142.94999999999999</v>
      </c>
      <c r="T301" s="330">
        <v>998</v>
      </c>
      <c r="U301" s="330">
        <v>148.88999999999999</v>
      </c>
      <c r="V301" s="330">
        <v>382</v>
      </c>
      <c r="W301" s="330">
        <v>173.48</v>
      </c>
      <c r="X301" s="330">
        <v>81</v>
      </c>
      <c r="Y301" s="330">
        <v>0</v>
      </c>
      <c r="Z301" s="330">
        <v>1</v>
      </c>
      <c r="AA301" s="330">
        <v>12</v>
      </c>
      <c r="AB301" s="330">
        <v>13</v>
      </c>
      <c r="AC301" s="330">
        <v>12</v>
      </c>
      <c r="AD301" s="334">
        <v>7940</v>
      </c>
      <c r="AE301" s="334">
        <v>22</v>
      </c>
      <c r="AF301" s="334">
        <v>16</v>
      </c>
      <c r="AG301" s="334">
        <v>38</v>
      </c>
    </row>
    <row r="302" spans="1:33" x14ac:dyDescent="0.25">
      <c r="A302" s="329" t="s">
        <v>658</v>
      </c>
      <c r="B302" s="335" t="s">
        <v>659</v>
      </c>
      <c r="C302" s="331">
        <v>2122</v>
      </c>
      <c r="D302" s="331">
        <v>5</v>
      </c>
      <c r="E302" s="331">
        <v>38</v>
      </c>
      <c r="F302" s="331">
        <v>328</v>
      </c>
      <c r="G302" s="331">
        <v>117</v>
      </c>
      <c r="H302" s="331">
        <v>2610</v>
      </c>
      <c r="I302" s="330">
        <v>2493</v>
      </c>
      <c r="J302" s="330">
        <v>0</v>
      </c>
      <c r="K302" s="332">
        <v>90.8</v>
      </c>
      <c r="L302" s="332">
        <v>82.26</v>
      </c>
      <c r="M302" s="332">
        <v>4.09</v>
      </c>
      <c r="N302" s="332">
        <v>92.07</v>
      </c>
      <c r="O302" s="333">
        <v>1931</v>
      </c>
      <c r="P302" s="330">
        <v>84.12</v>
      </c>
      <c r="Q302" s="330">
        <v>73.989999999999995</v>
      </c>
      <c r="R302" s="330">
        <v>18.010000000000002</v>
      </c>
      <c r="S302" s="330">
        <v>101.62</v>
      </c>
      <c r="T302" s="330">
        <v>285</v>
      </c>
      <c r="U302" s="330">
        <v>115.9</v>
      </c>
      <c r="V302" s="330">
        <v>135</v>
      </c>
      <c r="W302" s="330">
        <v>82.86</v>
      </c>
      <c r="X302" s="330">
        <v>4</v>
      </c>
      <c r="Y302" s="330">
        <v>0</v>
      </c>
      <c r="Z302" s="330">
        <v>2</v>
      </c>
      <c r="AA302" s="330">
        <v>3</v>
      </c>
      <c r="AB302" s="330">
        <v>8</v>
      </c>
      <c r="AC302" s="330">
        <v>4</v>
      </c>
      <c r="AD302" s="334">
        <v>2048</v>
      </c>
      <c r="AE302" s="334">
        <v>8</v>
      </c>
      <c r="AF302" s="334">
        <v>6</v>
      </c>
      <c r="AG302" s="334">
        <v>14</v>
      </c>
    </row>
    <row r="303" spans="1:33" x14ac:dyDescent="0.25">
      <c r="A303" s="329" t="s">
        <v>660</v>
      </c>
      <c r="B303" s="335" t="s">
        <v>661</v>
      </c>
      <c r="C303" s="331">
        <v>779</v>
      </c>
      <c r="D303" s="331">
        <v>4</v>
      </c>
      <c r="E303" s="331">
        <v>200</v>
      </c>
      <c r="F303" s="331">
        <v>375</v>
      </c>
      <c r="G303" s="331">
        <v>337</v>
      </c>
      <c r="H303" s="331">
        <v>1695</v>
      </c>
      <c r="I303" s="330">
        <v>1358</v>
      </c>
      <c r="J303" s="330">
        <v>0</v>
      </c>
      <c r="K303" s="332">
        <v>91.35</v>
      </c>
      <c r="L303" s="332">
        <v>90.07</v>
      </c>
      <c r="M303" s="332">
        <v>5.5</v>
      </c>
      <c r="N303" s="332">
        <v>95.05</v>
      </c>
      <c r="O303" s="333">
        <v>554</v>
      </c>
      <c r="P303" s="330">
        <v>100.11</v>
      </c>
      <c r="Q303" s="330">
        <v>84.79</v>
      </c>
      <c r="R303" s="330">
        <v>41.93</v>
      </c>
      <c r="S303" s="330">
        <v>141.61000000000001</v>
      </c>
      <c r="T303" s="330">
        <v>490</v>
      </c>
      <c r="U303" s="330">
        <v>105.29</v>
      </c>
      <c r="V303" s="330">
        <v>202</v>
      </c>
      <c r="W303" s="330">
        <v>0</v>
      </c>
      <c r="X303" s="330">
        <v>0</v>
      </c>
      <c r="Y303" s="330">
        <v>0</v>
      </c>
      <c r="Z303" s="330">
        <v>0</v>
      </c>
      <c r="AA303" s="330">
        <v>0</v>
      </c>
      <c r="AB303" s="330">
        <v>2</v>
      </c>
      <c r="AC303" s="330">
        <v>1</v>
      </c>
      <c r="AD303" s="334">
        <v>768</v>
      </c>
      <c r="AE303" s="334">
        <v>6</v>
      </c>
      <c r="AF303" s="334">
        <v>0</v>
      </c>
      <c r="AG303" s="334">
        <v>6</v>
      </c>
    </row>
    <row r="304" spans="1:33" x14ac:dyDescent="0.25">
      <c r="A304" s="329" t="s">
        <v>662</v>
      </c>
      <c r="B304" s="335" t="s">
        <v>663</v>
      </c>
      <c r="C304" s="331">
        <v>4215</v>
      </c>
      <c r="D304" s="331">
        <v>0</v>
      </c>
      <c r="E304" s="331">
        <v>86</v>
      </c>
      <c r="F304" s="331">
        <v>442</v>
      </c>
      <c r="G304" s="331">
        <v>322</v>
      </c>
      <c r="H304" s="331">
        <v>5065</v>
      </c>
      <c r="I304" s="330">
        <v>4743</v>
      </c>
      <c r="J304" s="330">
        <v>0</v>
      </c>
      <c r="K304" s="332">
        <v>78.87</v>
      </c>
      <c r="L304" s="332">
        <v>78.84</v>
      </c>
      <c r="M304" s="332">
        <v>4.4800000000000004</v>
      </c>
      <c r="N304" s="332">
        <v>80.16</v>
      </c>
      <c r="O304" s="333">
        <v>3954</v>
      </c>
      <c r="P304" s="330">
        <v>76.150000000000006</v>
      </c>
      <c r="Q304" s="330">
        <v>74.05</v>
      </c>
      <c r="R304" s="330">
        <v>33.130000000000003</v>
      </c>
      <c r="S304" s="330">
        <v>108.74</v>
      </c>
      <c r="T304" s="330">
        <v>498</v>
      </c>
      <c r="U304" s="330">
        <v>94.75</v>
      </c>
      <c r="V304" s="330">
        <v>239</v>
      </c>
      <c r="W304" s="330">
        <v>105.37</v>
      </c>
      <c r="X304" s="330">
        <v>20</v>
      </c>
      <c r="Y304" s="330">
        <v>0</v>
      </c>
      <c r="Z304" s="330">
        <v>5</v>
      </c>
      <c r="AA304" s="330">
        <v>2</v>
      </c>
      <c r="AB304" s="330">
        <v>13</v>
      </c>
      <c r="AC304" s="330">
        <v>10</v>
      </c>
      <c r="AD304" s="334">
        <v>4204</v>
      </c>
      <c r="AE304" s="334">
        <v>31</v>
      </c>
      <c r="AF304" s="334">
        <v>16</v>
      </c>
      <c r="AG304" s="334">
        <v>47</v>
      </c>
    </row>
    <row r="305" spans="1:33" ht="14.5" x14ac:dyDescent="0.35">
      <c r="A305" s="336" t="s">
        <v>800</v>
      </c>
      <c r="B305" s="336" t="s">
        <v>798</v>
      </c>
      <c r="C305" s="330">
        <v>11251</v>
      </c>
      <c r="D305" s="330">
        <v>15</v>
      </c>
      <c r="E305" s="330">
        <v>471</v>
      </c>
      <c r="F305" s="330">
        <v>2450</v>
      </c>
      <c r="G305" s="330">
        <v>2292</v>
      </c>
      <c r="H305" s="330">
        <v>16479</v>
      </c>
      <c r="I305" s="330">
        <v>14187</v>
      </c>
      <c r="J305" s="330">
        <v>0</v>
      </c>
      <c r="K305" s="330">
        <v>96.38</v>
      </c>
      <c r="L305" s="330">
        <v>96.81</v>
      </c>
      <c r="M305" s="330">
        <v>6.04</v>
      </c>
      <c r="N305" s="330">
        <v>100.3</v>
      </c>
      <c r="O305" s="330">
        <v>9237</v>
      </c>
      <c r="P305" s="330">
        <v>94.3</v>
      </c>
      <c r="Q305" s="330">
        <v>94.04</v>
      </c>
      <c r="R305" s="330">
        <v>31.66</v>
      </c>
      <c r="S305" s="330">
        <v>116.7</v>
      </c>
      <c r="T305" s="330">
        <v>2799</v>
      </c>
      <c r="U305" s="330">
        <v>121.84</v>
      </c>
      <c r="V305" s="330">
        <v>1614</v>
      </c>
      <c r="W305" s="330">
        <v>130.01</v>
      </c>
      <c r="X305" s="330">
        <v>77</v>
      </c>
      <c r="Y305" s="330">
        <v>226</v>
      </c>
      <c r="Z305" s="330">
        <v>25</v>
      </c>
      <c r="AA305" s="330">
        <v>16</v>
      </c>
      <c r="AB305" s="330">
        <v>206</v>
      </c>
      <c r="AC305" s="330">
        <v>33</v>
      </c>
      <c r="AD305" s="330">
        <v>10958</v>
      </c>
      <c r="AE305" s="330">
        <v>80</v>
      </c>
      <c r="AF305" s="330">
        <v>37</v>
      </c>
      <c r="AG305" s="330">
        <v>117</v>
      </c>
    </row>
    <row r="306" spans="1:33" x14ac:dyDescent="0.25">
      <c r="A306" s="329" t="s">
        <v>664</v>
      </c>
      <c r="B306" s="335" t="s">
        <v>665</v>
      </c>
      <c r="C306" s="331">
        <v>5698</v>
      </c>
      <c r="D306" s="331">
        <v>2</v>
      </c>
      <c r="E306" s="331">
        <v>135</v>
      </c>
      <c r="F306" s="331">
        <v>159</v>
      </c>
      <c r="G306" s="331">
        <v>618</v>
      </c>
      <c r="H306" s="331">
        <v>6612</v>
      </c>
      <c r="I306" s="330">
        <v>5994</v>
      </c>
      <c r="J306" s="330">
        <v>32</v>
      </c>
      <c r="K306" s="332">
        <v>108.8</v>
      </c>
      <c r="L306" s="332">
        <v>111.53</v>
      </c>
      <c r="M306" s="332">
        <v>4.62</v>
      </c>
      <c r="N306" s="332">
        <v>110.64</v>
      </c>
      <c r="O306" s="333">
        <v>4954</v>
      </c>
      <c r="P306" s="330">
        <v>101.07</v>
      </c>
      <c r="Q306" s="330">
        <v>97.35</v>
      </c>
      <c r="R306" s="330">
        <v>54.89</v>
      </c>
      <c r="S306" s="330">
        <v>152.72</v>
      </c>
      <c r="T306" s="330">
        <v>289</v>
      </c>
      <c r="U306" s="330">
        <v>160.84</v>
      </c>
      <c r="V306" s="330">
        <v>642</v>
      </c>
      <c r="W306" s="330">
        <v>0</v>
      </c>
      <c r="X306" s="330">
        <v>0</v>
      </c>
      <c r="Y306" s="330">
        <v>0</v>
      </c>
      <c r="Z306" s="330">
        <v>3</v>
      </c>
      <c r="AA306" s="330">
        <v>7</v>
      </c>
      <c r="AB306" s="330">
        <v>33</v>
      </c>
      <c r="AC306" s="330">
        <v>6</v>
      </c>
      <c r="AD306" s="334">
        <v>5555</v>
      </c>
      <c r="AE306" s="334">
        <v>20</v>
      </c>
      <c r="AF306" s="334">
        <v>59</v>
      </c>
      <c r="AG306" s="334">
        <v>79</v>
      </c>
    </row>
    <row r="307" spans="1:33" x14ac:dyDescent="0.25">
      <c r="A307" s="329" t="s">
        <v>666</v>
      </c>
      <c r="B307" s="335" t="s">
        <v>667</v>
      </c>
      <c r="C307" s="330">
        <v>10682</v>
      </c>
      <c r="D307" s="330">
        <v>1</v>
      </c>
      <c r="E307" s="330">
        <v>467</v>
      </c>
      <c r="F307" s="330">
        <v>1133</v>
      </c>
      <c r="G307" s="330">
        <v>628</v>
      </c>
      <c r="H307" s="330">
        <v>12911</v>
      </c>
      <c r="I307" s="330">
        <v>12283</v>
      </c>
      <c r="J307" s="330">
        <v>20</v>
      </c>
      <c r="K307" s="330">
        <v>90.57</v>
      </c>
      <c r="L307" s="332">
        <v>90.6</v>
      </c>
      <c r="M307" s="332">
        <v>4.66</v>
      </c>
      <c r="N307" s="332">
        <v>91.8</v>
      </c>
      <c r="O307" s="333">
        <v>8865</v>
      </c>
      <c r="P307" s="330">
        <v>86.78</v>
      </c>
      <c r="Q307" s="330">
        <v>85.17</v>
      </c>
      <c r="R307" s="330">
        <v>38.35</v>
      </c>
      <c r="S307" s="330">
        <v>123.84</v>
      </c>
      <c r="T307" s="330">
        <v>1549</v>
      </c>
      <c r="U307" s="330">
        <v>128.22</v>
      </c>
      <c r="V307" s="330">
        <v>1669</v>
      </c>
      <c r="W307" s="330">
        <v>106.67</v>
      </c>
      <c r="X307" s="330">
        <v>22</v>
      </c>
      <c r="Y307" s="330">
        <v>33</v>
      </c>
      <c r="Z307" s="330">
        <v>33</v>
      </c>
      <c r="AA307" s="330">
        <v>28</v>
      </c>
      <c r="AB307" s="330">
        <v>47</v>
      </c>
      <c r="AC307" s="330">
        <v>13</v>
      </c>
      <c r="AD307" s="330">
        <v>10678</v>
      </c>
      <c r="AE307" s="330">
        <v>52</v>
      </c>
      <c r="AF307" s="330">
        <v>41</v>
      </c>
      <c r="AG307" s="330">
        <v>93</v>
      </c>
    </row>
    <row r="308" spans="1:33" x14ac:dyDescent="0.25">
      <c r="A308" s="329" t="s">
        <v>668</v>
      </c>
      <c r="B308" s="335" t="s">
        <v>669</v>
      </c>
      <c r="C308" s="331">
        <v>12151</v>
      </c>
      <c r="D308" s="331">
        <v>1093</v>
      </c>
      <c r="E308" s="331">
        <v>1094</v>
      </c>
      <c r="F308" s="331">
        <v>737</v>
      </c>
      <c r="G308" s="331">
        <v>525</v>
      </c>
      <c r="H308" s="331">
        <v>15600</v>
      </c>
      <c r="I308" s="330">
        <v>15075</v>
      </c>
      <c r="J308" s="330">
        <v>670</v>
      </c>
      <c r="K308" s="332">
        <v>140.01</v>
      </c>
      <c r="L308" s="332">
        <v>141.85</v>
      </c>
      <c r="M308" s="332">
        <v>12.83</v>
      </c>
      <c r="N308" s="332">
        <v>150.68</v>
      </c>
      <c r="O308" s="333">
        <v>10148</v>
      </c>
      <c r="P308" s="330">
        <v>110.43</v>
      </c>
      <c r="Q308" s="330">
        <v>109.13</v>
      </c>
      <c r="R308" s="330">
        <v>66.790000000000006</v>
      </c>
      <c r="S308" s="330">
        <v>163.9</v>
      </c>
      <c r="T308" s="330">
        <v>1709</v>
      </c>
      <c r="U308" s="330">
        <v>207.01</v>
      </c>
      <c r="V308" s="330">
        <v>702</v>
      </c>
      <c r="W308" s="330">
        <v>143.47999999999999</v>
      </c>
      <c r="X308" s="330">
        <v>2</v>
      </c>
      <c r="Y308" s="330">
        <v>0</v>
      </c>
      <c r="Z308" s="330">
        <v>0</v>
      </c>
      <c r="AA308" s="330">
        <v>2</v>
      </c>
      <c r="AB308" s="330">
        <v>6</v>
      </c>
      <c r="AC308" s="330">
        <v>9</v>
      </c>
      <c r="AD308" s="334">
        <v>10566</v>
      </c>
      <c r="AE308" s="334">
        <v>32</v>
      </c>
      <c r="AF308" s="334">
        <v>71</v>
      </c>
      <c r="AG308" s="334">
        <v>103</v>
      </c>
    </row>
    <row r="309" spans="1:33" x14ac:dyDescent="0.25">
      <c r="A309" s="329" t="s">
        <v>670</v>
      </c>
      <c r="B309" s="335" t="s">
        <v>671</v>
      </c>
      <c r="C309" s="331">
        <v>2184</v>
      </c>
      <c r="D309" s="331">
        <v>0</v>
      </c>
      <c r="E309" s="331">
        <v>819</v>
      </c>
      <c r="F309" s="331">
        <v>1019</v>
      </c>
      <c r="G309" s="331">
        <v>254</v>
      </c>
      <c r="H309" s="331">
        <v>4276</v>
      </c>
      <c r="I309" s="330">
        <v>4022</v>
      </c>
      <c r="J309" s="330">
        <v>0</v>
      </c>
      <c r="K309" s="332">
        <v>79.09</v>
      </c>
      <c r="L309" s="332">
        <v>75.89</v>
      </c>
      <c r="M309" s="332">
        <v>6.38</v>
      </c>
      <c r="N309" s="332">
        <v>82.54</v>
      </c>
      <c r="O309" s="333">
        <v>1590</v>
      </c>
      <c r="P309" s="330">
        <v>88.31</v>
      </c>
      <c r="Q309" s="330">
        <v>71.760000000000005</v>
      </c>
      <c r="R309" s="330">
        <v>68.14</v>
      </c>
      <c r="S309" s="330">
        <v>153.94999999999999</v>
      </c>
      <c r="T309" s="330">
        <v>1668</v>
      </c>
      <c r="U309" s="330">
        <v>96.66</v>
      </c>
      <c r="V309" s="330">
        <v>459</v>
      </c>
      <c r="W309" s="330">
        <v>157.94</v>
      </c>
      <c r="X309" s="330">
        <v>20</v>
      </c>
      <c r="Y309" s="330">
        <v>0</v>
      </c>
      <c r="Z309" s="330">
        <v>2</v>
      </c>
      <c r="AA309" s="330">
        <v>15</v>
      </c>
      <c r="AB309" s="330">
        <v>44</v>
      </c>
      <c r="AC309" s="330">
        <v>1</v>
      </c>
      <c r="AD309" s="334">
        <v>2081</v>
      </c>
      <c r="AE309" s="334">
        <v>24</v>
      </c>
      <c r="AF309" s="334">
        <v>7</v>
      </c>
      <c r="AG309" s="334">
        <v>31</v>
      </c>
    </row>
    <row r="310" spans="1:33" x14ac:dyDescent="0.25">
      <c r="A310" s="329" t="s">
        <v>672</v>
      </c>
      <c r="B310" s="335" t="s">
        <v>673</v>
      </c>
      <c r="C310" s="331">
        <v>21985</v>
      </c>
      <c r="D310" s="331">
        <v>25</v>
      </c>
      <c r="E310" s="331">
        <v>669</v>
      </c>
      <c r="F310" s="331">
        <v>3074</v>
      </c>
      <c r="G310" s="331">
        <v>1745</v>
      </c>
      <c r="H310" s="331">
        <v>27498</v>
      </c>
      <c r="I310" s="330">
        <v>25753</v>
      </c>
      <c r="J310" s="330">
        <v>103</v>
      </c>
      <c r="K310" s="332">
        <v>99.12</v>
      </c>
      <c r="L310" s="332">
        <v>99.27</v>
      </c>
      <c r="M310" s="332">
        <v>3.96</v>
      </c>
      <c r="N310" s="332">
        <v>101.17</v>
      </c>
      <c r="O310" s="333">
        <v>18583</v>
      </c>
      <c r="P310" s="330">
        <v>92.97</v>
      </c>
      <c r="Q310" s="330">
        <v>92.45</v>
      </c>
      <c r="R310" s="330">
        <v>23.78</v>
      </c>
      <c r="S310" s="330">
        <v>115.85</v>
      </c>
      <c r="T310" s="330">
        <v>3311</v>
      </c>
      <c r="U310" s="330">
        <v>128.5</v>
      </c>
      <c r="V310" s="330">
        <v>2747</v>
      </c>
      <c r="W310" s="330">
        <v>161.44</v>
      </c>
      <c r="X310" s="330">
        <v>73</v>
      </c>
      <c r="Y310" s="330">
        <v>330</v>
      </c>
      <c r="Z310" s="330">
        <v>31</v>
      </c>
      <c r="AA310" s="330">
        <v>77</v>
      </c>
      <c r="AB310" s="330">
        <v>92</v>
      </c>
      <c r="AC310" s="330">
        <v>34</v>
      </c>
      <c r="AD310" s="334">
        <v>21325</v>
      </c>
      <c r="AE310" s="334">
        <v>138</v>
      </c>
      <c r="AF310" s="334">
        <v>110</v>
      </c>
      <c r="AG310" s="334">
        <v>248</v>
      </c>
    </row>
    <row r="311" spans="1:33" x14ac:dyDescent="0.25">
      <c r="A311" s="329" t="s">
        <v>674</v>
      </c>
      <c r="B311" s="335" t="s">
        <v>675</v>
      </c>
      <c r="C311" s="331">
        <v>2347</v>
      </c>
      <c r="D311" s="331">
        <v>6</v>
      </c>
      <c r="E311" s="331">
        <v>198</v>
      </c>
      <c r="F311" s="331">
        <v>238</v>
      </c>
      <c r="G311" s="331">
        <v>418</v>
      </c>
      <c r="H311" s="331">
        <v>3207</v>
      </c>
      <c r="I311" s="330">
        <v>2789</v>
      </c>
      <c r="J311" s="330">
        <v>2</v>
      </c>
      <c r="K311" s="332">
        <v>112.58</v>
      </c>
      <c r="L311" s="332">
        <v>109.2</v>
      </c>
      <c r="M311" s="332">
        <v>7.42</v>
      </c>
      <c r="N311" s="332">
        <v>119.47</v>
      </c>
      <c r="O311" s="333">
        <v>1748</v>
      </c>
      <c r="P311" s="330">
        <v>98.76</v>
      </c>
      <c r="Q311" s="330">
        <v>88.47</v>
      </c>
      <c r="R311" s="330">
        <v>37.229999999999997</v>
      </c>
      <c r="S311" s="330">
        <v>133.69</v>
      </c>
      <c r="T311" s="330">
        <v>405</v>
      </c>
      <c r="U311" s="330">
        <v>167.01</v>
      </c>
      <c r="V311" s="330">
        <v>445</v>
      </c>
      <c r="W311" s="330">
        <v>0</v>
      </c>
      <c r="X311" s="330">
        <v>0</v>
      </c>
      <c r="Y311" s="330">
        <v>16</v>
      </c>
      <c r="Z311" s="330">
        <v>0</v>
      </c>
      <c r="AA311" s="330">
        <v>8</v>
      </c>
      <c r="AB311" s="330">
        <v>34</v>
      </c>
      <c r="AC311" s="330">
        <v>16</v>
      </c>
      <c r="AD311" s="334">
        <v>2195</v>
      </c>
      <c r="AE311" s="334">
        <v>8</v>
      </c>
      <c r="AF311" s="334">
        <v>5</v>
      </c>
      <c r="AG311" s="334">
        <v>13</v>
      </c>
    </row>
    <row r="312" spans="1:33" x14ac:dyDescent="0.25">
      <c r="A312" s="329" t="s">
        <v>676</v>
      </c>
      <c r="B312" s="335" t="s">
        <v>677</v>
      </c>
      <c r="C312" s="331">
        <v>6797</v>
      </c>
      <c r="D312" s="331">
        <v>16</v>
      </c>
      <c r="E312" s="331">
        <v>167</v>
      </c>
      <c r="F312" s="331">
        <v>895</v>
      </c>
      <c r="G312" s="331">
        <v>247</v>
      </c>
      <c r="H312" s="331">
        <v>8122</v>
      </c>
      <c r="I312" s="330">
        <v>7875</v>
      </c>
      <c r="J312" s="330">
        <v>39</v>
      </c>
      <c r="K312" s="332">
        <v>120.53</v>
      </c>
      <c r="L312" s="332">
        <v>122.09</v>
      </c>
      <c r="M312" s="332">
        <v>8.19</v>
      </c>
      <c r="N312" s="332">
        <v>124.16</v>
      </c>
      <c r="O312" s="333">
        <v>6392</v>
      </c>
      <c r="P312" s="330">
        <v>107.86</v>
      </c>
      <c r="Q312" s="330">
        <v>106.27</v>
      </c>
      <c r="R312" s="330">
        <v>28.4</v>
      </c>
      <c r="S312" s="330">
        <v>127.52</v>
      </c>
      <c r="T312" s="330">
        <v>1017</v>
      </c>
      <c r="U312" s="330">
        <v>173.3</v>
      </c>
      <c r="V312" s="330">
        <v>327</v>
      </c>
      <c r="W312" s="330">
        <v>143.82</v>
      </c>
      <c r="X312" s="330">
        <v>1</v>
      </c>
      <c r="Y312" s="330">
        <v>31</v>
      </c>
      <c r="Z312" s="330">
        <v>4</v>
      </c>
      <c r="AA312" s="330">
        <v>0</v>
      </c>
      <c r="AB312" s="330">
        <v>12</v>
      </c>
      <c r="AC312" s="330">
        <v>5</v>
      </c>
      <c r="AD312" s="334">
        <v>6788</v>
      </c>
      <c r="AE312" s="334">
        <v>28</v>
      </c>
      <c r="AF312" s="334">
        <v>14</v>
      </c>
      <c r="AG312" s="334">
        <v>42</v>
      </c>
    </row>
    <row r="313" spans="1:33" x14ac:dyDescent="0.25">
      <c r="A313" s="329" t="s">
        <v>678</v>
      </c>
      <c r="B313" s="335" t="s">
        <v>679</v>
      </c>
      <c r="C313" s="331">
        <v>17732</v>
      </c>
      <c r="D313" s="331">
        <v>35</v>
      </c>
      <c r="E313" s="331">
        <v>1207</v>
      </c>
      <c r="F313" s="331">
        <v>3693</v>
      </c>
      <c r="G313" s="331">
        <v>402</v>
      </c>
      <c r="H313" s="331">
        <v>23069</v>
      </c>
      <c r="I313" s="330">
        <v>22667</v>
      </c>
      <c r="J313" s="330">
        <v>6</v>
      </c>
      <c r="K313" s="332">
        <v>85.59</v>
      </c>
      <c r="L313" s="332">
        <v>82.48</v>
      </c>
      <c r="M313" s="332">
        <v>7.26</v>
      </c>
      <c r="N313" s="332">
        <v>88.14</v>
      </c>
      <c r="O313" s="333">
        <v>13894</v>
      </c>
      <c r="P313" s="330">
        <v>84.85</v>
      </c>
      <c r="Q313" s="330">
        <v>75.959999999999994</v>
      </c>
      <c r="R313" s="330">
        <v>26.58</v>
      </c>
      <c r="S313" s="330">
        <v>110.14</v>
      </c>
      <c r="T313" s="330">
        <v>3780</v>
      </c>
      <c r="U313" s="330">
        <v>107.72</v>
      </c>
      <c r="V313" s="330">
        <v>2024</v>
      </c>
      <c r="W313" s="330">
        <v>144.31</v>
      </c>
      <c r="X313" s="330">
        <v>122</v>
      </c>
      <c r="Y313" s="330">
        <v>3</v>
      </c>
      <c r="Z313" s="330">
        <v>81</v>
      </c>
      <c r="AA313" s="330">
        <v>13</v>
      </c>
      <c r="AB313" s="330">
        <v>12</v>
      </c>
      <c r="AC313" s="330">
        <v>7</v>
      </c>
      <c r="AD313" s="334">
        <v>15785</v>
      </c>
      <c r="AE313" s="334">
        <v>192</v>
      </c>
      <c r="AF313" s="334">
        <v>62</v>
      </c>
      <c r="AG313" s="334">
        <v>254</v>
      </c>
    </row>
    <row r="314" spans="1:33" x14ac:dyDescent="0.25">
      <c r="A314" s="329" t="s">
        <v>680</v>
      </c>
      <c r="B314" s="335" t="s">
        <v>681</v>
      </c>
      <c r="C314" s="331">
        <v>1139</v>
      </c>
      <c r="D314" s="331">
        <v>4</v>
      </c>
      <c r="E314" s="331">
        <v>175</v>
      </c>
      <c r="F314" s="331">
        <v>329</v>
      </c>
      <c r="G314" s="331">
        <v>290</v>
      </c>
      <c r="H314" s="331">
        <v>1937</v>
      </c>
      <c r="I314" s="330">
        <v>1647</v>
      </c>
      <c r="J314" s="330">
        <v>2</v>
      </c>
      <c r="K314" s="332">
        <v>127.71</v>
      </c>
      <c r="L314" s="332">
        <v>120.4</v>
      </c>
      <c r="M314" s="332">
        <v>8.99</v>
      </c>
      <c r="N314" s="332">
        <v>135.41999999999999</v>
      </c>
      <c r="O314" s="333">
        <v>944</v>
      </c>
      <c r="P314" s="330">
        <v>116.72</v>
      </c>
      <c r="Q314" s="330">
        <v>94.05</v>
      </c>
      <c r="R314" s="330">
        <v>36.299999999999997</v>
      </c>
      <c r="S314" s="330">
        <v>152.88999999999999</v>
      </c>
      <c r="T314" s="330">
        <v>273</v>
      </c>
      <c r="U314" s="330">
        <v>189.31</v>
      </c>
      <c r="V314" s="330">
        <v>67</v>
      </c>
      <c r="W314" s="330">
        <v>110.04</v>
      </c>
      <c r="X314" s="330">
        <v>4</v>
      </c>
      <c r="Y314" s="330">
        <v>206</v>
      </c>
      <c r="Z314" s="330">
        <v>4</v>
      </c>
      <c r="AA314" s="330">
        <v>10</v>
      </c>
      <c r="AB314" s="330">
        <v>1</v>
      </c>
      <c r="AC314" s="330">
        <v>3</v>
      </c>
      <c r="AD314" s="334">
        <v>1023</v>
      </c>
      <c r="AE314" s="334">
        <v>25</v>
      </c>
      <c r="AF314" s="334">
        <v>9</v>
      </c>
      <c r="AG314" s="334">
        <v>34</v>
      </c>
    </row>
    <row r="315" spans="1:33" x14ac:dyDescent="0.25">
      <c r="A315" s="329" t="s">
        <v>682</v>
      </c>
      <c r="B315" s="335" t="s">
        <v>683</v>
      </c>
      <c r="C315" s="331">
        <v>1816</v>
      </c>
      <c r="D315" s="331">
        <v>0</v>
      </c>
      <c r="E315" s="331">
        <v>189</v>
      </c>
      <c r="F315" s="331">
        <v>180</v>
      </c>
      <c r="G315" s="331">
        <v>992</v>
      </c>
      <c r="H315" s="331">
        <v>3177</v>
      </c>
      <c r="I315" s="330">
        <v>2185</v>
      </c>
      <c r="J315" s="330">
        <v>0</v>
      </c>
      <c r="K315" s="332">
        <v>130.72999999999999</v>
      </c>
      <c r="L315" s="332">
        <v>128.58000000000001</v>
      </c>
      <c r="M315" s="332">
        <v>7.59</v>
      </c>
      <c r="N315" s="332">
        <v>136.96</v>
      </c>
      <c r="O315" s="333">
        <v>1638</v>
      </c>
      <c r="P315" s="330">
        <v>110.95</v>
      </c>
      <c r="Q315" s="330">
        <v>109.17</v>
      </c>
      <c r="R315" s="330">
        <v>44.97</v>
      </c>
      <c r="S315" s="330">
        <v>152.05000000000001</v>
      </c>
      <c r="T315" s="330">
        <v>244</v>
      </c>
      <c r="U315" s="330">
        <v>158.38</v>
      </c>
      <c r="V315" s="330">
        <v>133</v>
      </c>
      <c r="W315" s="330">
        <v>0</v>
      </c>
      <c r="X315" s="330">
        <v>0</v>
      </c>
      <c r="Y315" s="330">
        <v>0</v>
      </c>
      <c r="Z315" s="330">
        <v>1</v>
      </c>
      <c r="AA315" s="330">
        <v>19</v>
      </c>
      <c r="AB315" s="330">
        <v>153</v>
      </c>
      <c r="AC315" s="330">
        <v>7</v>
      </c>
      <c r="AD315" s="334">
        <v>1796</v>
      </c>
      <c r="AE315" s="334">
        <v>10</v>
      </c>
      <c r="AF315" s="334">
        <v>2</v>
      </c>
      <c r="AG315" s="334">
        <v>12</v>
      </c>
    </row>
    <row r="316" spans="1:33" x14ac:dyDescent="0.25">
      <c r="A316" s="329" t="s">
        <v>684</v>
      </c>
      <c r="B316" s="335" t="s">
        <v>685</v>
      </c>
      <c r="C316" s="331">
        <v>4433</v>
      </c>
      <c r="D316" s="331">
        <v>2</v>
      </c>
      <c r="E316" s="331">
        <v>629</v>
      </c>
      <c r="F316" s="331">
        <v>1489</v>
      </c>
      <c r="G316" s="331">
        <v>283</v>
      </c>
      <c r="H316" s="331">
        <v>6836</v>
      </c>
      <c r="I316" s="330">
        <v>6553</v>
      </c>
      <c r="J316" s="330">
        <v>2</v>
      </c>
      <c r="K316" s="332">
        <v>87.81</v>
      </c>
      <c r="L316" s="332">
        <v>84.25</v>
      </c>
      <c r="M316" s="332">
        <v>6.08</v>
      </c>
      <c r="N316" s="332">
        <v>93.06</v>
      </c>
      <c r="O316" s="333">
        <v>3841</v>
      </c>
      <c r="P316" s="330">
        <v>97.1</v>
      </c>
      <c r="Q316" s="330">
        <v>87.53</v>
      </c>
      <c r="R316" s="330">
        <v>49.94</v>
      </c>
      <c r="S316" s="330">
        <v>144.32</v>
      </c>
      <c r="T316" s="330">
        <v>1880</v>
      </c>
      <c r="U316" s="330">
        <v>106.04</v>
      </c>
      <c r="V316" s="330">
        <v>432</v>
      </c>
      <c r="W316" s="330">
        <v>170.92</v>
      </c>
      <c r="X316" s="330">
        <v>36</v>
      </c>
      <c r="Y316" s="330">
        <v>118</v>
      </c>
      <c r="Z316" s="330">
        <v>2</v>
      </c>
      <c r="AA316" s="330">
        <v>8</v>
      </c>
      <c r="AB316" s="330">
        <v>3</v>
      </c>
      <c r="AC316" s="330">
        <v>13</v>
      </c>
      <c r="AD316" s="334">
        <v>4433</v>
      </c>
      <c r="AE316" s="334">
        <v>58</v>
      </c>
      <c r="AF316" s="334">
        <v>33</v>
      </c>
      <c r="AG316" s="334">
        <v>91</v>
      </c>
    </row>
    <row r="317" spans="1:33" x14ac:dyDescent="0.25">
      <c r="A317" s="329" t="s">
        <v>686</v>
      </c>
      <c r="B317" s="335" t="s">
        <v>687</v>
      </c>
      <c r="C317" s="331">
        <v>6235</v>
      </c>
      <c r="D317" s="331">
        <v>5</v>
      </c>
      <c r="E317" s="331">
        <v>473</v>
      </c>
      <c r="F317" s="331">
        <v>961</v>
      </c>
      <c r="G317" s="331">
        <v>480</v>
      </c>
      <c r="H317" s="331">
        <v>8154</v>
      </c>
      <c r="I317" s="330">
        <v>7674</v>
      </c>
      <c r="J317" s="330">
        <v>0</v>
      </c>
      <c r="K317" s="332">
        <v>86.15</v>
      </c>
      <c r="L317" s="332">
        <v>87.62</v>
      </c>
      <c r="M317" s="332">
        <v>5.69</v>
      </c>
      <c r="N317" s="332">
        <v>91.41</v>
      </c>
      <c r="O317" s="333">
        <v>5251</v>
      </c>
      <c r="P317" s="330">
        <v>86.66</v>
      </c>
      <c r="Q317" s="330">
        <v>78.58</v>
      </c>
      <c r="R317" s="330">
        <v>40.33</v>
      </c>
      <c r="S317" s="330">
        <v>126</v>
      </c>
      <c r="T317" s="330">
        <v>1140</v>
      </c>
      <c r="U317" s="330">
        <v>108.98</v>
      </c>
      <c r="V317" s="330">
        <v>857</v>
      </c>
      <c r="W317" s="330">
        <v>194.16</v>
      </c>
      <c r="X317" s="330">
        <v>162</v>
      </c>
      <c r="Y317" s="330">
        <v>0</v>
      </c>
      <c r="Z317" s="330">
        <v>11</v>
      </c>
      <c r="AA317" s="330">
        <v>3</v>
      </c>
      <c r="AB317" s="330">
        <v>12</v>
      </c>
      <c r="AC317" s="330">
        <v>11</v>
      </c>
      <c r="AD317" s="334">
        <v>6109</v>
      </c>
      <c r="AE317" s="334">
        <v>23</v>
      </c>
      <c r="AF317" s="334">
        <v>7</v>
      </c>
      <c r="AG317" s="334">
        <v>30</v>
      </c>
    </row>
    <row r="318" spans="1:33" x14ac:dyDescent="0.25">
      <c r="A318" s="329" t="s">
        <v>688</v>
      </c>
      <c r="B318" s="335" t="s">
        <v>689</v>
      </c>
      <c r="C318" s="331">
        <v>4047</v>
      </c>
      <c r="D318" s="331">
        <v>33</v>
      </c>
      <c r="E318" s="331">
        <v>235</v>
      </c>
      <c r="F318" s="331">
        <v>490</v>
      </c>
      <c r="G318" s="331">
        <v>155</v>
      </c>
      <c r="H318" s="331">
        <v>4960</v>
      </c>
      <c r="I318" s="330">
        <v>4805</v>
      </c>
      <c r="J318" s="330">
        <v>3</v>
      </c>
      <c r="K318" s="332">
        <v>100.33</v>
      </c>
      <c r="L318" s="332">
        <v>99.07</v>
      </c>
      <c r="M318" s="332">
        <v>6.76</v>
      </c>
      <c r="N318" s="332">
        <v>104.55</v>
      </c>
      <c r="O318" s="333">
        <v>3750</v>
      </c>
      <c r="P318" s="330">
        <v>89.86</v>
      </c>
      <c r="Q318" s="330">
        <v>84.56</v>
      </c>
      <c r="R318" s="330">
        <v>33.46</v>
      </c>
      <c r="S318" s="330">
        <v>122.07</v>
      </c>
      <c r="T318" s="330">
        <v>507</v>
      </c>
      <c r="U318" s="330">
        <v>141.24</v>
      </c>
      <c r="V318" s="330">
        <v>181</v>
      </c>
      <c r="W318" s="330">
        <v>142.27000000000001</v>
      </c>
      <c r="X318" s="330">
        <v>25</v>
      </c>
      <c r="Y318" s="330">
        <v>0</v>
      </c>
      <c r="Z318" s="330">
        <v>4</v>
      </c>
      <c r="AA318" s="330">
        <v>28</v>
      </c>
      <c r="AB318" s="330">
        <v>40</v>
      </c>
      <c r="AC318" s="330">
        <v>3</v>
      </c>
      <c r="AD318" s="334">
        <v>4018</v>
      </c>
      <c r="AE318" s="334">
        <v>19</v>
      </c>
      <c r="AF318" s="334">
        <v>3</v>
      </c>
      <c r="AG318" s="334">
        <v>22</v>
      </c>
    </row>
    <row r="319" spans="1:33" x14ac:dyDescent="0.25">
      <c r="A319" s="329" t="s">
        <v>690</v>
      </c>
      <c r="B319" s="335" t="s">
        <v>691</v>
      </c>
      <c r="C319" s="331">
        <v>7773</v>
      </c>
      <c r="D319" s="331">
        <v>7</v>
      </c>
      <c r="E319" s="331">
        <v>102</v>
      </c>
      <c r="F319" s="331">
        <v>899</v>
      </c>
      <c r="G319" s="331">
        <v>574</v>
      </c>
      <c r="H319" s="331">
        <v>9355</v>
      </c>
      <c r="I319" s="330">
        <v>8781</v>
      </c>
      <c r="J319" s="330">
        <v>0</v>
      </c>
      <c r="K319" s="332">
        <v>93.54</v>
      </c>
      <c r="L319" s="332">
        <v>91.77</v>
      </c>
      <c r="M319" s="332">
        <v>3.99</v>
      </c>
      <c r="N319" s="332">
        <v>95.65</v>
      </c>
      <c r="O319" s="333">
        <v>6654</v>
      </c>
      <c r="P319" s="330">
        <v>98.67</v>
      </c>
      <c r="Q319" s="330">
        <v>85.92</v>
      </c>
      <c r="R319" s="330">
        <v>37.35</v>
      </c>
      <c r="S319" s="330">
        <v>135.97</v>
      </c>
      <c r="T319" s="330">
        <v>925</v>
      </c>
      <c r="U319" s="330">
        <v>115.22</v>
      </c>
      <c r="V319" s="330">
        <v>1109</v>
      </c>
      <c r="W319" s="330">
        <v>224.41</v>
      </c>
      <c r="X319" s="330">
        <v>76</v>
      </c>
      <c r="Y319" s="330">
        <v>0</v>
      </c>
      <c r="Z319" s="330">
        <v>9</v>
      </c>
      <c r="AA319" s="330">
        <v>9</v>
      </c>
      <c r="AB319" s="330">
        <v>83</v>
      </c>
      <c r="AC319" s="330">
        <v>10</v>
      </c>
      <c r="AD319" s="334">
        <v>7773</v>
      </c>
      <c r="AE319" s="334">
        <v>27</v>
      </c>
      <c r="AF319" s="334">
        <v>10</v>
      </c>
      <c r="AG319" s="334">
        <v>37</v>
      </c>
    </row>
    <row r="320" spans="1:33" x14ac:dyDescent="0.25">
      <c r="A320" s="330" t="s">
        <v>692</v>
      </c>
      <c r="B320" s="331" t="s">
        <v>693</v>
      </c>
      <c r="C320" s="335">
        <v>3182</v>
      </c>
      <c r="D320" s="335">
        <v>0</v>
      </c>
      <c r="E320" s="335">
        <v>260</v>
      </c>
      <c r="F320" s="335">
        <v>375</v>
      </c>
      <c r="G320" s="335">
        <v>195</v>
      </c>
      <c r="H320" s="335">
        <v>4012</v>
      </c>
      <c r="I320" s="329">
        <v>3817</v>
      </c>
      <c r="J320" s="329">
        <v>63</v>
      </c>
      <c r="K320" s="338">
        <v>85.07</v>
      </c>
      <c r="L320" s="338">
        <v>85.25</v>
      </c>
      <c r="M320" s="338">
        <v>4.1500000000000004</v>
      </c>
      <c r="N320" s="338">
        <v>87.49</v>
      </c>
      <c r="O320" s="339">
        <v>2871</v>
      </c>
      <c r="P320" s="329">
        <v>97.89</v>
      </c>
      <c r="Q320" s="329">
        <v>83.02</v>
      </c>
      <c r="R320" s="329">
        <v>37.72</v>
      </c>
      <c r="S320" s="329">
        <v>135.41</v>
      </c>
      <c r="T320" s="329">
        <v>569</v>
      </c>
      <c r="U320" s="329">
        <v>103.85</v>
      </c>
      <c r="V320" s="329">
        <v>262</v>
      </c>
      <c r="W320" s="329">
        <v>0</v>
      </c>
      <c r="X320" s="329">
        <v>0</v>
      </c>
      <c r="Y320" s="329">
        <v>3</v>
      </c>
      <c r="Z320" s="329">
        <v>2</v>
      </c>
      <c r="AA320" s="329">
        <v>5</v>
      </c>
      <c r="AB320" s="329">
        <v>15</v>
      </c>
      <c r="AC320" s="329">
        <v>9</v>
      </c>
      <c r="AD320" s="340">
        <v>3147</v>
      </c>
      <c r="AE320" s="340">
        <v>14</v>
      </c>
      <c r="AF320" s="340">
        <v>32</v>
      </c>
      <c r="AG320" s="340">
        <v>46</v>
      </c>
    </row>
    <row r="321" spans="1:33" x14ac:dyDescent="0.25">
      <c r="A321" s="329" t="s">
        <v>694</v>
      </c>
      <c r="B321" s="335" t="s">
        <v>695</v>
      </c>
      <c r="C321" s="335">
        <v>4429</v>
      </c>
      <c r="D321" s="335">
        <v>0</v>
      </c>
      <c r="E321" s="335">
        <v>2197</v>
      </c>
      <c r="F321" s="335">
        <v>58</v>
      </c>
      <c r="G321" s="335">
        <v>429</v>
      </c>
      <c r="H321" s="335">
        <v>7113</v>
      </c>
      <c r="I321" s="329">
        <v>6684</v>
      </c>
      <c r="J321" s="329">
        <v>0</v>
      </c>
      <c r="K321" s="338">
        <v>87.52</v>
      </c>
      <c r="L321" s="338">
        <v>84.81</v>
      </c>
      <c r="M321" s="338">
        <v>4.43</v>
      </c>
      <c r="N321" s="338">
        <v>91.77</v>
      </c>
      <c r="O321" s="339">
        <v>4083</v>
      </c>
      <c r="P321" s="329">
        <v>84.24</v>
      </c>
      <c r="Q321" s="329">
        <v>78.19</v>
      </c>
      <c r="R321" s="329">
        <v>16.149999999999999</v>
      </c>
      <c r="S321" s="329">
        <v>100.37</v>
      </c>
      <c r="T321" s="329">
        <v>2136</v>
      </c>
      <c r="U321" s="329">
        <v>97.41</v>
      </c>
      <c r="V321" s="329">
        <v>310</v>
      </c>
      <c r="W321" s="329">
        <v>203.24</v>
      </c>
      <c r="X321" s="329">
        <v>115</v>
      </c>
      <c r="Y321" s="329">
        <v>0</v>
      </c>
      <c r="Z321" s="329">
        <v>9</v>
      </c>
      <c r="AA321" s="329">
        <v>1</v>
      </c>
      <c r="AB321" s="329">
        <v>68</v>
      </c>
      <c r="AC321" s="329">
        <v>21</v>
      </c>
      <c r="AD321" s="340">
        <v>4429</v>
      </c>
      <c r="AE321" s="340">
        <v>9</v>
      </c>
      <c r="AF321" s="340">
        <v>29</v>
      </c>
      <c r="AG321" s="340">
        <v>38</v>
      </c>
    </row>
    <row r="322" spans="1:33" x14ac:dyDescent="0.25">
      <c r="A322" s="329" t="s">
        <v>696</v>
      </c>
      <c r="B322" s="335" t="s">
        <v>697</v>
      </c>
      <c r="C322" s="335">
        <v>3910</v>
      </c>
      <c r="D322" s="335">
        <v>10</v>
      </c>
      <c r="E322" s="335">
        <v>356</v>
      </c>
      <c r="F322" s="335">
        <v>697</v>
      </c>
      <c r="G322" s="335">
        <v>419</v>
      </c>
      <c r="H322" s="335">
        <v>5392</v>
      </c>
      <c r="I322" s="329">
        <v>4973</v>
      </c>
      <c r="J322" s="329">
        <v>7</v>
      </c>
      <c r="K322" s="338">
        <v>92.33</v>
      </c>
      <c r="L322" s="338">
        <v>90.92</v>
      </c>
      <c r="M322" s="338">
        <v>7.13</v>
      </c>
      <c r="N322" s="338">
        <v>95.65</v>
      </c>
      <c r="O322" s="339">
        <v>3015</v>
      </c>
      <c r="P322" s="329">
        <v>84.68</v>
      </c>
      <c r="Q322" s="329">
        <v>74.599999999999994</v>
      </c>
      <c r="R322" s="329">
        <v>26.33</v>
      </c>
      <c r="S322" s="329">
        <v>110.13</v>
      </c>
      <c r="T322" s="329">
        <v>684</v>
      </c>
      <c r="U322" s="329">
        <v>107.35</v>
      </c>
      <c r="V322" s="329">
        <v>463</v>
      </c>
      <c r="W322" s="329">
        <v>0</v>
      </c>
      <c r="X322" s="329">
        <v>0</v>
      </c>
      <c r="Y322" s="329">
        <v>0</v>
      </c>
      <c r="Z322" s="329">
        <v>2</v>
      </c>
      <c r="AA322" s="329">
        <v>8</v>
      </c>
      <c r="AB322" s="329">
        <v>11</v>
      </c>
      <c r="AC322" s="329">
        <v>6</v>
      </c>
      <c r="AD322" s="340">
        <v>3583</v>
      </c>
      <c r="AE322" s="340">
        <v>14</v>
      </c>
      <c r="AF322" s="340">
        <v>7</v>
      </c>
      <c r="AG322" s="340">
        <v>21</v>
      </c>
    </row>
  </sheetData>
  <pageMargins left="0.7" right="0.7" top="0.75" bottom="0.75" header="0.3" footer="0.3"/>
  <pageSetup paperSize="9" orientation="portrait" r:id="rId1"/>
  <headerFooter>
    <oddFooter>&amp;C&amp;1#&amp;"Calibri"&amp;12&amp;K0078D7OFFICIAL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1A957-ECFC-4120-8FB8-6B9BD80AE845}">
  <sheetPr codeName="Sheet7">
    <tabColor rgb="FFFFFF00"/>
  </sheetPr>
  <dimension ref="A1:BD322"/>
  <sheetViews>
    <sheetView topLeftCell="A192" zoomScale="80" zoomScaleNormal="80" workbookViewId="0">
      <selection sqref="A1:XFD1048576"/>
    </sheetView>
  </sheetViews>
  <sheetFormatPr defaultColWidth="9.1796875" defaultRowHeight="14.5" x14ac:dyDescent="0.35"/>
  <cols>
    <col min="1" max="8" width="9.1796875" style="145"/>
    <col min="9" max="10" width="10.453125" style="145" customWidth="1"/>
    <col min="11" max="11" width="10.453125" style="145" bestFit="1" customWidth="1"/>
    <col min="12" max="33" width="9.1796875" style="145"/>
    <col min="57" max="16384" width="9.1796875" style="145"/>
  </cols>
  <sheetData>
    <row r="1" spans="1:33" s="144" customFormat="1" ht="13" x14ac:dyDescent="0.3">
      <c r="A1" s="134"/>
      <c r="B1" s="134"/>
      <c r="C1" s="135" t="s">
        <v>38</v>
      </c>
      <c r="D1" s="135" t="s">
        <v>38</v>
      </c>
      <c r="E1" s="135" t="s">
        <v>38</v>
      </c>
      <c r="F1" s="135" t="s">
        <v>38</v>
      </c>
      <c r="G1" s="135" t="s">
        <v>38</v>
      </c>
      <c r="H1" s="135" t="s">
        <v>38</v>
      </c>
      <c r="I1" s="136" t="s">
        <v>39</v>
      </c>
      <c r="J1" s="136" t="s">
        <v>39</v>
      </c>
      <c r="K1" s="137" t="s">
        <v>40</v>
      </c>
      <c r="L1" s="137" t="s">
        <v>40</v>
      </c>
      <c r="M1" s="137" t="s">
        <v>40</v>
      </c>
      <c r="N1" s="138" t="s">
        <v>40</v>
      </c>
      <c r="O1" s="137" t="s">
        <v>40</v>
      </c>
      <c r="P1" s="139" t="s">
        <v>41</v>
      </c>
      <c r="Q1" s="139" t="s">
        <v>41</v>
      </c>
      <c r="R1" s="139" t="s">
        <v>41</v>
      </c>
      <c r="S1" s="139" t="s">
        <v>41</v>
      </c>
      <c r="T1" s="139" t="s">
        <v>41</v>
      </c>
      <c r="U1" s="140" t="s">
        <v>42</v>
      </c>
      <c r="V1" s="140" t="s">
        <v>42</v>
      </c>
      <c r="W1" s="141" t="s">
        <v>43</v>
      </c>
      <c r="X1" s="141" t="s">
        <v>43</v>
      </c>
      <c r="Y1" s="142" t="s">
        <v>44</v>
      </c>
      <c r="Z1" s="142" t="s">
        <v>44</v>
      </c>
      <c r="AA1" s="142" t="s">
        <v>44</v>
      </c>
      <c r="AB1" s="142" t="s">
        <v>44</v>
      </c>
      <c r="AC1" s="142" t="s">
        <v>44</v>
      </c>
      <c r="AD1" s="143" t="s">
        <v>45</v>
      </c>
      <c r="AE1" s="143" t="s">
        <v>45</v>
      </c>
      <c r="AF1" s="143" t="s">
        <v>45</v>
      </c>
      <c r="AG1" s="143" t="s">
        <v>45</v>
      </c>
    </row>
    <row r="2" spans="1:33" x14ac:dyDescent="0.35">
      <c r="B2" s="146">
        <v>1</v>
      </c>
      <c r="C2" s="146">
        <v>2</v>
      </c>
      <c r="D2" s="146">
        <v>3</v>
      </c>
      <c r="E2" s="146">
        <v>4</v>
      </c>
      <c r="F2" s="146">
        <v>5</v>
      </c>
      <c r="G2" s="146">
        <v>6</v>
      </c>
      <c r="H2" s="146">
        <v>7</v>
      </c>
      <c r="I2" s="146">
        <v>8</v>
      </c>
      <c r="J2" s="146">
        <v>9</v>
      </c>
      <c r="K2" s="146">
        <v>10</v>
      </c>
      <c r="L2" s="146">
        <v>11</v>
      </c>
      <c r="M2" s="146">
        <v>12</v>
      </c>
      <c r="N2" s="146">
        <v>13</v>
      </c>
      <c r="O2" s="146">
        <v>14</v>
      </c>
      <c r="P2" s="146">
        <v>15</v>
      </c>
      <c r="Q2" s="146">
        <v>16</v>
      </c>
      <c r="R2" s="146">
        <v>17</v>
      </c>
      <c r="S2" s="146">
        <v>18</v>
      </c>
      <c r="T2" s="146">
        <v>19</v>
      </c>
      <c r="U2" s="146">
        <v>20</v>
      </c>
      <c r="V2" s="146">
        <v>21</v>
      </c>
      <c r="W2" s="146">
        <v>22</v>
      </c>
      <c r="X2" s="146">
        <v>23</v>
      </c>
      <c r="Y2" s="146">
        <v>24</v>
      </c>
      <c r="Z2" s="146">
        <v>25</v>
      </c>
      <c r="AA2" s="146">
        <v>26</v>
      </c>
      <c r="AB2" s="146">
        <v>27</v>
      </c>
      <c r="AC2" s="146">
        <v>28</v>
      </c>
      <c r="AD2" s="146">
        <v>29</v>
      </c>
      <c r="AE2" s="146">
        <v>30</v>
      </c>
      <c r="AF2" s="146">
        <v>31</v>
      </c>
      <c r="AG2" s="146">
        <v>32</v>
      </c>
    </row>
    <row r="3" spans="1:33" ht="88.5" x14ac:dyDescent="0.35">
      <c r="A3" s="145" t="s">
        <v>46</v>
      </c>
      <c r="B3" s="145" t="s">
        <v>47</v>
      </c>
      <c r="C3" s="147" t="s">
        <v>48</v>
      </c>
      <c r="D3" s="147" t="s">
        <v>49</v>
      </c>
      <c r="E3" s="147" t="s">
        <v>50</v>
      </c>
      <c r="F3" s="147" t="s">
        <v>51</v>
      </c>
      <c r="G3" s="147" t="s">
        <v>52</v>
      </c>
      <c r="H3" s="147" t="s">
        <v>53</v>
      </c>
      <c r="I3" s="148" t="s">
        <v>54</v>
      </c>
      <c r="J3" s="148" t="s">
        <v>55</v>
      </c>
      <c r="K3" s="149" t="s">
        <v>56</v>
      </c>
      <c r="L3" s="149" t="s">
        <v>57</v>
      </c>
      <c r="M3" s="149" t="s">
        <v>58</v>
      </c>
      <c r="N3" s="150" t="s">
        <v>59</v>
      </c>
      <c r="O3" s="149" t="s">
        <v>60</v>
      </c>
      <c r="P3" s="151" t="s">
        <v>61</v>
      </c>
      <c r="Q3" s="151" t="s">
        <v>62</v>
      </c>
      <c r="R3" s="151" t="s">
        <v>58</v>
      </c>
      <c r="S3" s="151" t="s">
        <v>63</v>
      </c>
      <c r="T3" s="151" t="s">
        <v>64</v>
      </c>
      <c r="U3" s="152" t="s">
        <v>65</v>
      </c>
      <c r="V3" s="152" t="s">
        <v>66</v>
      </c>
      <c r="W3" s="153" t="s">
        <v>67</v>
      </c>
      <c r="X3" s="153" t="s">
        <v>68</v>
      </c>
      <c r="Y3" s="154" t="s">
        <v>69</v>
      </c>
      <c r="Z3" s="154" t="s">
        <v>70</v>
      </c>
      <c r="AA3" s="154" t="s">
        <v>71</v>
      </c>
      <c r="AB3" s="154" t="s">
        <v>72</v>
      </c>
      <c r="AC3" s="154" t="s">
        <v>73</v>
      </c>
      <c r="AD3" s="155" t="s">
        <v>74</v>
      </c>
      <c r="AE3" s="155" t="s">
        <v>75</v>
      </c>
      <c r="AF3" s="155" t="s">
        <v>76</v>
      </c>
      <c r="AG3" s="155" t="s">
        <v>77</v>
      </c>
    </row>
    <row r="4" spans="1:33" x14ac:dyDescent="0.35">
      <c r="A4" s="329" t="s">
        <v>13</v>
      </c>
      <c r="B4" s="329" t="s">
        <v>13</v>
      </c>
      <c r="C4" s="330">
        <v>2173113</v>
      </c>
      <c r="D4" s="330">
        <v>9633</v>
      </c>
      <c r="E4" s="330">
        <v>140458</v>
      </c>
      <c r="F4" s="330">
        <v>260004</v>
      </c>
      <c r="G4" s="330">
        <v>194670</v>
      </c>
      <c r="H4" s="331">
        <v>2777878</v>
      </c>
      <c r="I4" s="330">
        <v>2583208</v>
      </c>
      <c r="J4" s="330">
        <v>7788</v>
      </c>
      <c r="K4" s="332">
        <v>94.25</v>
      </c>
      <c r="L4" s="332">
        <v>93.8</v>
      </c>
      <c r="M4" s="332">
        <v>7.07</v>
      </c>
      <c r="N4" s="332">
        <v>98.49</v>
      </c>
      <c r="O4" s="333">
        <v>1835331</v>
      </c>
      <c r="P4" s="330">
        <v>90.81</v>
      </c>
      <c r="Q4" s="330">
        <v>86.22</v>
      </c>
      <c r="R4" s="330">
        <v>43.17</v>
      </c>
      <c r="S4" s="330">
        <v>131.75</v>
      </c>
      <c r="T4" s="330">
        <v>334761</v>
      </c>
      <c r="U4" s="330">
        <v>128.62</v>
      </c>
      <c r="V4" s="330">
        <v>254218</v>
      </c>
      <c r="W4" s="330">
        <v>172.58</v>
      </c>
      <c r="X4" s="330">
        <v>14553</v>
      </c>
      <c r="Y4" s="330">
        <v>5109</v>
      </c>
      <c r="Z4" s="330">
        <v>5951</v>
      </c>
      <c r="AA4" s="330">
        <v>2792</v>
      </c>
      <c r="AB4" s="330">
        <v>12396</v>
      </c>
      <c r="AC4" s="330">
        <v>4424</v>
      </c>
      <c r="AD4" s="334">
        <v>2115391</v>
      </c>
      <c r="AE4" s="330">
        <v>16888</v>
      </c>
      <c r="AF4" s="330">
        <v>13840</v>
      </c>
      <c r="AG4" s="330">
        <v>30728</v>
      </c>
    </row>
    <row r="5" spans="1:33" x14ac:dyDescent="0.35">
      <c r="A5" s="335" t="s">
        <v>78</v>
      </c>
      <c r="B5" s="335" t="s">
        <v>78</v>
      </c>
      <c r="C5" s="331">
        <v>115392</v>
      </c>
      <c r="D5" s="331">
        <v>477</v>
      </c>
      <c r="E5" s="331">
        <v>8775</v>
      </c>
      <c r="F5" s="331">
        <v>22302</v>
      </c>
      <c r="G5" s="331">
        <v>14223</v>
      </c>
      <c r="H5" s="331">
        <v>161169</v>
      </c>
      <c r="I5" s="330">
        <v>146946</v>
      </c>
      <c r="J5" s="330">
        <v>463</v>
      </c>
      <c r="K5" s="332">
        <v>86.61</v>
      </c>
      <c r="L5" s="332">
        <v>86.02</v>
      </c>
      <c r="M5" s="332">
        <v>5.09</v>
      </c>
      <c r="N5" s="332">
        <v>89.91</v>
      </c>
      <c r="O5" s="333">
        <v>95498</v>
      </c>
      <c r="P5" s="330">
        <v>87.22</v>
      </c>
      <c r="Q5" s="330">
        <v>81.3</v>
      </c>
      <c r="R5" s="330">
        <v>41.6</v>
      </c>
      <c r="S5" s="330">
        <v>126.89</v>
      </c>
      <c r="T5" s="330">
        <v>27543</v>
      </c>
      <c r="U5" s="330">
        <v>104.89</v>
      </c>
      <c r="V5" s="330">
        <v>15517</v>
      </c>
      <c r="W5" s="330">
        <v>174.97</v>
      </c>
      <c r="X5" s="330">
        <v>702</v>
      </c>
      <c r="Y5" s="330">
        <v>78</v>
      </c>
      <c r="Z5" s="330">
        <v>642</v>
      </c>
      <c r="AA5" s="330">
        <v>151</v>
      </c>
      <c r="AB5" s="330">
        <v>1033</v>
      </c>
      <c r="AC5" s="330">
        <v>255</v>
      </c>
      <c r="AD5" s="334">
        <v>112953</v>
      </c>
      <c r="AE5" s="330">
        <v>1108</v>
      </c>
      <c r="AF5" s="330">
        <v>558</v>
      </c>
      <c r="AG5" s="330">
        <v>1666</v>
      </c>
    </row>
    <row r="6" spans="1:33" x14ac:dyDescent="0.35">
      <c r="A6" s="335" t="s">
        <v>79</v>
      </c>
      <c r="B6" s="335" t="s">
        <v>79</v>
      </c>
      <c r="C6" s="331">
        <v>220952</v>
      </c>
      <c r="D6" s="331">
        <v>1615</v>
      </c>
      <c r="E6" s="331">
        <v>11778</v>
      </c>
      <c r="F6" s="331">
        <v>27979</v>
      </c>
      <c r="G6" s="331">
        <v>21529</v>
      </c>
      <c r="H6" s="331">
        <v>283853</v>
      </c>
      <c r="I6" s="330">
        <v>262324</v>
      </c>
      <c r="J6" s="330">
        <v>1154</v>
      </c>
      <c r="K6" s="332">
        <v>98.35</v>
      </c>
      <c r="L6" s="332">
        <v>98.39</v>
      </c>
      <c r="M6" s="332">
        <v>6.27</v>
      </c>
      <c r="N6" s="332">
        <v>101.58</v>
      </c>
      <c r="O6" s="333">
        <v>184562</v>
      </c>
      <c r="P6" s="330">
        <v>92.73</v>
      </c>
      <c r="Q6" s="330">
        <v>88.38</v>
      </c>
      <c r="R6" s="330">
        <v>37.119999999999997</v>
      </c>
      <c r="S6" s="330">
        <v>128.62</v>
      </c>
      <c r="T6" s="330">
        <v>34498</v>
      </c>
      <c r="U6" s="330">
        <v>133.41999999999999</v>
      </c>
      <c r="V6" s="330">
        <v>30723</v>
      </c>
      <c r="W6" s="330">
        <v>168.59</v>
      </c>
      <c r="X6" s="330">
        <v>571</v>
      </c>
      <c r="Y6" s="330">
        <v>845</v>
      </c>
      <c r="Z6" s="330">
        <v>227</v>
      </c>
      <c r="AA6" s="330">
        <v>178</v>
      </c>
      <c r="AB6" s="330">
        <v>1654</v>
      </c>
      <c r="AC6" s="330">
        <v>334</v>
      </c>
      <c r="AD6" s="334">
        <v>219194</v>
      </c>
      <c r="AE6" s="330">
        <v>1497</v>
      </c>
      <c r="AF6" s="330">
        <v>1230</v>
      </c>
      <c r="AG6" s="330">
        <v>2727</v>
      </c>
    </row>
    <row r="7" spans="1:33" x14ac:dyDescent="0.35">
      <c r="A7" s="335" t="s">
        <v>80</v>
      </c>
      <c r="B7" s="335" t="s">
        <v>80</v>
      </c>
      <c r="C7" s="331">
        <v>357760</v>
      </c>
      <c r="D7" s="331">
        <v>4442</v>
      </c>
      <c r="E7" s="331">
        <v>26130</v>
      </c>
      <c r="F7" s="331">
        <v>27740</v>
      </c>
      <c r="G7" s="331">
        <v>48444</v>
      </c>
      <c r="H7" s="331">
        <v>464516</v>
      </c>
      <c r="I7" s="330">
        <v>416072</v>
      </c>
      <c r="J7" s="330">
        <v>1487</v>
      </c>
      <c r="K7" s="332">
        <v>120.7</v>
      </c>
      <c r="L7" s="332">
        <v>123.11</v>
      </c>
      <c r="M7" s="332">
        <v>12.8</v>
      </c>
      <c r="N7" s="332">
        <v>129.91</v>
      </c>
      <c r="O7" s="333">
        <v>293142</v>
      </c>
      <c r="P7" s="330">
        <v>109.67</v>
      </c>
      <c r="Q7" s="330">
        <v>106.99</v>
      </c>
      <c r="R7" s="330">
        <v>52.87</v>
      </c>
      <c r="S7" s="330">
        <v>157.59</v>
      </c>
      <c r="T7" s="330">
        <v>42538</v>
      </c>
      <c r="U7" s="330">
        <v>191.11</v>
      </c>
      <c r="V7" s="330">
        <v>34054</v>
      </c>
      <c r="W7" s="330">
        <v>209</v>
      </c>
      <c r="X7" s="330">
        <v>1370</v>
      </c>
      <c r="Y7" s="330">
        <v>481</v>
      </c>
      <c r="Z7" s="330">
        <v>106</v>
      </c>
      <c r="AA7" s="330">
        <v>531</v>
      </c>
      <c r="AB7" s="330">
        <v>2359</v>
      </c>
      <c r="AC7" s="330">
        <v>1641</v>
      </c>
      <c r="AD7" s="334">
        <v>336462</v>
      </c>
      <c r="AE7" s="330">
        <v>2438</v>
      </c>
      <c r="AF7" s="330">
        <v>2198</v>
      </c>
      <c r="AG7" s="330">
        <v>4636</v>
      </c>
    </row>
    <row r="8" spans="1:33" x14ac:dyDescent="0.35">
      <c r="A8" s="335" t="s">
        <v>81</v>
      </c>
      <c r="B8" s="335" t="s">
        <v>81</v>
      </c>
      <c r="C8" s="331">
        <v>158775</v>
      </c>
      <c r="D8" s="331">
        <v>204</v>
      </c>
      <c r="E8" s="331">
        <v>6234</v>
      </c>
      <c r="F8" s="331">
        <v>16470</v>
      </c>
      <c r="G8" s="331">
        <v>3510</v>
      </c>
      <c r="H8" s="331">
        <v>185193</v>
      </c>
      <c r="I8" s="330">
        <v>181683</v>
      </c>
      <c r="J8" s="330">
        <v>144</v>
      </c>
      <c r="K8" s="332">
        <v>77.17</v>
      </c>
      <c r="L8" s="332">
        <v>76.34</v>
      </c>
      <c r="M8" s="332">
        <v>6.2</v>
      </c>
      <c r="N8" s="332">
        <v>79.13</v>
      </c>
      <c r="O8" s="333">
        <v>140118</v>
      </c>
      <c r="P8" s="330">
        <v>84.97</v>
      </c>
      <c r="Q8" s="330">
        <v>75.17</v>
      </c>
      <c r="R8" s="330">
        <v>48.62</v>
      </c>
      <c r="S8" s="330">
        <v>128.44999999999999</v>
      </c>
      <c r="T8" s="330">
        <v>18999</v>
      </c>
      <c r="U8" s="330">
        <v>94.71</v>
      </c>
      <c r="V8" s="330">
        <v>15390</v>
      </c>
      <c r="W8" s="330">
        <v>155.46</v>
      </c>
      <c r="X8" s="330">
        <v>2225</v>
      </c>
      <c r="Y8" s="330">
        <v>1166</v>
      </c>
      <c r="Z8" s="330">
        <v>595</v>
      </c>
      <c r="AA8" s="330">
        <v>55</v>
      </c>
      <c r="AB8" s="330">
        <v>314</v>
      </c>
      <c r="AC8" s="330">
        <v>58</v>
      </c>
      <c r="AD8" s="334">
        <v>155740</v>
      </c>
      <c r="AE8" s="330">
        <v>2190</v>
      </c>
      <c r="AF8" s="330">
        <v>1472</v>
      </c>
      <c r="AG8" s="330">
        <v>3662</v>
      </c>
    </row>
    <row r="9" spans="1:33" x14ac:dyDescent="0.35">
      <c r="A9" s="335" t="s">
        <v>82</v>
      </c>
      <c r="B9" s="335" t="s">
        <v>82</v>
      </c>
      <c r="C9" s="331">
        <v>431184</v>
      </c>
      <c r="D9" s="331">
        <v>314</v>
      </c>
      <c r="E9" s="331">
        <v>23250</v>
      </c>
      <c r="F9" s="331">
        <v>50943</v>
      </c>
      <c r="G9" s="331">
        <v>15415</v>
      </c>
      <c r="H9" s="331">
        <v>521106</v>
      </c>
      <c r="I9" s="330">
        <v>505691</v>
      </c>
      <c r="J9" s="330">
        <v>1017</v>
      </c>
      <c r="K9" s="332">
        <v>81.47</v>
      </c>
      <c r="L9" s="332">
        <v>80.72</v>
      </c>
      <c r="M9" s="332">
        <v>5.21</v>
      </c>
      <c r="N9" s="332">
        <v>84.39</v>
      </c>
      <c r="O9" s="333">
        <v>371344</v>
      </c>
      <c r="P9" s="330">
        <v>83.77</v>
      </c>
      <c r="Q9" s="330">
        <v>76.739999999999995</v>
      </c>
      <c r="R9" s="330">
        <v>38.42</v>
      </c>
      <c r="S9" s="330">
        <v>119.99</v>
      </c>
      <c r="T9" s="330">
        <v>65122</v>
      </c>
      <c r="U9" s="330">
        <v>102.53</v>
      </c>
      <c r="V9" s="330">
        <v>48867</v>
      </c>
      <c r="W9" s="330">
        <v>150.69999999999999</v>
      </c>
      <c r="X9" s="330">
        <v>2031</v>
      </c>
      <c r="Y9" s="330">
        <v>182</v>
      </c>
      <c r="Z9" s="330">
        <v>1936</v>
      </c>
      <c r="AA9" s="330">
        <v>224</v>
      </c>
      <c r="AB9" s="330">
        <v>1082</v>
      </c>
      <c r="AC9" s="330">
        <v>293</v>
      </c>
      <c r="AD9" s="334">
        <v>421199</v>
      </c>
      <c r="AE9" s="330">
        <v>3169</v>
      </c>
      <c r="AF9" s="330">
        <v>2825</v>
      </c>
      <c r="AG9" s="330">
        <v>5994</v>
      </c>
    </row>
    <row r="10" spans="1:33" x14ac:dyDescent="0.35">
      <c r="A10" s="335" t="s">
        <v>83</v>
      </c>
      <c r="B10" s="335" t="s">
        <v>83</v>
      </c>
      <c r="C10" s="331">
        <v>299318</v>
      </c>
      <c r="D10" s="331">
        <v>1048</v>
      </c>
      <c r="E10" s="331">
        <v>15703</v>
      </c>
      <c r="F10" s="331">
        <v>39128</v>
      </c>
      <c r="G10" s="331">
        <v>45210</v>
      </c>
      <c r="H10" s="331">
        <v>400407</v>
      </c>
      <c r="I10" s="330">
        <v>355197</v>
      </c>
      <c r="J10" s="330">
        <v>1952</v>
      </c>
      <c r="K10" s="332">
        <v>106.88</v>
      </c>
      <c r="L10" s="332">
        <v>105.2</v>
      </c>
      <c r="M10" s="332">
        <v>6.41</v>
      </c>
      <c r="N10" s="332">
        <v>110.85</v>
      </c>
      <c r="O10" s="333">
        <v>245700</v>
      </c>
      <c r="P10" s="330">
        <v>96.59</v>
      </c>
      <c r="Q10" s="330">
        <v>92.09</v>
      </c>
      <c r="R10" s="330">
        <v>37.01</v>
      </c>
      <c r="S10" s="330">
        <v>131.93</v>
      </c>
      <c r="T10" s="330">
        <v>43391</v>
      </c>
      <c r="U10" s="330">
        <v>153.12</v>
      </c>
      <c r="V10" s="330">
        <v>43083</v>
      </c>
      <c r="W10" s="330">
        <v>179.24</v>
      </c>
      <c r="X10" s="330">
        <v>2257</v>
      </c>
      <c r="Y10" s="330">
        <v>1065</v>
      </c>
      <c r="Z10" s="330">
        <v>186</v>
      </c>
      <c r="AA10" s="330">
        <v>325</v>
      </c>
      <c r="AB10" s="330">
        <v>2975</v>
      </c>
      <c r="AC10" s="330">
        <v>873</v>
      </c>
      <c r="AD10" s="334">
        <v>292227</v>
      </c>
      <c r="AE10" s="330">
        <v>2125</v>
      </c>
      <c r="AF10" s="330">
        <v>1400</v>
      </c>
      <c r="AG10" s="330">
        <v>3525</v>
      </c>
    </row>
    <row r="11" spans="1:33" x14ac:dyDescent="0.35">
      <c r="A11" s="335" t="s">
        <v>84</v>
      </c>
      <c r="B11" s="335" t="s">
        <v>84</v>
      </c>
      <c r="C11" s="331">
        <v>199243</v>
      </c>
      <c r="D11" s="331">
        <v>316</v>
      </c>
      <c r="E11" s="331">
        <v>14202</v>
      </c>
      <c r="F11" s="331">
        <v>30092</v>
      </c>
      <c r="G11" s="331">
        <v>21740</v>
      </c>
      <c r="H11" s="331">
        <v>265593</v>
      </c>
      <c r="I11" s="330">
        <v>243853</v>
      </c>
      <c r="J11" s="330">
        <v>640</v>
      </c>
      <c r="K11" s="332">
        <v>91.21</v>
      </c>
      <c r="L11" s="332">
        <v>89.8</v>
      </c>
      <c r="M11" s="332">
        <v>4.92</v>
      </c>
      <c r="N11" s="332">
        <v>94.57</v>
      </c>
      <c r="O11" s="333">
        <v>164787</v>
      </c>
      <c r="P11" s="330">
        <v>85.94</v>
      </c>
      <c r="Q11" s="330">
        <v>82.1</v>
      </c>
      <c r="R11" s="330">
        <v>33.58</v>
      </c>
      <c r="S11" s="330">
        <v>118.48</v>
      </c>
      <c r="T11" s="330">
        <v>37013</v>
      </c>
      <c r="U11" s="330">
        <v>121.67</v>
      </c>
      <c r="V11" s="330">
        <v>26030</v>
      </c>
      <c r="W11" s="330">
        <v>159.99</v>
      </c>
      <c r="X11" s="330">
        <v>1694</v>
      </c>
      <c r="Y11" s="330">
        <v>776</v>
      </c>
      <c r="Z11" s="330">
        <v>271</v>
      </c>
      <c r="AA11" s="330">
        <v>382</v>
      </c>
      <c r="AB11" s="330">
        <v>1492</v>
      </c>
      <c r="AC11" s="330">
        <v>437</v>
      </c>
      <c r="AD11" s="334">
        <v>192789</v>
      </c>
      <c r="AE11" s="330">
        <v>1126</v>
      </c>
      <c r="AF11" s="330">
        <v>1405</v>
      </c>
      <c r="AG11" s="330">
        <v>2531</v>
      </c>
    </row>
    <row r="12" spans="1:33" x14ac:dyDescent="0.35">
      <c r="A12" s="335" t="s">
        <v>85</v>
      </c>
      <c r="B12" s="335" t="s">
        <v>85</v>
      </c>
      <c r="C12" s="331">
        <v>221887</v>
      </c>
      <c r="D12" s="331">
        <v>1177</v>
      </c>
      <c r="E12" s="331">
        <v>22563</v>
      </c>
      <c r="F12" s="331">
        <v>27703</v>
      </c>
      <c r="G12" s="331">
        <v>16817</v>
      </c>
      <c r="H12" s="331">
        <v>290147</v>
      </c>
      <c r="I12" s="330">
        <v>273330</v>
      </c>
      <c r="J12" s="330">
        <v>280</v>
      </c>
      <c r="K12" s="332">
        <v>87.63</v>
      </c>
      <c r="L12" s="332">
        <v>86.75</v>
      </c>
      <c r="M12" s="332">
        <v>6.2</v>
      </c>
      <c r="N12" s="332">
        <v>91.82</v>
      </c>
      <c r="O12" s="333">
        <v>194233</v>
      </c>
      <c r="P12" s="330">
        <v>86.3</v>
      </c>
      <c r="Q12" s="330">
        <v>88.38</v>
      </c>
      <c r="R12" s="330">
        <v>59.95</v>
      </c>
      <c r="S12" s="330">
        <v>144.22999999999999</v>
      </c>
      <c r="T12" s="330">
        <v>40943</v>
      </c>
      <c r="U12" s="330">
        <v>109.44</v>
      </c>
      <c r="V12" s="330">
        <v>21506</v>
      </c>
      <c r="W12" s="330">
        <v>187.88</v>
      </c>
      <c r="X12" s="330">
        <v>2869</v>
      </c>
      <c r="Y12" s="330">
        <v>516</v>
      </c>
      <c r="Z12" s="330">
        <v>1484</v>
      </c>
      <c r="AA12" s="330">
        <v>615</v>
      </c>
      <c r="AB12" s="330">
        <v>816</v>
      </c>
      <c r="AC12" s="330">
        <v>365</v>
      </c>
      <c r="AD12" s="334">
        <v>218087</v>
      </c>
      <c r="AE12" s="330">
        <v>1830</v>
      </c>
      <c r="AF12" s="330">
        <v>1178</v>
      </c>
      <c r="AG12" s="330">
        <v>3008</v>
      </c>
    </row>
    <row r="13" spans="1:33" x14ac:dyDescent="0.35">
      <c r="A13" s="335" t="s">
        <v>788</v>
      </c>
      <c r="B13" s="335" t="s">
        <v>788</v>
      </c>
      <c r="C13" s="331">
        <v>168602</v>
      </c>
      <c r="D13" s="331">
        <v>40</v>
      </c>
      <c r="E13" s="331">
        <v>11823</v>
      </c>
      <c r="F13" s="331">
        <v>17647</v>
      </c>
      <c r="G13" s="331">
        <v>7782</v>
      </c>
      <c r="H13" s="331">
        <v>205894</v>
      </c>
      <c r="I13" s="330">
        <v>198112</v>
      </c>
      <c r="J13" s="330">
        <v>651</v>
      </c>
      <c r="K13" s="332">
        <v>80.88</v>
      </c>
      <c r="L13" s="332">
        <v>79.989999999999995</v>
      </c>
      <c r="M13" s="332">
        <v>5.48</v>
      </c>
      <c r="N13" s="332">
        <v>84.06</v>
      </c>
      <c r="O13" s="333">
        <v>145947</v>
      </c>
      <c r="P13" s="330">
        <v>87.3</v>
      </c>
      <c r="Q13" s="330">
        <v>78.14</v>
      </c>
      <c r="R13" s="330">
        <v>43.27</v>
      </c>
      <c r="S13" s="330">
        <v>129.47</v>
      </c>
      <c r="T13" s="330">
        <v>24714</v>
      </c>
      <c r="U13" s="330">
        <v>98.6</v>
      </c>
      <c r="V13" s="330">
        <v>19048</v>
      </c>
      <c r="W13" s="330">
        <v>167.34</v>
      </c>
      <c r="X13" s="330">
        <v>834</v>
      </c>
      <c r="Y13" s="330">
        <v>0</v>
      </c>
      <c r="Z13" s="330">
        <v>504</v>
      </c>
      <c r="AA13" s="330">
        <v>331</v>
      </c>
      <c r="AB13" s="330">
        <v>671</v>
      </c>
      <c r="AC13" s="330">
        <v>168</v>
      </c>
      <c r="AD13" s="334">
        <v>166740</v>
      </c>
      <c r="AE13" s="330">
        <v>1405</v>
      </c>
      <c r="AF13" s="330">
        <v>1574</v>
      </c>
      <c r="AG13" s="330">
        <v>2979</v>
      </c>
    </row>
    <row r="14" spans="1:33" x14ac:dyDescent="0.35">
      <c r="A14" s="329" t="s">
        <v>86</v>
      </c>
      <c r="B14" s="335" t="s">
        <v>87</v>
      </c>
      <c r="C14" s="331">
        <v>876</v>
      </c>
      <c r="D14" s="331">
        <v>0</v>
      </c>
      <c r="E14" s="331">
        <v>76</v>
      </c>
      <c r="F14" s="331">
        <v>149</v>
      </c>
      <c r="G14" s="331">
        <v>189</v>
      </c>
      <c r="H14" s="331">
        <v>1290</v>
      </c>
      <c r="I14" s="330">
        <v>1101</v>
      </c>
      <c r="J14" s="330">
        <v>13</v>
      </c>
      <c r="K14" s="332">
        <v>110.93</v>
      </c>
      <c r="L14" s="332">
        <v>107.67</v>
      </c>
      <c r="M14" s="332">
        <v>5.56</v>
      </c>
      <c r="N14" s="332">
        <v>115.36</v>
      </c>
      <c r="O14" s="333">
        <v>730</v>
      </c>
      <c r="P14" s="330">
        <v>83.84</v>
      </c>
      <c r="Q14" s="330">
        <v>81.83</v>
      </c>
      <c r="R14" s="330">
        <v>35.9</v>
      </c>
      <c r="S14" s="330">
        <v>119.54</v>
      </c>
      <c r="T14" s="330">
        <v>179</v>
      </c>
      <c r="U14" s="330">
        <v>155.26</v>
      </c>
      <c r="V14" s="330">
        <v>118</v>
      </c>
      <c r="W14" s="330">
        <v>145.5</v>
      </c>
      <c r="X14" s="330">
        <v>23</v>
      </c>
      <c r="Y14" s="330">
        <v>0</v>
      </c>
      <c r="Z14" s="330">
        <v>1</v>
      </c>
      <c r="AA14" s="330">
        <v>0</v>
      </c>
      <c r="AB14" s="330">
        <v>9</v>
      </c>
      <c r="AC14" s="330">
        <v>3</v>
      </c>
      <c r="AD14" s="334">
        <v>855</v>
      </c>
      <c r="AE14" s="334">
        <v>0</v>
      </c>
      <c r="AF14" s="334">
        <v>25</v>
      </c>
      <c r="AG14" s="334">
        <v>25</v>
      </c>
    </row>
    <row r="15" spans="1:33" x14ac:dyDescent="0.35">
      <c r="A15" s="329" t="s">
        <v>88</v>
      </c>
      <c r="B15" s="335" t="s">
        <v>89</v>
      </c>
      <c r="C15" s="331">
        <v>8306</v>
      </c>
      <c r="D15" s="331">
        <v>4</v>
      </c>
      <c r="E15" s="331">
        <v>146</v>
      </c>
      <c r="F15" s="331">
        <v>404</v>
      </c>
      <c r="G15" s="331">
        <v>121</v>
      </c>
      <c r="H15" s="331">
        <v>8981</v>
      </c>
      <c r="I15" s="330">
        <v>8860</v>
      </c>
      <c r="J15" s="330">
        <v>2</v>
      </c>
      <c r="K15" s="332">
        <v>84.53</v>
      </c>
      <c r="L15" s="332">
        <v>81.349999999999994</v>
      </c>
      <c r="M15" s="332">
        <v>2.4</v>
      </c>
      <c r="N15" s="332">
        <v>86.52</v>
      </c>
      <c r="O15" s="333">
        <v>7286</v>
      </c>
      <c r="P15" s="330">
        <v>81.02</v>
      </c>
      <c r="Q15" s="330">
        <v>73.099999999999994</v>
      </c>
      <c r="R15" s="330">
        <v>41.63</v>
      </c>
      <c r="S15" s="330">
        <v>119.73</v>
      </c>
      <c r="T15" s="330">
        <v>470</v>
      </c>
      <c r="U15" s="330">
        <v>103.45</v>
      </c>
      <c r="V15" s="330">
        <v>466</v>
      </c>
      <c r="W15" s="330">
        <v>128.37</v>
      </c>
      <c r="X15" s="330">
        <v>49</v>
      </c>
      <c r="Y15" s="330">
        <v>0</v>
      </c>
      <c r="Z15" s="330">
        <v>2</v>
      </c>
      <c r="AA15" s="330">
        <v>1</v>
      </c>
      <c r="AB15" s="330">
        <v>4</v>
      </c>
      <c r="AC15" s="330">
        <v>0</v>
      </c>
      <c r="AD15" s="334">
        <v>7616</v>
      </c>
      <c r="AE15" s="334">
        <v>93</v>
      </c>
      <c r="AF15" s="334">
        <v>64</v>
      </c>
      <c r="AG15" s="334">
        <v>157</v>
      </c>
    </row>
    <row r="16" spans="1:33" x14ac:dyDescent="0.35">
      <c r="A16" s="329" t="s">
        <v>90</v>
      </c>
      <c r="B16" s="335" t="s">
        <v>91</v>
      </c>
      <c r="C16" s="331">
        <v>4675</v>
      </c>
      <c r="D16" s="331">
        <v>0</v>
      </c>
      <c r="E16" s="331">
        <v>167</v>
      </c>
      <c r="F16" s="331">
        <v>2434</v>
      </c>
      <c r="G16" s="331">
        <v>215</v>
      </c>
      <c r="H16" s="331">
        <v>7491</v>
      </c>
      <c r="I16" s="330">
        <v>7276</v>
      </c>
      <c r="J16" s="330">
        <v>1</v>
      </c>
      <c r="K16" s="332">
        <v>87.76</v>
      </c>
      <c r="L16" s="332">
        <v>87.35</v>
      </c>
      <c r="M16" s="332">
        <v>2.41</v>
      </c>
      <c r="N16" s="332">
        <v>89.96</v>
      </c>
      <c r="O16" s="333">
        <v>4292</v>
      </c>
      <c r="P16" s="330">
        <v>82.34</v>
      </c>
      <c r="Q16" s="330">
        <v>84.81</v>
      </c>
      <c r="R16" s="330">
        <v>9.3800000000000008</v>
      </c>
      <c r="S16" s="330">
        <v>91.66</v>
      </c>
      <c r="T16" s="330">
        <v>2548</v>
      </c>
      <c r="U16" s="330">
        <v>100.48</v>
      </c>
      <c r="V16" s="330">
        <v>375</v>
      </c>
      <c r="W16" s="330">
        <v>0</v>
      </c>
      <c r="X16" s="330">
        <v>0</v>
      </c>
      <c r="Y16" s="330">
        <v>0</v>
      </c>
      <c r="Z16" s="330">
        <v>40</v>
      </c>
      <c r="AA16" s="330">
        <v>5</v>
      </c>
      <c r="AB16" s="330">
        <v>0</v>
      </c>
      <c r="AC16" s="330">
        <v>4</v>
      </c>
      <c r="AD16" s="334">
        <v>4648</v>
      </c>
      <c r="AE16" s="334">
        <v>39</v>
      </c>
      <c r="AF16" s="334">
        <v>1</v>
      </c>
      <c r="AG16" s="334">
        <v>40</v>
      </c>
    </row>
    <row r="17" spans="1:33" x14ac:dyDescent="0.35">
      <c r="A17" s="329" t="s">
        <v>92</v>
      </c>
      <c r="B17" s="335" t="s">
        <v>93</v>
      </c>
      <c r="C17" s="331">
        <v>2979</v>
      </c>
      <c r="D17" s="331">
        <v>1</v>
      </c>
      <c r="E17" s="331">
        <v>231</v>
      </c>
      <c r="F17" s="331">
        <v>336</v>
      </c>
      <c r="G17" s="331">
        <v>628</v>
      </c>
      <c r="H17" s="331">
        <v>4175</v>
      </c>
      <c r="I17" s="330">
        <v>3547</v>
      </c>
      <c r="J17" s="330">
        <v>4</v>
      </c>
      <c r="K17" s="332">
        <v>107.39</v>
      </c>
      <c r="L17" s="332">
        <v>105.09</v>
      </c>
      <c r="M17" s="332">
        <v>5.52</v>
      </c>
      <c r="N17" s="332">
        <v>111.89</v>
      </c>
      <c r="O17" s="333">
        <v>2191</v>
      </c>
      <c r="P17" s="330">
        <v>92.61</v>
      </c>
      <c r="Q17" s="330">
        <v>87.13</v>
      </c>
      <c r="R17" s="330">
        <v>50.96</v>
      </c>
      <c r="S17" s="330">
        <v>142.41999999999999</v>
      </c>
      <c r="T17" s="330">
        <v>399</v>
      </c>
      <c r="U17" s="330">
        <v>151.24</v>
      </c>
      <c r="V17" s="330">
        <v>727</v>
      </c>
      <c r="W17" s="330">
        <v>0</v>
      </c>
      <c r="X17" s="330">
        <v>0</v>
      </c>
      <c r="Y17" s="330">
        <v>160</v>
      </c>
      <c r="Z17" s="330">
        <v>0</v>
      </c>
      <c r="AA17" s="330">
        <v>9</v>
      </c>
      <c r="AB17" s="330">
        <v>33</v>
      </c>
      <c r="AC17" s="330">
        <v>6</v>
      </c>
      <c r="AD17" s="334">
        <v>2977</v>
      </c>
      <c r="AE17" s="334">
        <v>12</v>
      </c>
      <c r="AF17" s="334">
        <v>8</v>
      </c>
      <c r="AG17" s="334">
        <v>20</v>
      </c>
    </row>
    <row r="18" spans="1:33" x14ac:dyDescent="0.35">
      <c r="A18" s="329" t="s">
        <v>94</v>
      </c>
      <c r="B18" s="335" t="s">
        <v>95</v>
      </c>
      <c r="C18" s="331">
        <v>1619</v>
      </c>
      <c r="D18" s="331">
        <v>0</v>
      </c>
      <c r="E18" s="331">
        <v>178</v>
      </c>
      <c r="F18" s="331">
        <v>284</v>
      </c>
      <c r="G18" s="331">
        <v>168</v>
      </c>
      <c r="H18" s="331">
        <v>2249</v>
      </c>
      <c r="I18" s="330">
        <v>2081</v>
      </c>
      <c r="J18" s="330">
        <v>0</v>
      </c>
      <c r="K18" s="332">
        <v>85.14</v>
      </c>
      <c r="L18" s="332">
        <v>83.14</v>
      </c>
      <c r="M18" s="332">
        <v>5.29</v>
      </c>
      <c r="N18" s="332">
        <v>87.73</v>
      </c>
      <c r="O18" s="333">
        <v>1346</v>
      </c>
      <c r="P18" s="330">
        <v>94.8</v>
      </c>
      <c r="Q18" s="330">
        <v>86.35</v>
      </c>
      <c r="R18" s="330">
        <v>52.96</v>
      </c>
      <c r="S18" s="330">
        <v>146.62</v>
      </c>
      <c r="T18" s="330">
        <v>461</v>
      </c>
      <c r="U18" s="330">
        <v>98.01</v>
      </c>
      <c r="V18" s="330">
        <v>201</v>
      </c>
      <c r="W18" s="330">
        <v>0</v>
      </c>
      <c r="X18" s="330">
        <v>0</v>
      </c>
      <c r="Y18" s="330">
        <v>0</v>
      </c>
      <c r="Z18" s="330">
        <v>9</v>
      </c>
      <c r="AA18" s="330">
        <v>0</v>
      </c>
      <c r="AB18" s="330">
        <v>5</v>
      </c>
      <c r="AC18" s="330">
        <v>3</v>
      </c>
      <c r="AD18" s="334">
        <v>1619</v>
      </c>
      <c r="AE18" s="334">
        <v>13</v>
      </c>
      <c r="AF18" s="334">
        <v>4</v>
      </c>
      <c r="AG18" s="334">
        <v>17</v>
      </c>
    </row>
    <row r="19" spans="1:33" x14ac:dyDescent="0.35">
      <c r="A19" s="329" t="s">
        <v>96</v>
      </c>
      <c r="B19" s="335" t="s">
        <v>97</v>
      </c>
      <c r="C19" s="331">
        <v>2343</v>
      </c>
      <c r="D19" s="331">
        <v>0</v>
      </c>
      <c r="E19" s="331">
        <v>119</v>
      </c>
      <c r="F19" s="331">
        <v>184</v>
      </c>
      <c r="G19" s="331">
        <v>778</v>
      </c>
      <c r="H19" s="331">
        <v>3424</v>
      </c>
      <c r="I19" s="330">
        <v>2646</v>
      </c>
      <c r="J19" s="330">
        <v>6</v>
      </c>
      <c r="K19" s="332">
        <v>99.03</v>
      </c>
      <c r="L19" s="332">
        <v>97.01</v>
      </c>
      <c r="M19" s="332">
        <v>6.99</v>
      </c>
      <c r="N19" s="332">
        <v>104.8</v>
      </c>
      <c r="O19" s="333">
        <v>1766</v>
      </c>
      <c r="P19" s="330">
        <v>110.97</v>
      </c>
      <c r="Q19" s="330">
        <v>81.16</v>
      </c>
      <c r="R19" s="330">
        <v>46</v>
      </c>
      <c r="S19" s="330">
        <v>152.4</v>
      </c>
      <c r="T19" s="330">
        <v>252</v>
      </c>
      <c r="U19" s="330">
        <v>137.86000000000001</v>
      </c>
      <c r="V19" s="330">
        <v>507</v>
      </c>
      <c r="W19" s="330">
        <v>193.25</v>
      </c>
      <c r="X19" s="330">
        <v>51</v>
      </c>
      <c r="Y19" s="330">
        <v>73</v>
      </c>
      <c r="Z19" s="330">
        <v>0</v>
      </c>
      <c r="AA19" s="330">
        <v>0</v>
      </c>
      <c r="AB19" s="330">
        <v>40</v>
      </c>
      <c r="AC19" s="330">
        <v>11</v>
      </c>
      <c r="AD19" s="334">
        <v>2303</v>
      </c>
      <c r="AE19" s="334">
        <v>17</v>
      </c>
      <c r="AF19" s="334">
        <v>4</v>
      </c>
      <c r="AG19" s="334">
        <v>21</v>
      </c>
    </row>
    <row r="20" spans="1:33" x14ac:dyDescent="0.35">
      <c r="A20" s="329" t="s">
        <v>98</v>
      </c>
      <c r="B20" s="335" t="s">
        <v>99</v>
      </c>
      <c r="C20" s="331">
        <v>1783</v>
      </c>
      <c r="D20" s="331">
        <v>0</v>
      </c>
      <c r="E20" s="331">
        <v>122</v>
      </c>
      <c r="F20" s="331">
        <v>92</v>
      </c>
      <c r="G20" s="331">
        <v>219</v>
      </c>
      <c r="H20" s="331">
        <v>2216</v>
      </c>
      <c r="I20" s="330">
        <v>1997</v>
      </c>
      <c r="J20" s="330">
        <v>3</v>
      </c>
      <c r="K20" s="332">
        <v>92.08</v>
      </c>
      <c r="L20" s="332">
        <v>92.08</v>
      </c>
      <c r="M20" s="332">
        <v>4.45</v>
      </c>
      <c r="N20" s="332">
        <v>94.56</v>
      </c>
      <c r="O20" s="333">
        <v>1267</v>
      </c>
      <c r="P20" s="330">
        <v>108.55</v>
      </c>
      <c r="Q20" s="330">
        <v>86.75</v>
      </c>
      <c r="R20" s="330">
        <v>60.04</v>
      </c>
      <c r="S20" s="330">
        <v>165.79</v>
      </c>
      <c r="T20" s="330">
        <v>193</v>
      </c>
      <c r="U20" s="330">
        <v>116.38</v>
      </c>
      <c r="V20" s="330">
        <v>485</v>
      </c>
      <c r="W20" s="330">
        <v>106.64</v>
      </c>
      <c r="X20" s="330">
        <v>2</v>
      </c>
      <c r="Y20" s="330">
        <v>14</v>
      </c>
      <c r="Z20" s="330">
        <v>0</v>
      </c>
      <c r="AA20" s="330">
        <v>1</v>
      </c>
      <c r="AB20" s="330">
        <v>24</v>
      </c>
      <c r="AC20" s="330">
        <v>1</v>
      </c>
      <c r="AD20" s="334">
        <v>1783</v>
      </c>
      <c r="AE20" s="334">
        <v>11</v>
      </c>
      <c r="AF20" s="334">
        <v>3</v>
      </c>
      <c r="AG20" s="334">
        <v>14</v>
      </c>
    </row>
    <row r="21" spans="1:33" x14ac:dyDescent="0.35">
      <c r="A21" s="329" t="s">
        <v>100</v>
      </c>
      <c r="B21" s="335" t="s">
        <v>101</v>
      </c>
      <c r="C21" s="331">
        <v>4410</v>
      </c>
      <c r="D21" s="331">
        <v>0</v>
      </c>
      <c r="E21" s="331">
        <v>361</v>
      </c>
      <c r="F21" s="331">
        <v>455</v>
      </c>
      <c r="G21" s="331">
        <v>1021</v>
      </c>
      <c r="H21" s="331">
        <v>6247</v>
      </c>
      <c r="I21" s="330">
        <v>5226</v>
      </c>
      <c r="J21" s="330">
        <v>20</v>
      </c>
      <c r="K21" s="332">
        <v>121.89</v>
      </c>
      <c r="L21" s="332">
        <v>112.37</v>
      </c>
      <c r="M21" s="332">
        <v>7.69</v>
      </c>
      <c r="N21" s="332">
        <v>125.95</v>
      </c>
      <c r="O21" s="333">
        <v>2946</v>
      </c>
      <c r="P21" s="330">
        <v>102.3</v>
      </c>
      <c r="Q21" s="330">
        <v>102.74</v>
      </c>
      <c r="R21" s="330">
        <v>54.14</v>
      </c>
      <c r="S21" s="330">
        <v>155.38999999999999</v>
      </c>
      <c r="T21" s="330">
        <v>668</v>
      </c>
      <c r="U21" s="330">
        <v>166.23</v>
      </c>
      <c r="V21" s="330">
        <v>786</v>
      </c>
      <c r="W21" s="330">
        <v>0</v>
      </c>
      <c r="X21" s="330">
        <v>0</v>
      </c>
      <c r="Y21" s="330">
        <v>0</v>
      </c>
      <c r="Z21" s="330">
        <v>1</v>
      </c>
      <c r="AA21" s="330">
        <v>1</v>
      </c>
      <c r="AB21" s="330">
        <v>134</v>
      </c>
      <c r="AC21" s="330">
        <v>23</v>
      </c>
      <c r="AD21" s="334">
        <v>4397</v>
      </c>
      <c r="AE21" s="334">
        <v>38</v>
      </c>
      <c r="AF21" s="334">
        <v>20</v>
      </c>
      <c r="AG21" s="334">
        <v>58</v>
      </c>
    </row>
    <row r="22" spans="1:33" x14ac:dyDescent="0.35">
      <c r="A22" s="329" t="s">
        <v>102</v>
      </c>
      <c r="B22" s="335" t="s">
        <v>103</v>
      </c>
      <c r="C22" s="331">
        <v>7417</v>
      </c>
      <c r="D22" s="331">
        <v>17</v>
      </c>
      <c r="E22" s="331">
        <v>556</v>
      </c>
      <c r="F22" s="331">
        <v>1150</v>
      </c>
      <c r="G22" s="331">
        <v>1477</v>
      </c>
      <c r="H22" s="331">
        <v>10617</v>
      </c>
      <c r="I22" s="330">
        <v>9140</v>
      </c>
      <c r="J22" s="330">
        <v>10</v>
      </c>
      <c r="K22" s="332">
        <v>125.98</v>
      </c>
      <c r="L22" s="332">
        <v>126.28</v>
      </c>
      <c r="M22" s="332">
        <v>15.42</v>
      </c>
      <c r="N22" s="332">
        <v>138.71</v>
      </c>
      <c r="O22" s="333">
        <v>5818</v>
      </c>
      <c r="P22" s="330">
        <v>113.5</v>
      </c>
      <c r="Q22" s="330">
        <v>110.33</v>
      </c>
      <c r="R22" s="330">
        <v>53.09</v>
      </c>
      <c r="S22" s="330">
        <v>162.37</v>
      </c>
      <c r="T22" s="330">
        <v>892</v>
      </c>
      <c r="U22" s="330">
        <v>211.91</v>
      </c>
      <c r="V22" s="330">
        <v>1209</v>
      </c>
      <c r="W22" s="330">
        <v>224.02</v>
      </c>
      <c r="X22" s="330">
        <v>37</v>
      </c>
      <c r="Y22" s="330">
        <v>0</v>
      </c>
      <c r="Z22" s="330">
        <v>1</v>
      </c>
      <c r="AA22" s="330">
        <v>1</v>
      </c>
      <c r="AB22" s="330">
        <v>54</v>
      </c>
      <c r="AC22" s="330">
        <v>38</v>
      </c>
      <c r="AD22" s="334">
        <v>7040</v>
      </c>
      <c r="AE22" s="334">
        <v>31</v>
      </c>
      <c r="AF22" s="334">
        <v>100</v>
      </c>
      <c r="AG22" s="334">
        <v>131</v>
      </c>
    </row>
    <row r="23" spans="1:33" x14ac:dyDescent="0.35">
      <c r="A23" s="329" t="s">
        <v>104</v>
      </c>
      <c r="B23" s="335" t="s">
        <v>105</v>
      </c>
      <c r="C23" s="331">
        <v>3017</v>
      </c>
      <c r="D23" s="331">
        <v>0</v>
      </c>
      <c r="E23" s="331">
        <v>359</v>
      </c>
      <c r="F23" s="331">
        <v>672</v>
      </c>
      <c r="G23" s="331">
        <v>289</v>
      </c>
      <c r="H23" s="331">
        <v>4337</v>
      </c>
      <c r="I23" s="330">
        <v>4048</v>
      </c>
      <c r="J23" s="330">
        <v>0</v>
      </c>
      <c r="K23" s="332">
        <v>84.62</v>
      </c>
      <c r="L23" s="332">
        <v>81.48</v>
      </c>
      <c r="M23" s="332">
        <v>4.99</v>
      </c>
      <c r="N23" s="332">
        <v>86.93</v>
      </c>
      <c r="O23" s="333">
        <v>1892</v>
      </c>
      <c r="P23" s="330">
        <v>91.46</v>
      </c>
      <c r="Q23" s="330">
        <v>82.76</v>
      </c>
      <c r="R23" s="330">
        <v>35.71</v>
      </c>
      <c r="S23" s="330">
        <v>124</v>
      </c>
      <c r="T23" s="330">
        <v>1001</v>
      </c>
      <c r="U23" s="330">
        <v>93.31</v>
      </c>
      <c r="V23" s="330">
        <v>1031</v>
      </c>
      <c r="W23" s="330">
        <v>0</v>
      </c>
      <c r="X23" s="330">
        <v>0</v>
      </c>
      <c r="Y23" s="330">
        <v>0</v>
      </c>
      <c r="Z23" s="330">
        <v>7</v>
      </c>
      <c r="AA23" s="330">
        <v>8</v>
      </c>
      <c r="AB23" s="330">
        <v>5</v>
      </c>
      <c r="AC23" s="330">
        <v>6</v>
      </c>
      <c r="AD23" s="334">
        <v>3012</v>
      </c>
      <c r="AE23" s="334">
        <v>28</v>
      </c>
      <c r="AF23" s="334">
        <v>16</v>
      </c>
      <c r="AG23" s="334">
        <v>44</v>
      </c>
    </row>
    <row r="24" spans="1:33" x14ac:dyDescent="0.35">
      <c r="A24" s="329" t="s">
        <v>106</v>
      </c>
      <c r="B24" s="335" t="s">
        <v>107</v>
      </c>
      <c r="C24" s="331">
        <v>517</v>
      </c>
      <c r="D24" s="331">
        <v>0</v>
      </c>
      <c r="E24" s="331">
        <v>244</v>
      </c>
      <c r="F24" s="331">
        <v>196</v>
      </c>
      <c r="G24" s="331">
        <v>11</v>
      </c>
      <c r="H24" s="331">
        <v>968</v>
      </c>
      <c r="I24" s="330">
        <v>957</v>
      </c>
      <c r="J24" s="330">
        <v>2</v>
      </c>
      <c r="K24" s="332">
        <v>78.69</v>
      </c>
      <c r="L24" s="332">
        <v>80.989999999999995</v>
      </c>
      <c r="M24" s="332">
        <v>6.2</v>
      </c>
      <c r="N24" s="332">
        <v>82.46</v>
      </c>
      <c r="O24" s="333">
        <v>475</v>
      </c>
      <c r="P24" s="330">
        <v>94.51</v>
      </c>
      <c r="Q24" s="330">
        <v>92.25</v>
      </c>
      <c r="R24" s="330">
        <v>80.52</v>
      </c>
      <c r="S24" s="330">
        <v>173.41</v>
      </c>
      <c r="T24" s="330">
        <v>349</v>
      </c>
      <c r="U24" s="330">
        <v>106.94</v>
      </c>
      <c r="V24" s="330">
        <v>27</v>
      </c>
      <c r="W24" s="330">
        <v>0</v>
      </c>
      <c r="X24" s="330">
        <v>0</v>
      </c>
      <c r="Y24" s="330">
        <v>0</v>
      </c>
      <c r="Z24" s="330">
        <v>1</v>
      </c>
      <c r="AA24" s="330">
        <v>1</v>
      </c>
      <c r="AB24" s="330">
        <v>0</v>
      </c>
      <c r="AC24" s="330">
        <v>1</v>
      </c>
      <c r="AD24" s="334">
        <v>517</v>
      </c>
      <c r="AE24" s="334">
        <v>4</v>
      </c>
      <c r="AF24" s="334">
        <v>1</v>
      </c>
      <c r="AG24" s="334">
        <v>5</v>
      </c>
    </row>
    <row r="25" spans="1:33" x14ac:dyDescent="0.35">
      <c r="A25" s="329" t="s">
        <v>108</v>
      </c>
      <c r="B25" s="335" t="s">
        <v>109</v>
      </c>
      <c r="C25" s="331">
        <v>5312</v>
      </c>
      <c r="D25" s="331">
        <v>0</v>
      </c>
      <c r="E25" s="331">
        <v>234</v>
      </c>
      <c r="F25" s="331">
        <v>355</v>
      </c>
      <c r="G25" s="331">
        <v>645</v>
      </c>
      <c r="H25" s="331">
        <v>6546</v>
      </c>
      <c r="I25" s="330">
        <v>5901</v>
      </c>
      <c r="J25" s="330">
        <v>1</v>
      </c>
      <c r="K25" s="332">
        <v>110.52</v>
      </c>
      <c r="L25" s="332">
        <v>108.16</v>
      </c>
      <c r="M25" s="332">
        <v>5.38</v>
      </c>
      <c r="N25" s="332">
        <v>113.36</v>
      </c>
      <c r="O25" s="333">
        <v>5062</v>
      </c>
      <c r="P25" s="330">
        <v>96.94</v>
      </c>
      <c r="Q25" s="330">
        <v>92.51</v>
      </c>
      <c r="R25" s="330">
        <v>40.21</v>
      </c>
      <c r="S25" s="330">
        <v>136.28</v>
      </c>
      <c r="T25" s="330">
        <v>510</v>
      </c>
      <c r="U25" s="330">
        <v>129.18</v>
      </c>
      <c r="V25" s="330">
        <v>186</v>
      </c>
      <c r="W25" s="330">
        <v>0</v>
      </c>
      <c r="X25" s="330">
        <v>0</v>
      </c>
      <c r="Y25" s="330">
        <v>2</v>
      </c>
      <c r="Z25" s="330">
        <v>0</v>
      </c>
      <c r="AA25" s="330">
        <v>0</v>
      </c>
      <c r="AB25" s="330">
        <v>25</v>
      </c>
      <c r="AC25" s="330">
        <v>11</v>
      </c>
      <c r="AD25" s="334">
        <v>5312</v>
      </c>
      <c r="AE25" s="334">
        <v>25</v>
      </c>
      <c r="AF25" s="334">
        <v>13</v>
      </c>
      <c r="AG25" s="334">
        <v>38</v>
      </c>
    </row>
    <row r="26" spans="1:33" x14ac:dyDescent="0.35">
      <c r="A26" s="329" t="s">
        <v>110</v>
      </c>
      <c r="B26" s="335" t="s">
        <v>111</v>
      </c>
      <c r="C26" s="331">
        <v>12716</v>
      </c>
      <c r="D26" s="331">
        <v>315</v>
      </c>
      <c r="E26" s="331">
        <v>389</v>
      </c>
      <c r="F26" s="331">
        <v>878</v>
      </c>
      <c r="G26" s="331">
        <v>1269</v>
      </c>
      <c r="H26" s="331">
        <v>15567</v>
      </c>
      <c r="I26" s="330">
        <v>14298</v>
      </c>
      <c r="J26" s="330">
        <v>13</v>
      </c>
      <c r="K26" s="332">
        <v>111.12</v>
      </c>
      <c r="L26" s="332">
        <v>107.9</v>
      </c>
      <c r="M26" s="332">
        <v>5.19</v>
      </c>
      <c r="N26" s="332">
        <v>113.18</v>
      </c>
      <c r="O26" s="333">
        <v>11275</v>
      </c>
      <c r="P26" s="330">
        <v>96.05</v>
      </c>
      <c r="Q26" s="330">
        <v>94.71</v>
      </c>
      <c r="R26" s="330">
        <v>33.32</v>
      </c>
      <c r="S26" s="330">
        <v>128.19</v>
      </c>
      <c r="T26" s="330">
        <v>1100</v>
      </c>
      <c r="U26" s="330">
        <v>149.47</v>
      </c>
      <c r="V26" s="330">
        <v>1156</v>
      </c>
      <c r="W26" s="330">
        <v>148.66999999999999</v>
      </c>
      <c r="X26" s="330">
        <v>2</v>
      </c>
      <c r="Y26" s="330">
        <v>0</v>
      </c>
      <c r="Z26" s="330">
        <v>9</v>
      </c>
      <c r="AA26" s="330">
        <v>3</v>
      </c>
      <c r="AB26" s="330">
        <v>116</v>
      </c>
      <c r="AC26" s="330">
        <v>21</v>
      </c>
      <c r="AD26" s="334">
        <v>12677</v>
      </c>
      <c r="AE26" s="334">
        <v>168</v>
      </c>
      <c r="AF26" s="334">
        <v>35</v>
      </c>
      <c r="AG26" s="334">
        <v>203</v>
      </c>
    </row>
    <row r="27" spans="1:33" x14ac:dyDescent="0.35">
      <c r="A27" s="329" t="s">
        <v>112</v>
      </c>
      <c r="B27" s="335" t="s">
        <v>113</v>
      </c>
      <c r="C27" s="331">
        <v>1061</v>
      </c>
      <c r="D27" s="331">
        <v>0</v>
      </c>
      <c r="E27" s="331">
        <v>261</v>
      </c>
      <c r="F27" s="331">
        <v>141</v>
      </c>
      <c r="G27" s="331">
        <v>106</v>
      </c>
      <c r="H27" s="331">
        <v>1569</v>
      </c>
      <c r="I27" s="330">
        <v>1463</v>
      </c>
      <c r="J27" s="330">
        <v>2</v>
      </c>
      <c r="K27" s="332">
        <v>85.79</v>
      </c>
      <c r="L27" s="332">
        <v>84.01</v>
      </c>
      <c r="M27" s="332">
        <v>3.37</v>
      </c>
      <c r="N27" s="332">
        <v>87.9</v>
      </c>
      <c r="O27" s="333">
        <v>879</v>
      </c>
      <c r="P27" s="330">
        <v>121.62</v>
      </c>
      <c r="Q27" s="330">
        <v>72.06</v>
      </c>
      <c r="R27" s="330">
        <v>65.37</v>
      </c>
      <c r="S27" s="330">
        <v>184.61</v>
      </c>
      <c r="T27" s="330">
        <v>356</v>
      </c>
      <c r="U27" s="330">
        <v>99.74</v>
      </c>
      <c r="V27" s="330">
        <v>163</v>
      </c>
      <c r="W27" s="330">
        <v>169.55</v>
      </c>
      <c r="X27" s="330">
        <v>4</v>
      </c>
      <c r="Y27" s="330">
        <v>0</v>
      </c>
      <c r="Z27" s="330">
        <v>4</v>
      </c>
      <c r="AA27" s="330">
        <v>4</v>
      </c>
      <c r="AB27" s="330">
        <v>17</v>
      </c>
      <c r="AC27" s="330">
        <v>3</v>
      </c>
      <c r="AD27" s="334">
        <v>1058</v>
      </c>
      <c r="AE27" s="334">
        <v>15</v>
      </c>
      <c r="AF27" s="334">
        <v>3</v>
      </c>
      <c r="AG27" s="334">
        <v>18</v>
      </c>
    </row>
    <row r="28" spans="1:33" x14ac:dyDescent="0.35">
      <c r="A28" s="329" t="s">
        <v>114</v>
      </c>
      <c r="B28" s="335" t="s">
        <v>115</v>
      </c>
      <c r="C28" s="331">
        <v>9292</v>
      </c>
      <c r="D28" s="331">
        <v>0</v>
      </c>
      <c r="E28" s="331">
        <v>387</v>
      </c>
      <c r="F28" s="331">
        <v>2107</v>
      </c>
      <c r="G28" s="331">
        <v>683</v>
      </c>
      <c r="H28" s="331">
        <v>12469</v>
      </c>
      <c r="I28" s="330">
        <v>11786</v>
      </c>
      <c r="J28" s="330">
        <v>9</v>
      </c>
      <c r="K28" s="332">
        <v>98.51</v>
      </c>
      <c r="L28" s="332">
        <v>98.75</v>
      </c>
      <c r="M28" s="332">
        <v>5.57</v>
      </c>
      <c r="N28" s="332">
        <v>103.37</v>
      </c>
      <c r="O28" s="333">
        <v>8455</v>
      </c>
      <c r="P28" s="330">
        <v>92.17</v>
      </c>
      <c r="Q28" s="330">
        <v>92.42</v>
      </c>
      <c r="R28" s="330">
        <v>18.3</v>
      </c>
      <c r="S28" s="330">
        <v>110.4</v>
      </c>
      <c r="T28" s="330">
        <v>2189</v>
      </c>
      <c r="U28" s="330">
        <v>134.31</v>
      </c>
      <c r="V28" s="330">
        <v>727</v>
      </c>
      <c r="W28" s="330">
        <v>117.69</v>
      </c>
      <c r="X28" s="330">
        <v>79</v>
      </c>
      <c r="Y28" s="330">
        <v>0</v>
      </c>
      <c r="Z28" s="330">
        <v>10</v>
      </c>
      <c r="AA28" s="330">
        <v>5</v>
      </c>
      <c r="AB28" s="330">
        <v>95</v>
      </c>
      <c r="AC28" s="330">
        <v>12</v>
      </c>
      <c r="AD28" s="334">
        <v>9206</v>
      </c>
      <c r="AE28" s="334">
        <v>33</v>
      </c>
      <c r="AF28" s="334">
        <v>118</v>
      </c>
      <c r="AG28" s="334">
        <v>151</v>
      </c>
    </row>
    <row r="29" spans="1:33" x14ac:dyDescent="0.35">
      <c r="A29" s="329" t="s">
        <v>116</v>
      </c>
      <c r="B29" s="335" t="s">
        <v>117</v>
      </c>
      <c r="C29" s="331">
        <v>10837</v>
      </c>
      <c r="D29" s="331">
        <v>0</v>
      </c>
      <c r="E29" s="331">
        <v>364</v>
      </c>
      <c r="F29" s="331">
        <v>1114</v>
      </c>
      <c r="G29" s="331">
        <v>1310</v>
      </c>
      <c r="H29" s="331">
        <v>13625</v>
      </c>
      <c r="I29" s="330">
        <v>12315</v>
      </c>
      <c r="J29" s="330">
        <v>3</v>
      </c>
      <c r="K29" s="332">
        <v>97.06</v>
      </c>
      <c r="L29" s="332">
        <v>96.59</v>
      </c>
      <c r="M29" s="332">
        <v>8.08</v>
      </c>
      <c r="N29" s="332">
        <v>102.91</v>
      </c>
      <c r="O29" s="333">
        <v>9278</v>
      </c>
      <c r="P29" s="330">
        <v>99.51</v>
      </c>
      <c r="Q29" s="330">
        <v>92.23</v>
      </c>
      <c r="R29" s="330">
        <v>43.15</v>
      </c>
      <c r="S29" s="330">
        <v>141.47</v>
      </c>
      <c r="T29" s="330">
        <v>1230</v>
      </c>
      <c r="U29" s="330">
        <v>131.46</v>
      </c>
      <c r="V29" s="330">
        <v>1333</v>
      </c>
      <c r="W29" s="330">
        <v>108.39</v>
      </c>
      <c r="X29" s="330">
        <v>5</v>
      </c>
      <c r="Y29" s="330">
        <v>0</v>
      </c>
      <c r="Z29" s="330">
        <v>8</v>
      </c>
      <c r="AA29" s="330">
        <v>2</v>
      </c>
      <c r="AB29" s="330">
        <v>85</v>
      </c>
      <c r="AC29" s="330">
        <v>17</v>
      </c>
      <c r="AD29" s="334">
        <v>10754</v>
      </c>
      <c r="AE29" s="334">
        <v>57</v>
      </c>
      <c r="AF29" s="334">
        <v>40</v>
      </c>
      <c r="AG29" s="334">
        <v>97</v>
      </c>
    </row>
    <row r="30" spans="1:33" x14ac:dyDescent="0.35">
      <c r="A30" s="329" t="s">
        <v>118</v>
      </c>
      <c r="B30" s="335" t="s">
        <v>119</v>
      </c>
      <c r="C30" s="331">
        <v>12105</v>
      </c>
      <c r="D30" s="331">
        <v>50</v>
      </c>
      <c r="E30" s="331">
        <v>149</v>
      </c>
      <c r="F30" s="331">
        <v>1330</v>
      </c>
      <c r="G30" s="331">
        <v>1123</v>
      </c>
      <c r="H30" s="331">
        <v>14757</v>
      </c>
      <c r="I30" s="330">
        <v>13634</v>
      </c>
      <c r="J30" s="330">
        <v>4</v>
      </c>
      <c r="K30" s="332">
        <v>108.73</v>
      </c>
      <c r="L30" s="332">
        <v>107.52</v>
      </c>
      <c r="M30" s="332">
        <v>11.23</v>
      </c>
      <c r="N30" s="332">
        <v>118.96</v>
      </c>
      <c r="O30" s="333">
        <v>9639</v>
      </c>
      <c r="P30" s="330">
        <v>96.03</v>
      </c>
      <c r="Q30" s="330">
        <v>94.99</v>
      </c>
      <c r="R30" s="330">
        <v>31.82</v>
      </c>
      <c r="S30" s="330">
        <v>127.31</v>
      </c>
      <c r="T30" s="330">
        <v>1310</v>
      </c>
      <c r="U30" s="330">
        <v>159.22999999999999</v>
      </c>
      <c r="V30" s="330">
        <v>1475</v>
      </c>
      <c r="W30" s="330">
        <v>0</v>
      </c>
      <c r="X30" s="330">
        <v>0</v>
      </c>
      <c r="Y30" s="330">
        <v>6</v>
      </c>
      <c r="Z30" s="330">
        <v>6</v>
      </c>
      <c r="AA30" s="330">
        <v>90</v>
      </c>
      <c r="AB30" s="330">
        <v>57</v>
      </c>
      <c r="AC30" s="330">
        <v>46</v>
      </c>
      <c r="AD30" s="334">
        <v>11205</v>
      </c>
      <c r="AE30" s="334">
        <v>82</v>
      </c>
      <c r="AF30" s="334">
        <v>43</v>
      </c>
      <c r="AG30" s="334">
        <v>125</v>
      </c>
    </row>
    <row r="31" spans="1:33" x14ac:dyDescent="0.35">
      <c r="A31" s="329" t="s">
        <v>120</v>
      </c>
      <c r="B31" s="335" t="s">
        <v>121</v>
      </c>
      <c r="C31" s="331">
        <v>33855</v>
      </c>
      <c r="D31" s="331">
        <v>1007</v>
      </c>
      <c r="E31" s="331">
        <v>12668</v>
      </c>
      <c r="F31" s="331">
        <v>4429</v>
      </c>
      <c r="G31" s="331">
        <v>3137</v>
      </c>
      <c r="H31" s="331">
        <v>55096</v>
      </c>
      <c r="I31" s="330">
        <v>51959</v>
      </c>
      <c r="J31" s="330">
        <v>7</v>
      </c>
      <c r="K31" s="332">
        <v>91.47</v>
      </c>
      <c r="L31" s="332">
        <v>90.1</v>
      </c>
      <c r="M31" s="332">
        <v>8.08</v>
      </c>
      <c r="N31" s="332">
        <v>97.68</v>
      </c>
      <c r="O31" s="333">
        <v>30192</v>
      </c>
      <c r="P31" s="330">
        <v>82.21</v>
      </c>
      <c r="Q31" s="330">
        <v>97.64</v>
      </c>
      <c r="R31" s="330">
        <v>99.73</v>
      </c>
      <c r="S31" s="330">
        <v>180.19</v>
      </c>
      <c r="T31" s="330">
        <v>13245</v>
      </c>
      <c r="U31" s="330">
        <v>115.19</v>
      </c>
      <c r="V31" s="330">
        <v>1699</v>
      </c>
      <c r="W31" s="330">
        <v>177.32</v>
      </c>
      <c r="X31" s="330">
        <v>128</v>
      </c>
      <c r="Y31" s="330">
        <v>237</v>
      </c>
      <c r="Z31" s="330">
        <v>354</v>
      </c>
      <c r="AA31" s="330">
        <v>205</v>
      </c>
      <c r="AB31" s="330">
        <v>44</v>
      </c>
      <c r="AC31" s="330">
        <v>83</v>
      </c>
      <c r="AD31" s="334">
        <v>32352</v>
      </c>
      <c r="AE31" s="334">
        <v>223</v>
      </c>
      <c r="AF31" s="334">
        <v>62</v>
      </c>
      <c r="AG31" s="334">
        <v>285</v>
      </c>
    </row>
    <row r="32" spans="1:33" x14ac:dyDescent="0.35">
      <c r="A32" s="329" t="s">
        <v>122</v>
      </c>
      <c r="B32" s="335" t="s">
        <v>123</v>
      </c>
      <c r="C32" s="331">
        <v>2214</v>
      </c>
      <c r="D32" s="331">
        <v>0</v>
      </c>
      <c r="E32" s="331">
        <v>112</v>
      </c>
      <c r="F32" s="331">
        <v>1325</v>
      </c>
      <c r="G32" s="331">
        <v>419</v>
      </c>
      <c r="H32" s="331">
        <v>4070</v>
      </c>
      <c r="I32" s="330">
        <v>3651</v>
      </c>
      <c r="J32" s="330">
        <v>0</v>
      </c>
      <c r="K32" s="332">
        <v>86.19</v>
      </c>
      <c r="L32" s="332">
        <v>85.81</v>
      </c>
      <c r="M32" s="332">
        <v>4.47</v>
      </c>
      <c r="N32" s="332">
        <v>88.81</v>
      </c>
      <c r="O32" s="333">
        <v>1605</v>
      </c>
      <c r="P32" s="330">
        <v>76.040000000000006</v>
      </c>
      <c r="Q32" s="330">
        <v>73.989999999999995</v>
      </c>
      <c r="R32" s="330">
        <v>20.41</v>
      </c>
      <c r="S32" s="330">
        <v>96.37</v>
      </c>
      <c r="T32" s="330">
        <v>1431</v>
      </c>
      <c r="U32" s="330">
        <v>108.34</v>
      </c>
      <c r="V32" s="330">
        <v>513</v>
      </c>
      <c r="W32" s="330">
        <v>133.24</v>
      </c>
      <c r="X32" s="330">
        <v>1</v>
      </c>
      <c r="Y32" s="330">
        <v>0</v>
      </c>
      <c r="Z32" s="330">
        <v>9</v>
      </c>
      <c r="AA32" s="330">
        <v>5</v>
      </c>
      <c r="AB32" s="330">
        <v>47</v>
      </c>
      <c r="AC32" s="330">
        <v>9</v>
      </c>
      <c r="AD32" s="334">
        <v>2214</v>
      </c>
      <c r="AE32" s="334">
        <v>41</v>
      </c>
      <c r="AF32" s="334">
        <v>5</v>
      </c>
      <c r="AG32" s="334">
        <v>46</v>
      </c>
    </row>
    <row r="33" spans="1:33" x14ac:dyDescent="0.35">
      <c r="A33" s="329" t="s">
        <v>124</v>
      </c>
      <c r="B33" s="335" t="s">
        <v>125</v>
      </c>
      <c r="C33" s="331">
        <v>10197</v>
      </c>
      <c r="D33" s="331">
        <v>0</v>
      </c>
      <c r="E33" s="331">
        <v>526</v>
      </c>
      <c r="F33" s="331">
        <v>853</v>
      </c>
      <c r="G33" s="331">
        <v>205</v>
      </c>
      <c r="H33" s="331">
        <v>11781</v>
      </c>
      <c r="I33" s="330">
        <v>11576</v>
      </c>
      <c r="J33" s="330">
        <v>0</v>
      </c>
      <c r="K33" s="332">
        <v>77.12</v>
      </c>
      <c r="L33" s="332">
        <v>73.67</v>
      </c>
      <c r="M33" s="332">
        <v>2.3199999999999998</v>
      </c>
      <c r="N33" s="332">
        <v>79.19</v>
      </c>
      <c r="O33" s="333">
        <v>8706</v>
      </c>
      <c r="P33" s="330">
        <v>88.58</v>
      </c>
      <c r="Q33" s="330">
        <v>73.760000000000005</v>
      </c>
      <c r="R33" s="330">
        <v>63.5</v>
      </c>
      <c r="S33" s="330">
        <v>148.46</v>
      </c>
      <c r="T33" s="330">
        <v>1070</v>
      </c>
      <c r="U33" s="330">
        <v>93.89</v>
      </c>
      <c r="V33" s="330">
        <v>1407</v>
      </c>
      <c r="W33" s="330">
        <v>151.96</v>
      </c>
      <c r="X33" s="330">
        <v>212</v>
      </c>
      <c r="Y33" s="330">
        <v>21</v>
      </c>
      <c r="Z33" s="330">
        <v>48</v>
      </c>
      <c r="AA33" s="330">
        <v>5</v>
      </c>
      <c r="AB33" s="330">
        <v>3</v>
      </c>
      <c r="AC33" s="330">
        <v>4</v>
      </c>
      <c r="AD33" s="334">
        <v>10188</v>
      </c>
      <c r="AE33" s="334">
        <v>67</v>
      </c>
      <c r="AF33" s="334">
        <v>60</v>
      </c>
      <c r="AG33" s="334">
        <v>127</v>
      </c>
    </row>
    <row r="34" spans="1:33" x14ac:dyDescent="0.35">
      <c r="A34" s="329" t="s">
        <v>126</v>
      </c>
      <c r="B34" s="335" t="s">
        <v>127</v>
      </c>
      <c r="C34" s="331">
        <v>1697</v>
      </c>
      <c r="D34" s="331">
        <v>0</v>
      </c>
      <c r="E34" s="331">
        <v>443</v>
      </c>
      <c r="F34" s="331">
        <v>200</v>
      </c>
      <c r="G34" s="331">
        <v>150</v>
      </c>
      <c r="H34" s="331">
        <v>2490</v>
      </c>
      <c r="I34" s="330">
        <v>2340</v>
      </c>
      <c r="J34" s="330">
        <v>0</v>
      </c>
      <c r="K34" s="332">
        <v>84.9</v>
      </c>
      <c r="L34" s="332">
        <v>82.29</v>
      </c>
      <c r="M34" s="332">
        <v>4.28</v>
      </c>
      <c r="N34" s="332">
        <v>88.25</v>
      </c>
      <c r="O34" s="333">
        <v>1184</v>
      </c>
      <c r="P34" s="330">
        <v>113.67</v>
      </c>
      <c r="Q34" s="330">
        <v>90.77</v>
      </c>
      <c r="R34" s="330">
        <v>68.290000000000006</v>
      </c>
      <c r="S34" s="330">
        <v>176.26</v>
      </c>
      <c r="T34" s="330">
        <v>599</v>
      </c>
      <c r="U34" s="330">
        <v>104.11</v>
      </c>
      <c r="V34" s="330">
        <v>401</v>
      </c>
      <c r="W34" s="330">
        <v>0</v>
      </c>
      <c r="X34" s="330">
        <v>0</v>
      </c>
      <c r="Y34" s="330">
        <v>4</v>
      </c>
      <c r="Z34" s="330">
        <v>2</v>
      </c>
      <c r="AA34" s="330">
        <v>12</v>
      </c>
      <c r="AB34" s="330">
        <v>0</v>
      </c>
      <c r="AC34" s="330">
        <v>2</v>
      </c>
      <c r="AD34" s="334">
        <v>1640</v>
      </c>
      <c r="AE34" s="334">
        <v>10</v>
      </c>
      <c r="AF34" s="334">
        <v>19</v>
      </c>
      <c r="AG34" s="334">
        <v>29</v>
      </c>
    </row>
    <row r="35" spans="1:33" x14ac:dyDescent="0.35">
      <c r="A35" s="329" t="s">
        <v>128</v>
      </c>
      <c r="B35" s="335" t="s">
        <v>129</v>
      </c>
      <c r="C35" s="331">
        <v>801</v>
      </c>
      <c r="D35" s="331">
        <v>0</v>
      </c>
      <c r="E35" s="331">
        <v>101</v>
      </c>
      <c r="F35" s="331">
        <v>261</v>
      </c>
      <c r="G35" s="331">
        <v>43</v>
      </c>
      <c r="H35" s="331">
        <v>1206</v>
      </c>
      <c r="I35" s="330">
        <v>1163</v>
      </c>
      <c r="J35" s="330">
        <v>0</v>
      </c>
      <c r="K35" s="332">
        <v>88.13</v>
      </c>
      <c r="L35" s="332">
        <v>86</v>
      </c>
      <c r="M35" s="332">
        <v>3.72</v>
      </c>
      <c r="N35" s="332">
        <v>90.35</v>
      </c>
      <c r="O35" s="333">
        <v>645</v>
      </c>
      <c r="P35" s="330">
        <v>100.49</v>
      </c>
      <c r="Q35" s="330">
        <v>88.04</v>
      </c>
      <c r="R35" s="330">
        <v>34.369999999999997</v>
      </c>
      <c r="S35" s="330">
        <v>132.46</v>
      </c>
      <c r="T35" s="330">
        <v>345</v>
      </c>
      <c r="U35" s="330">
        <v>90.53</v>
      </c>
      <c r="V35" s="330">
        <v>115</v>
      </c>
      <c r="W35" s="330">
        <v>0</v>
      </c>
      <c r="X35" s="330">
        <v>0</v>
      </c>
      <c r="Y35" s="330">
        <v>0</v>
      </c>
      <c r="Z35" s="330">
        <v>3</v>
      </c>
      <c r="AA35" s="330">
        <v>1</v>
      </c>
      <c r="AB35" s="330">
        <v>12</v>
      </c>
      <c r="AC35" s="330">
        <v>0</v>
      </c>
      <c r="AD35" s="334">
        <v>756</v>
      </c>
      <c r="AE35" s="334">
        <v>16</v>
      </c>
      <c r="AF35" s="334">
        <v>0</v>
      </c>
      <c r="AG35" s="334">
        <v>16</v>
      </c>
    </row>
    <row r="36" spans="1:33" x14ac:dyDescent="0.35">
      <c r="A36" s="329" t="s">
        <v>130</v>
      </c>
      <c r="B36" s="335" t="s">
        <v>131</v>
      </c>
      <c r="C36" s="331">
        <v>20803</v>
      </c>
      <c r="D36" s="331">
        <v>1</v>
      </c>
      <c r="E36" s="331">
        <v>823</v>
      </c>
      <c r="F36" s="331">
        <v>3827</v>
      </c>
      <c r="G36" s="331">
        <v>339</v>
      </c>
      <c r="H36" s="331">
        <v>25793</v>
      </c>
      <c r="I36" s="330">
        <v>25454</v>
      </c>
      <c r="J36" s="330">
        <v>33</v>
      </c>
      <c r="K36" s="332">
        <v>76.319999999999993</v>
      </c>
      <c r="L36" s="332">
        <v>78.099999999999994</v>
      </c>
      <c r="M36" s="332">
        <v>3.87</v>
      </c>
      <c r="N36" s="332">
        <v>79.819999999999993</v>
      </c>
      <c r="O36" s="333">
        <v>17252</v>
      </c>
      <c r="P36" s="330">
        <v>75.709999999999994</v>
      </c>
      <c r="Q36" s="330">
        <v>73.06</v>
      </c>
      <c r="R36" s="330">
        <v>35.299999999999997</v>
      </c>
      <c r="S36" s="330">
        <v>110.61</v>
      </c>
      <c r="T36" s="330">
        <v>4573</v>
      </c>
      <c r="U36" s="330">
        <v>94.58</v>
      </c>
      <c r="V36" s="330">
        <v>3264</v>
      </c>
      <c r="W36" s="330">
        <v>87.84</v>
      </c>
      <c r="X36" s="330">
        <v>2</v>
      </c>
      <c r="Y36" s="330">
        <v>8</v>
      </c>
      <c r="Z36" s="330">
        <v>151</v>
      </c>
      <c r="AA36" s="330">
        <v>0</v>
      </c>
      <c r="AB36" s="330">
        <v>18</v>
      </c>
      <c r="AC36" s="330">
        <v>8</v>
      </c>
      <c r="AD36" s="334">
        <v>20768</v>
      </c>
      <c r="AE36" s="334">
        <v>120</v>
      </c>
      <c r="AF36" s="334">
        <v>209</v>
      </c>
      <c r="AG36" s="334">
        <v>329</v>
      </c>
    </row>
    <row r="37" spans="1:33" x14ac:dyDescent="0.35">
      <c r="A37" s="329" t="s">
        <v>132</v>
      </c>
      <c r="B37" s="335" t="s">
        <v>133</v>
      </c>
      <c r="C37" s="331">
        <v>4637</v>
      </c>
      <c r="D37" s="331">
        <v>3</v>
      </c>
      <c r="E37" s="331">
        <v>153</v>
      </c>
      <c r="F37" s="331">
        <v>897</v>
      </c>
      <c r="G37" s="331">
        <v>307</v>
      </c>
      <c r="H37" s="331">
        <v>5997</v>
      </c>
      <c r="I37" s="330">
        <v>5690</v>
      </c>
      <c r="J37" s="330">
        <v>10</v>
      </c>
      <c r="K37" s="332">
        <v>78.75</v>
      </c>
      <c r="L37" s="332">
        <v>76.040000000000006</v>
      </c>
      <c r="M37" s="332">
        <v>2.12</v>
      </c>
      <c r="N37" s="332">
        <v>80.84</v>
      </c>
      <c r="O37" s="333">
        <v>4045</v>
      </c>
      <c r="P37" s="330">
        <v>76.16</v>
      </c>
      <c r="Q37" s="330">
        <v>75.53</v>
      </c>
      <c r="R37" s="330">
        <v>21.85</v>
      </c>
      <c r="S37" s="330">
        <v>98.02</v>
      </c>
      <c r="T37" s="330">
        <v>1000</v>
      </c>
      <c r="U37" s="330">
        <v>104.57</v>
      </c>
      <c r="V37" s="330">
        <v>442</v>
      </c>
      <c r="W37" s="330">
        <v>304.64</v>
      </c>
      <c r="X37" s="330">
        <v>6</v>
      </c>
      <c r="Y37" s="330">
        <v>0</v>
      </c>
      <c r="Z37" s="330">
        <v>18</v>
      </c>
      <c r="AA37" s="330">
        <v>0</v>
      </c>
      <c r="AB37" s="330">
        <v>29</v>
      </c>
      <c r="AC37" s="330">
        <v>3</v>
      </c>
      <c r="AD37" s="334">
        <v>4601</v>
      </c>
      <c r="AE37" s="334">
        <v>26</v>
      </c>
      <c r="AF37" s="334">
        <v>25</v>
      </c>
      <c r="AG37" s="334">
        <v>51</v>
      </c>
    </row>
    <row r="38" spans="1:33" x14ac:dyDescent="0.35">
      <c r="A38" s="329" t="s">
        <v>134</v>
      </c>
      <c r="B38" s="335" t="s">
        <v>135</v>
      </c>
      <c r="C38" s="330">
        <v>6852</v>
      </c>
      <c r="D38" s="330">
        <v>20</v>
      </c>
      <c r="E38" s="330">
        <v>1173</v>
      </c>
      <c r="F38" s="330">
        <v>1180</v>
      </c>
      <c r="G38" s="330">
        <v>922</v>
      </c>
      <c r="H38" s="330">
        <v>10147</v>
      </c>
      <c r="I38" s="330">
        <v>9225</v>
      </c>
      <c r="J38" s="330">
        <v>12</v>
      </c>
      <c r="K38" s="330">
        <v>102.42</v>
      </c>
      <c r="L38" s="330">
        <v>100.76</v>
      </c>
      <c r="M38" s="330">
        <v>5.45</v>
      </c>
      <c r="N38" s="330">
        <v>106.33</v>
      </c>
      <c r="O38" s="333">
        <v>5823</v>
      </c>
      <c r="P38" s="330">
        <v>94.71</v>
      </c>
      <c r="Q38" s="330">
        <v>82.74</v>
      </c>
      <c r="R38" s="330">
        <v>47.39</v>
      </c>
      <c r="S38" s="330">
        <v>141</v>
      </c>
      <c r="T38" s="330">
        <v>1678</v>
      </c>
      <c r="U38" s="330">
        <v>141.85</v>
      </c>
      <c r="V38" s="330">
        <v>580</v>
      </c>
      <c r="W38" s="330">
        <v>348.9</v>
      </c>
      <c r="X38" s="330">
        <v>50</v>
      </c>
      <c r="Y38" s="330">
        <v>0</v>
      </c>
      <c r="Z38" s="330">
        <v>2</v>
      </c>
      <c r="AA38" s="330">
        <v>5</v>
      </c>
      <c r="AB38" s="330">
        <v>1</v>
      </c>
      <c r="AC38" s="330">
        <v>33</v>
      </c>
      <c r="AD38" s="330">
        <v>6415</v>
      </c>
      <c r="AE38" s="330">
        <v>44</v>
      </c>
      <c r="AF38" s="330">
        <v>19</v>
      </c>
      <c r="AG38" s="330">
        <v>63</v>
      </c>
    </row>
    <row r="39" spans="1:33" x14ac:dyDescent="0.35">
      <c r="A39" s="329" t="s">
        <v>136</v>
      </c>
      <c r="B39" s="335" t="s">
        <v>137</v>
      </c>
      <c r="C39" s="331">
        <v>7348</v>
      </c>
      <c r="D39" s="331">
        <v>0</v>
      </c>
      <c r="E39" s="331">
        <v>266</v>
      </c>
      <c r="F39" s="331">
        <v>548</v>
      </c>
      <c r="G39" s="331">
        <v>724</v>
      </c>
      <c r="H39" s="331">
        <v>8886</v>
      </c>
      <c r="I39" s="330">
        <v>8162</v>
      </c>
      <c r="J39" s="330">
        <v>10</v>
      </c>
      <c r="K39" s="332">
        <v>107.5</v>
      </c>
      <c r="L39" s="332">
        <v>107.2</v>
      </c>
      <c r="M39" s="332">
        <v>8.11</v>
      </c>
      <c r="N39" s="332">
        <v>110.53</v>
      </c>
      <c r="O39" s="333">
        <v>6707</v>
      </c>
      <c r="P39" s="330">
        <v>97.76</v>
      </c>
      <c r="Q39" s="330">
        <v>95.98</v>
      </c>
      <c r="R39" s="330">
        <v>37.03</v>
      </c>
      <c r="S39" s="330">
        <v>133.02000000000001</v>
      </c>
      <c r="T39" s="330">
        <v>777</v>
      </c>
      <c r="U39" s="330">
        <v>159.99</v>
      </c>
      <c r="V39" s="330">
        <v>585</v>
      </c>
      <c r="W39" s="330">
        <v>0</v>
      </c>
      <c r="X39" s="330">
        <v>0</v>
      </c>
      <c r="Y39" s="330">
        <v>14</v>
      </c>
      <c r="Z39" s="330">
        <v>10</v>
      </c>
      <c r="AA39" s="330">
        <v>2</v>
      </c>
      <c r="AB39" s="330">
        <v>37</v>
      </c>
      <c r="AC39" s="330">
        <v>20</v>
      </c>
      <c r="AD39" s="334">
        <v>7340</v>
      </c>
      <c r="AE39" s="334">
        <v>52</v>
      </c>
      <c r="AF39" s="334">
        <v>185</v>
      </c>
      <c r="AG39" s="334">
        <v>237</v>
      </c>
    </row>
    <row r="40" spans="1:33" x14ac:dyDescent="0.35">
      <c r="A40" s="329" t="s">
        <v>138</v>
      </c>
      <c r="B40" s="335" t="s">
        <v>139</v>
      </c>
      <c r="C40" s="331">
        <v>27518</v>
      </c>
      <c r="D40" s="331">
        <v>0</v>
      </c>
      <c r="E40" s="331">
        <v>1565</v>
      </c>
      <c r="F40" s="331">
        <v>2789</v>
      </c>
      <c r="G40" s="331">
        <v>689</v>
      </c>
      <c r="H40" s="331">
        <v>32561</v>
      </c>
      <c r="I40" s="330">
        <v>31872</v>
      </c>
      <c r="J40" s="330">
        <v>69</v>
      </c>
      <c r="K40" s="332">
        <v>77.61</v>
      </c>
      <c r="L40" s="332">
        <v>77.430000000000007</v>
      </c>
      <c r="M40" s="332">
        <v>5.5</v>
      </c>
      <c r="N40" s="332">
        <v>82.55</v>
      </c>
      <c r="O40" s="333">
        <v>24183</v>
      </c>
      <c r="P40" s="330">
        <v>82.28</v>
      </c>
      <c r="Q40" s="330">
        <v>79.02</v>
      </c>
      <c r="R40" s="330">
        <v>40.51</v>
      </c>
      <c r="S40" s="330">
        <v>121.96</v>
      </c>
      <c r="T40" s="330">
        <v>3576</v>
      </c>
      <c r="U40" s="330">
        <v>97.52</v>
      </c>
      <c r="V40" s="330">
        <v>3268</v>
      </c>
      <c r="W40" s="330">
        <v>153.96</v>
      </c>
      <c r="X40" s="330">
        <v>83</v>
      </c>
      <c r="Y40" s="330">
        <v>0</v>
      </c>
      <c r="Z40" s="330">
        <v>102</v>
      </c>
      <c r="AA40" s="330">
        <v>29</v>
      </c>
      <c r="AB40" s="330">
        <v>13</v>
      </c>
      <c r="AC40" s="330">
        <v>14</v>
      </c>
      <c r="AD40" s="334">
        <v>27500</v>
      </c>
      <c r="AE40" s="334">
        <v>265</v>
      </c>
      <c r="AF40" s="334">
        <v>542</v>
      </c>
      <c r="AG40" s="334">
        <v>807</v>
      </c>
    </row>
    <row r="41" spans="1:33" x14ac:dyDescent="0.35">
      <c r="A41" s="329" t="s">
        <v>140</v>
      </c>
      <c r="B41" s="335" t="s">
        <v>141</v>
      </c>
      <c r="C41" s="331">
        <v>9744</v>
      </c>
      <c r="D41" s="331">
        <v>1</v>
      </c>
      <c r="E41" s="331">
        <v>305</v>
      </c>
      <c r="F41" s="331">
        <v>701</v>
      </c>
      <c r="G41" s="331">
        <v>340</v>
      </c>
      <c r="H41" s="331">
        <v>11091</v>
      </c>
      <c r="I41" s="330">
        <v>10751</v>
      </c>
      <c r="J41" s="330">
        <v>1</v>
      </c>
      <c r="K41" s="332">
        <v>94.91</v>
      </c>
      <c r="L41" s="332">
        <v>95.02</v>
      </c>
      <c r="M41" s="332">
        <v>3.86</v>
      </c>
      <c r="N41" s="332">
        <v>96.08</v>
      </c>
      <c r="O41" s="333">
        <v>8744</v>
      </c>
      <c r="P41" s="330">
        <v>87.97</v>
      </c>
      <c r="Q41" s="330">
        <v>85.3</v>
      </c>
      <c r="R41" s="330">
        <v>43.08</v>
      </c>
      <c r="S41" s="330">
        <v>129.82</v>
      </c>
      <c r="T41" s="330">
        <v>842</v>
      </c>
      <c r="U41" s="330">
        <v>136.01</v>
      </c>
      <c r="V41" s="330">
        <v>906</v>
      </c>
      <c r="W41" s="330">
        <v>140.61000000000001</v>
      </c>
      <c r="X41" s="330">
        <v>25</v>
      </c>
      <c r="Y41" s="330">
        <v>64</v>
      </c>
      <c r="Z41" s="330">
        <v>14</v>
      </c>
      <c r="AA41" s="330">
        <v>0</v>
      </c>
      <c r="AB41" s="330">
        <v>34</v>
      </c>
      <c r="AC41" s="330">
        <v>3</v>
      </c>
      <c r="AD41" s="334">
        <v>9732</v>
      </c>
      <c r="AE41" s="334">
        <v>28</v>
      </c>
      <c r="AF41" s="334">
        <v>35</v>
      </c>
      <c r="AG41" s="334">
        <v>63</v>
      </c>
    </row>
    <row r="42" spans="1:33" x14ac:dyDescent="0.35">
      <c r="A42" s="329" t="s">
        <v>142</v>
      </c>
      <c r="B42" s="335" t="s">
        <v>143</v>
      </c>
      <c r="C42" s="331">
        <v>7433</v>
      </c>
      <c r="D42" s="331">
        <v>0</v>
      </c>
      <c r="E42" s="331">
        <v>191</v>
      </c>
      <c r="F42" s="331">
        <v>973</v>
      </c>
      <c r="G42" s="331">
        <v>289</v>
      </c>
      <c r="H42" s="331">
        <v>8886</v>
      </c>
      <c r="I42" s="330">
        <v>8597</v>
      </c>
      <c r="J42" s="330">
        <v>13</v>
      </c>
      <c r="K42" s="332">
        <v>87.51</v>
      </c>
      <c r="L42" s="332">
        <v>87.54</v>
      </c>
      <c r="M42" s="332">
        <v>3.29</v>
      </c>
      <c r="N42" s="332">
        <v>88.43</v>
      </c>
      <c r="O42" s="333">
        <v>6755</v>
      </c>
      <c r="P42" s="330">
        <v>80.17</v>
      </c>
      <c r="Q42" s="330">
        <v>77.78</v>
      </c>
      <c r="R42" s="330">
        <v>21.65</v>
      </c>
      <c r="S42" s="330">
        <v>101.09</v>
      </c>
      <c r="T42" s="330">
        <v>1124</v>
      </c>
      <c r="U42" s="330">
        <v>111.34</v>
      </c>
      <c r="V42" s="330">
        <v>661</v>
      </c>
      <c r="W42" s="330">
        <v>0</v>
      </c>
      <c r="X42" s="330">
        <v>0</v>
      </c>
      <c r="Y42" s="330">
        <v>27</v>
      </c>
      <c r="Z42" s="330">
        <v>3</v>
      </c>
      <c r="AA42" s="330">
        <v>6</v>
      </c>
      <c r="AB42" s="330">
        <v>22</v>
      </c>
      <c r="AC42" s="330">
        <v>4</v>
      </c>
      <c r="AD42" s="334">
        <v>7433</v>
      </c>
      <c r="AE42" s="334">
        <v>42</v>
      </c>
      <c r="AF42" s="334">
        <v>41</v>
      </c>
      <c r="AG42" s="334">
        <v>83</v>
      </c>
    </row>
    <row r="43" spans="1:33" x14ac:dyDescent="0.35">
      <c r="A43" s="329" t="s">
        <v>144</v>
      </c>
      <c r="B43" s="335" t="s">
        <v>145</v>
      </c>
      <c r="C43" s="331">
        <v>15957</v>
      </c>
      <c r="D43" s="331">
        <v>106</v>
      </c>
      <c r="E43" s="331">
        <v>1055</v>
      </c>
      <c r="F43" s="331">
        <v>1073</v>
      </c>
      <c r="G43" s="331">
        <v>2112</v>
      </c>
      <c r="H43" s="331">
        <v>20303</v>
      </c>
      <c r="I43" s="330">
        <v>18191</v>
      </c>
      <c r="J43" s="330">
        <v>20</v>
      </c>
      <c r="K43" s="332">
        <v>130.62</v>
      </c>
      <c r="L43" s="332">
        <v>127.83</v>
      </c>
      <c r="M43" s="332">
        <v>11.12</v>
      </c>
      <c r="N43" s="332">
        <v>138.36000000000001</v>
      </c>
      <c r="O43" s="333">
        <v>11959</v>
      </c>
      <c r="P43" s="330">
        <v>115.34</v>
      </c>
      <c r="Q43" s="330">
        <v>99.65</v>
      </c>
      <c r="R43" s="330">
        <v>49.04</v>
      </c>
      <c r="S43" s="330">
        <v>152.79</v>
      </c>
      <c r="T43" s="330">
        <v>1786</v>
      </c>
      <c r="U43" s="330">
        <v>206.19</v>
      </c>
      <c r="V43" s="330">
        <v>1579</v>
      </c>
      <c r="W43" s="330">
        <v>200.84</v>
      </c>
      <c r="X43" s="330">
        <v>139</v>
      </c>
      <c r="Y43" s="330">
        <v>0</v>
      </c>
      <c r="Z43" s="330">
        <v>5</v>
      </c>
      <c r="AA43" s="330">
        <v>16</v>
      </c>
      <c r="AB43" s="330">
        <v>158</v>
      </c>
      <c r="AC43" s="330">
        <v>73</v>
      </c>
      <c r="AD43" s="334">
        <v>14499</v>
      </c>
      <c r="AE43" s="334">
        <v>84</v>
      </c>
      <c r="AF43" s="334">
        <v>64</v>
      </c>
      <c r="AG43" s="334">
        <v>148</v>
      </c>
    </row>
    <row r="44" spans="1:33" x14ac:dyDescent="0.35">
      <c r="A44" s="329" t="s">
        <v>146</v>
      </c>
      <c r="B44" s="335" t="s">
        <v>147</v>
      </c>
      <c r="C44" s="331">
        <v>762</v>
      </c>
      <c r="D44" s="331">
        <v>7</v>
      </c>
      <c r="E44" s="331">
        <v>74</v>
      </c>
      <c r="F44" s="331">
        <v>163</v>
      </c>
      <c r="G44" s="331">
        <v>187</v>
      </c>
      <c r="H44" s="331">
        <v>1193</v>
      </c>
      <c r="I44" s="330">
        <v>1006</v>
      </c>
      <c r="J44" s="330">
        <v>0</v>
      </c>
      <c r="K44" s="332">
        <v>116</v>
      </c>
      <c r="L44" s="332">
        <v>114.26</v>
      </c>
      <c r="M44" s="332">
        <v>7.8</v>
      </c>
      <c r="N44" s="332">
        <v>123.23</v>
      </c>
      <c r="O44" s="333">
        <v>510</v>
      </c>
      <c r="P44" s="330">
        <v>98.13</v>
      </c>
      <c r="Q44" s="330">
        <v>96.55</v>
      </c>
      <c r="R44" s="330">
        <v>41.31</v>
      </c>
      <c r="S44" s="330">
        <v>139.27000000000001</v>
      </c>
      <c r="T44" s="330">
        <v>237</v>
      </c>
      <c r="U44" s="330">
        <v>141.51</v>
      </c>
      <c r="V44" s="330">
        <v>109</v>
      </c>
      <c r="W44" s="330">
        <v>0</v>
      </c>
      <c r="X44" s="330">
        <v>0</v>
      </c>
      <c r="Y44" s="330">
        <v>0</v>
      </c>
      <c r="Z44" s="330">
        <v>0</v>
      </c>
      <c r="AA44" s="330">
        <v>0</v>
      </c>
      <c r="AB44" s="330">
        <v>5</v>
      </c>
      <c r="AC44" s="330">
        <v>3</v>
      </c>
      <c r="AD44" s="334">
        <v>622</v>
      </c>
      <c r="AE44" s="334">
        <v>4</v>
      </c>
      <c r="AF44" s="334">
        <v>0</v>
      </c>
      <c r="AG44" s="334">
        <v>4</v>
      </c>
    </row>
    <row r="45" spans="1:33" x14ac:dyDescent="0.35">
      <c r="A45" s="329" t="s">
        <v>148</v>
      </c>
      <c r="B45" s="335" t="s">
        <v>149</v>
      </c>
      <c r="C45" s="331">
        <v>4568</v>
      </c>
      <c r="D45" s="331">
        <v>15</v>
      </c>
      <c r="E45" s="331">
        <v>1022</v>
      </c>
      <c r="F45" s="331">
        <v>1048</v>
      </c>
      <c r="G45" s="331">
        <v>853</v>
      </c>
      <c r="H45" s="331">
        <v>7506</v>
      </c>
      <c r="I45" s="330">
        <v>6653</v>
      </c>
      <c r="J45" s="330">
        <v>32</v>
      </c>
      <c r="K45" s="332">
        <v>94.37</v>
      </c>
      <c r="L45" s="332">
        <v>92.03</v>
      </c>
      <c r="M45" s="332">
        <v>10.14</v>
      </c>
      <c r="N45" s="332">
        <v>102.61</v>
      </c>
      <c r="O45" s="333">
        <v>3808</v>
      </c>
      <c r="P45" s="330">
        <v>90.56</v>
      </c>
      <c r="Q45" s="330">
        <v>83.87</v>
      </c>
      <c r="R45" s="330">
        <v>63.16</v>
      </c>
      <c r="S45" s="330">
        <v>152.25</v>
      </c>
      <c r="T45" s="330">
        <v>1202</v>
      </c>
      <c r="U45" s="330">
        <v>159.22999999999999</v>
      </c>
      <c r="V45" s="330">
        <v>447</v>
      </c>
      <c r="W45" s="330">
        <v>147.36000000000001</v>
      </c>
      <c r="X45" s="330">
        <v>20</v>
      </c>
      <c r="Y45" s="330">
        <v>0</v>
      </c>
      <c r="Z45" s="330">
        <v>0</v>
      </c>
      <c r="AA45" s="330">
        <v>8</v>
      </c>
      <c r="AB45" s="330">
        <v>18</v>
      </c>
      <c r="AC45" s="330">
        <v>15</v>
      </c>
      <c r="AD45" s="334">
        <v>4296</v>
      </c>
      <c r="AE45" s="334">
        <v>22</v>
      </c>
      <c r="AF45" s="334">
        <v>19</v>
      </c>
      <c r="AG45" s="334">
        <v>41</v>
      </c>
    </row>
    <row r="46" spans="1:33" x14ac:dyDescent="0.35">
      <c r="A46" s="329" t="s">
        <v>150</v>
      </c>
      <c r="B46" s="335" t="s">
        <v>151</v>
      </c>
      <c r="C46" s="331">
        <v>8728</v>
      </c>
      <c r="D46" s="331">
        <v>45</v>
      </c>
      <c r="E46" s="331">
        <v>2681</v>
      </c>
      <c r="F46" s="331">
        <v>1079</v>
      </c>
      <c r="G46" s="331">
        <v>1309</v>
      </c>
      <c r="H46" s="331">
        <v>13842</v>
      </c>
      <c r="I46" s="330">
        <v>12533</v>
      </c>
      <c r="J46" s="330">
        <v>0</v>
      </c>
      <c r="K46" s="332">
        <v>95.79</v>
      </c>
      <c r="L46" s="332">
        <v>94.36</v>
      </c>
      <c r="M46" s="332">
        <v>9.75</v>
      </c>
      <c r="N46" s="332">
        <v>102.86</v>
      </c>
      <c r="O46" s="333">
        <v>7043</v>
      </c>
      <c r="P46" s="330">
        <v>90.1</v>
      </c>
      <c r="Q46" s="330">
        <v>87.75</v>
      </c>
      <c r="R46" s="330">
        <v>39.57</v>
      </c>
      <c r="S46" s="330">
        <v>128.91</v>
      </c>
      <c r="T46" s="330">
        <v>3052</v>
      </c>
      <c r="U46" s="330">
        <v>131.57</v>
      </c>
      <c r="V46" s="330">
        <v>1100</v>
      </c>
      <c r="W46" s="330">
        <v>154.37</v>
      </c>
      <c r="X46" s="330">
        <v>68</v>
      </c>
      <c r="Y46" s="330">
        <v>1</v>
      </c>
      <c r="Z46" s="330">
        <v>1</v>
      </c>
      <c r="AA46" s="330">
        <v>13</v>
      </c>
      <c r="AB46" s="330">
        <v>39</v>
      </c>
      <c r="AC46" s="330">
        <v>21</v>
      </c>
      <c r="AD46" s="334">
        <v>8364</v>
      </c>
      <c r="AE46" s="334">
        <v>38</v>
      </c>
      <c r="AF46" s="334">
        <v>35</v>
      </c>
      <c r="AG46" s="334">
        <v>73</v>
      </c>
    </row>
    <row r="47" spans="1:33" x14ac:dyDescent="0.35">
      <c r="A47" s="329" t="s">
        <v>152</v>
      </c>
      <c r="B47" s="335" t="s">
        <v>153</v>
      </c>
      <c r="C47" s="331">
        <v>4888</v>
      </c>
      <c r="D47" s="331">
        <v>5</v>
      </c>
      <c r="E47" s="331">
        <v>151</v>
      </c>
      <c r="F47" s="331">
        <v>559</v>
      </c>
      <c r="G47" s="331">
        <v>386</v>
      </c>
      <c r="H47" s="331">
        <v>5989</v>
      </c>
      <c r="I47" s="330">
        <v>5603</v>
      </c>
      <c r="J47" s="330">
        <v>0</v>
      </c>
      <c r="K47" s="332">
        <v>91</v>
      </c>
      <c r="L47" s="332">
        <v>87.83</v>
      </c>
      <c r="M47" s="332">
        <v>2.41</v>
      </c>
      <c r="N47" s="332">
        <v>92.62</v>
      </c>
      <c r="O47" s="333">
        <v>3699</v>
      </c>
      <c r="P47" s="330">
        <v>90.7</v>
      </c>
      <c r="Q47" s="330">
        <v>83.11</v>
      </c>
      <c r="R47" s="330">
        <v>31.29</v>
      </c>
      <c r="S47" s="330">
        <v>121.9</v>
      </c>
      <c r="T47" s="330">
        <v>706</v>
      </c>
      <c r="U47" s="330">
        <v>109.2</v>
      </c>
      <c r="V47" s="330">
        <v>1054</v>
      </c>
      <c r="W47" s="330">
        <v>0</v>
      </c>
      <c r="X47" s="330">
        <v>0</v>
      </c>
      <c r="Y47" s="330">
        <v>13</v>
      </c>
      <c r="Z47" s="330">
        <v>1</v>
      </c>
      <c r="AA47" s="330">
        <v>8</v>
      </c>
      <c r="AB47" s="330">
        <v>21</v>
      </c>
      <c r="AC47" s="330">
        <v>7</v>
      </c>
      <c r="AD47" s="334">
        <v>4888</v>
      </c>
      <c r="AE47" s="334">
        <v>16</v>
      </c>
      <c r="AF47" s="334">
        <v>30</v>
      </c>
      <c r="AG47" s="334">
        <v>46</v>
      </c>
    </row>
    <row r="48" spans="1:33" x14ac:dyDescent="0.35">
      <c r="A48" s="329" t="s">
        <v>154</v>
      </c>
      <c r="B48" s="335" t="s">
        <v>155</v>
      </c>
      <c r="C48" s="331">
        <v>16261</v>
      </c>
      <c r="D48" s="331">
        <v>108</v>
      </c>
      <c r="E48" s="331">
        <v>600</v>
      </c>
      <c r="F48" s="331">
        <v>2004</v>
      </c>
      <c r="G48" s="331">
        <v>1063</v>
      </c>
      <c r="H48" s="331">
        <v>20036</v>
      </c>
      <c r="I48" s="330">
        <v>18973</v>
      </c>
      <c r="J48" s="330">
        <v>15</v>
      </c>
      <c r="K48" s="332">
        <v>113.49</v>
      </c>
      <c r="L48" s="332">
        <v>109.08</v>
      </c>
      <c r="M48" s="332">
        <v>11.43</v>
      </c>
      <c r="N48" s="332">
        <v>120.13</v>
      </c>
      <c r="O48" s="333">
        <v>13363</v>
      </c>
      <c r="P48" s="330">
        <v>108.12</v>
      </c>
      <c r="Q48" s="330">
        <v>103.62</v>
      </c>
      <c r="R48" s="330">
        <v>49.69</v>
      </c>
      <c r="S48" s="330">
        <v>156.01</v>
      </c>
      <c r="T48" s="330">
        <v>2070</v>
      </c>
      <c r="U48" s="330">
        <v>171.72</v>
      </c>
      <c r="V48" s="330">
        <v>1800</v>
      </c>
      <c r="W48" s="330">
        <v>0</v>
      </c>
      <c r="X48" s="330">
        <v>0</v>
      </c>
      <c r="Y48" s="330">
        <v>139</v>
      </c>
      <c r="Z48" s="330">
        <v>3</v>
      </c>
      <c r="AA48" s="330">
        <v>18</v>
      </c>
      <c r="AB48" s="330">
        <v>83</v>
      </c>
      <c r="AC48" s="330">
        <v>34</v>
      </c>
      <c r="AD48" s="334">
        <v>15421</v>
      </c>
      <c r="AE48" s="334">
        <v>196</v>
      </c>
      <c r="AF48" s="334">
        <v>82</v>
      </c>
      <c r="AG48" s="334">
        <v>278</v>
      </c>
    </row>
    <row r="49" spans="1:33" x14ac:dyDescent="0.35">
      <c r="A49" s="329" t="s">
        <v>156</v>
      </c>
      <c r="B49" s="335" t="s">
        <v>157</v>
      </c>
      <c r="C49" s="331">
        <v>3456</v>
      </c>
      <c r="D49" s="331">
        <v>0</v>
      </c>
      <c r="E49" s="331">
        <v>80</v>
      </c>
      <c r="F49" s="331">
        <v>998</v>
      </c>
      <c r="G49" s="331">
        <v>449</v>
      </c>
      <c r="H49" s="331">
        <v>4983</v>
      </c>
      <c r="I49" s="330">
        <v>4534</v>
      </c>
      <c r="J49" s="330">
        <v>0</v>
      </c>
      <c r="K49" s="332">
        <v>90.53</v>
      </c>
      <c r="L49" s="332">
        <v>90.06</v>
      </c>
      <c r="M49" s="332">
        <v>4.5999999999999996</v>
      </c>
      <c r="N49" s="332">
        <v>93.32</v>
      </c>
      <c r="O49" s="333">
        <v>3079</v>
      </c>
      <c r="P49" s="330">
        <v>82.86</v>
      </c>
      <c r="Q49" s="330">
        <v>83.82</v>
      </c>
      <c r="R49" s="330">
        <v>26.16</v>
      </c>
      <c r="S49" s="330">
        <v>108.99</v>
      </c>
      <c r="T49" s="330">
        <v>1036</v>
      </c>
      <c r="U49" s="330">
        <v>113.7</v>
      </c>
      <c r="V49" s="330">
        <v>336</v>
      </c>
      <c r="W49" s="330">
        <v>0</v>
      </c>
      <c r="X49" s="330">
        <v>0</v>
      </c>
      <c r="Y49" s="330">
        <v>0</v>
      </c>
      <c r="Z49" s="330">
        <v>12</v>
      </c>
      <c r="AA49" s="330">
        <v>1</v>
      </c>
      <c r="AB49" s="330">
        <v>34</v>
      </c>
      <c r="AC49" s="330">
        <v>7</v>
      </c>
      <c r="AD49" s="334">
        <v>3456</v>
      </c>
      <c r="AE49" s="334">
        <v>26</v>
      </c>
      <c r="AF49" s="334">
        <v>17</v>
      </c>
      <c r="AG49" s="334">
        <v>43</v>
      </c>
    </row>
    <row r="50" spans="1:33" x14ac:dyDescent="0.35">
      <c r="A50" s="329" t="s">
        <v>158</v>
      </c>
      <c r="B50" s="335" t="s">
        <v>159</v>
      </c>
      <c r="C50" s="331">
        <v>4741</v>
      </c>
      <c r="D50" s="331">
        <v>0</v>
      </c>
      <c r="E50" s="331">
        <v>119</v>
      </c>
      <c r="F50" s="331">
        <v>379</v>
      </c>
      <c r="G50" s="331">
        <v>382</v>
      </c>
      <c r="H50" s="331">
        <v>5621</v>
      </c>
      <c r="I50" s="330">
        <v>5239</v>
      </c>
      <c r="J50" s="330">
        <v>0</v>
      </c>
      <c r="K50" s="332">
        <v>112.04</v>
      </c>
      <c r="L50" s="332">
        <v>109.75</v>
      </c>
      <c r="M50" s="332">
        <v>7.08</v>
      </c>
      <c r="N50" s="332">
        <v>116.29</v>
      </c>
      <c r="O50" s="333">
        <v>3913</v>
      </c>
      <c r="P50" s="330">
        <v>99.23</v>
      </c>
      <c r="Q50" s="330">
        <v>94.17</v>
      </c>
      <c r="R50" s="330">
        <v>35.76</v>
      </c>
      <c r="S50" s="330">
        <v>134.63</v>
      </c>
      <c r="T50" s="330">
        <v>498</v>
      </c>
      <c r="U50" s="330">
        <v>166.33</v>
      </c>
      <c r="V50" s="330">
        <v>811</v>
      </c>
      <c r="W50" s="330">
        <v>0</v>
      </c>
      <c r="X50" s="330">
        <v>0</v>
      </c>
      <c r="Y50" s="330">
        <v>0</v>
      </c>
      <c r="Z50" s="330">
        <v>8</v>
      </c>
      <c r="AA50" s="330">
        <v>0</v>
      </c>
      <c r="AB50" s="330">
        <v>13</v>
      </c>
      <c r="AC50" s="330">
        <v>1</v>
      </c>
      <c r="AD50" s="334">
        <v>4741</v>
      </c>
      <c r="AE50" s="334">
        <v>21</v>
      </c>
      <c r="AF50" s="334">
        <v>4</v>
      </c>
      <c r="AG50" s="334">
        <v>25</v>
      </c>
    </row>
    <row r="51" spans="1:33" x14ac:dyDescent="0.35">
      <c r="A51" s="329" t="s">
        <v>160</v>
      </c>
      <c r="B51" s="335" t="s">
        <v>161</v>
      </c>
      <c r="C51" s="331">
        <v>1086</v>
      </c>
      <c r="D51" s="331">
        <v>0</v>
      </c>
      <c r="E51" s="331">
        <v>119</v>
      </c>
      <c r="F51" s="331">
        <v>108</v>
      </c>
      <c r="G51" s="331">
        <v>89</v>
      </c>
      <c r="H51" s="331">
        <v>1402</v>
      </c>
      <c r="I51" s="330">
        <v>1313</v>
      </c>
      <c r="J51" s="330">
        <v>0</v>
      </c>
      <c r="K51" s="332">
        <v>79.19</v>
      </c>
      <c r="L51" s="332">
        <v>77.91</v>
      </c>
      <c r="M51" s="332">
        <v>7.3</v>
      </c>
      <c r="N51" s="332">
        <v>85.28</v>
      </c>
      <c r="O51" s="333">
        <v>910</v>
      </c>
      <c r="P51" s="330">
        <v>95.81</v>
      </c>
      <c r="Q51" s="330">
        <v>74.19</v>
      </c>
      <c r="R51" s="330">
        <v>63.1</v>
      </c>
      <c r="S51" s="330">
        <v>158.6</v>
      </c>
      <c r="T51" s="330">
        <v>200</v>
      </c>
      <c r="U51" s="330">
        <v>94.88</v>
      </c>
      <c r="V51" s="330">
        <v>159</v>
      </c>
      <c r="W51" s="330">
        <v>196.35</v>
      </c>
      <c r="X51" s="330">
        <v>27</v>
      </c>
      <c r="Y51" s="330">
        <v>0</v>
      </c>
      <c r="Z51" s="330">
        <v>4</v>
      </c>
      <c r="AA51" s="330">
        <v>0</v>
      </c>
      <c r="AB51" s="330">
        <v>0</v>
      </c>
      <c r="AC51" s="330">
        <v>7</v>
      </c>
      <c r="AD51" s="334">
        <v>1086</v>
      </c>
      <c r="AE51" s="334">
        <v>9</v>
      </c>
      <c r="AF51" s="334">
        <v>2</v>
      </c>
      <c r="AG51" s="334">
        <v>11</v>
      </c>
    </row>
    <row r="52" spans="1:33" x14ac:dyDescent="0.35">
      <c r="A52" s="336" t="s">
        <v>775</v>
      </c>
      <c r="B52" s="336" t="s">
        <v>770</v>
      </c>
      <c r="C52" s="330">
        <v>24982</v>
      </c>
      <c r="D52" s="330">
        <v>0</v>
      </c>
      <c r="E52" s="330">
        <v>967</v>
      </c>
      <c r="F52" s="330">
        <v>3331</v>
      </c>
      <c r="G52" s="330">
        <v>2427</v>
      </c>
      <c r="H52" s="330">
        <v>31707</v>
      </c>
      <c r="I52" s="330">
        <v>29280</v>
      </c>
      <c r="J52" s="330">
        <v>56</v>
      </c>
      <c r="K52" s="337">
        <v>109.13</v>
      </c>
      <c r="L52" s="337">
        <v>108.93</v>
      </c>
      <c r="M52" s="337">
        <v>5.25</v>
      </c>
      <c r="N52" s="337">
        <v>112.49</v>
      </c>
      <c r="O52" s="330">
        <v>21093</v>
      </c>
      <c r="P52" s="337">
        <v>101.78</v>
      </c>
      <c r="Q52" s="337">
        <v>97.39</v>
      </c>
      <c r="R52" s="337">
        <v>29.63</v>
      </c>
      <c r="S52" s="337">
        <v>129.08000000000001</v>
      </c>
      <c r="T52" s="330">
        <v>3882</v>
      </c>
      <c r="U52" s="337">
        <v>159.97</v>
      </c>
      <c r="V52" s="330">
        <v>3466</v>
      </c>
      <c r="W52" s="337">
        <v>152.22999999999999</v>
      </c>
      <c r="X52" s="330">
        <v>48</v>
      </c>
      <c r="Y52" s="330">
        <v>44</v>
      </c>
      <c r="Z52" s="330">
        <v>37</v>
      </c>
      <c r="AA52" s="330">
        <v>18</v>
      </c>
      <c r="AB52" s="330">
        <v>196</v>
      </c>
      <c r="AC52" s="330">
        <v>45</v>
      </c>
      <c r="AD52" s="330">
        <v>24638</v>
      </c>
      <c r="AE52" s="330">
        <v>111</v>
      </c>
      <c r="AF52" s="330">
        <v>170</v>
      </c>
      <c r="AG52" s="330">
        <v>281</v>
      </c>
    </row>
    <row r="53" spans="1:33" x14ac:dyDescent="0.35">
      <c r="A53" s="329" t="s">
        <v>162</v>
      </c>
      <c r="B53" s="335" t="s">
        <v>163</v>
      </c>
      <c r="C53" s="331">
        <v>4444</v>
      </c>
      <c r="D53" s="331">
        <v>0</v>
      </c>
      <c r="E53" s="331">
        <v>358</v>
      </c>
      <c r="F53" s="331">
        <v>1431</v>
      </c>
      <c r="G53" s="331">
        <v>22</v>
      </c>
      <c r="H53" s="331">
        <v>6255</v>
      </c>
      <c r="I53" s="330">
        <v>6233</v>
      </c>
      <c r="J53" s="330">
        <v>8</v>
      </c>
      <c r="K53" s="332">
        <v>79.36</v>
      </c>
      <c r="L53" s="332">
        <v>76.569999999999993</v>
      </c>
      <c r="M53" s="332">
        <v>2.61</v>
      </c>
      <c r="N53" s="332">
        <v>81.739999999999995</v>
      </c>
      <c r="O53" s="333">
        <v>3859</v>
      </c>
      <c r="P53" s="330">
        <v>81.19</v>
      </c>
      <c r="Q53" s="330">
        <v>70.03</v>
      </c>
      <c r="R53" s="330">
        <v>32.99</v>
      </c>
      <c r="S53" s="330">
        <v>113.51</v>
      </c>
      <c r="T53" s="330">
        <v>1621</v>
      </c>
      <c r="U53" s="330">
        <v>95.47</v>
      </c>
      <c r="V53" s="330">
        <v>568</v>
      </c>
      <c r="W53" s="330">
        <v>269.86</v>
      </c>
      <c r="X53" s="330">
        <v>84</v>
      </c>
      <c r="Y53" s="330">
        <v>0</v>
      </c>
      <c r="Z53" s="330">
        <v>19</v>
      </c>
      <c r="AA53" s="330">
        <v>0</v>
      </c>
      <c r="AB53" s="330">
        <v>7</v>
      </c>
      <c r="AC53" s="330">
        <v>0</v>
      </c>
      <c r="AD53" s="334">
        <v>4433</v>
      </c>
      <c r="AE53" s="334">
        <v>41</v>
      </c>
      <c r="AF53" s="334">
        <v>8</v>
      </c>
      <c r="AG53" s="334">
        <v>49</v>
      </c>
    </row>
    <row r="54" spans="1:33" x14ac:dyDescent="0.35">
      <c r="A54" s="329" t="s">
        <v>164</v>
      </c>
      <c r="B54" s="335" t="s">
        <v>165</v>
      </c>
      <c r="C54" s="331">
        <v>3870</v>
      </c>
      <c r="D54" s="331">
        <v>0</v>
      </c>
      <c r="E54" s="331">
        <v>510</v>
      </c>
      <c r="F54" s="331">
        <v>530</v>
      </c>
      <c r="G54" s="331">
        <v>130</v>
      </c>
      <c r="H54" s="331">
        <v>5040</v>
      </c>
      <c r="I54" s="330">
        <v>4910</v>
      </c>
      <c r="J54" s="330">
        <v>1</v>
      </c>
      <c r="K54" s="332">
        <v>80.84</v>
      </c>
      <c r="L54" s="332">
        <v>81.2</v>
      </c>
      <c r="M54" s="332">
        <v>6.34</v>
      </c>
      <c r="N54" s="332">
        <v>84.79</v>
      </c>
      <c r="O54" s="333">
        <v>3110</v>
      </c>
      <c r="P54" s="330">
        <v>89.96</v>
      </c>
      <c r="Q54" s="330">
        <v>82.29</v>
      </c>
      <c r="R54" s="330">
        <v>46.72</v>
      </c>
      <c r="S54" s="330">
        <v>130.57</v>
      </c>
      <c r="T54" s="330">
        <v>758</v>
      </c>
      <c r="U54" s="330">
        <v>102.63</v>
      </c>
      <c r="V54" s="330">
        <v>503</v>
      </c>
      <c r="W54" s="330">
        <v>125.69</v>
      </c>
      <c r="X54" s="330">
        <v>16</v>
      </c>
      <c r="Y54" s="330">
        <v>8</v>
      </c>
      <c r="Z54" s="330">
        <v>8</v>
      </c>
      <c r="AA54" s="330">
        <v>3</v>
      </c>
      <c r="AB54" s="330">
        <v>1</v>
      </c>
      <c r="AC54" s="330">
        <v>5</v>
      </c>
      <c r="AD54" s="334">
        <v>3496</v>
      </c>
      <c r="AE54" s="334">
        <v>25</v>
      </c>
      <c r="AF54" s="334">
        <v>26</v>
      </c>
      <c r="AG54" s="334">
        <v>51</v>
      </c>
    </row>
    <row r="55" spans="1:33" x14ac:dyDescent="0.35">
      <c r="A55" s="329" t="s">
        <v>166</v>
      </c>
      <c r="B55" s="335" t="s">
        <v>167</v>
      </c>
      <c r="C55" s="331">
        <v>12633</v>
      </c>
      <c r="D55" s="331">
        <v>0</v>
      </c>
      <c r="E55" s="331">
        <v>341</v>
      </c>
      <c r="F55" s="331">
        <v>934</v>
      </c>
      <c r="G55" s="331">
        <v>223</v>
      </c>
      <c r="H55" s="331">
        <v>14131</v>
      </c>
      <c r="I55" s="330">
        <v>13908</v>
      </c>
      <c r="J55" s="330">
        <v>11</v>
      </c>
      <c r="K55" s="332">
        <v>76.75</v>
      </c>
      <c r="L55" s="332">
        <v>75.36</v>
      </c>
      <c r="M55" s="332">
        <v>7.3</v>
      </c>
      <c r="N55" s="332">
        <v>83.74</v>
      </c>
      <c r="O55" s="333">
        <v>11860</v>
      </c>
      <c r="P55" s="330">
        <v>88.29</v>
      </c>
      <c r="Q55" s="330">
        <v>76.02</v>
      </c>
      <c r="R55" s="330">
        <v>38.119999999999997</v>
      </c>
      <c r="S55" s="330">
        <v>125.52</v>
      </c>
      <c r="T55" s="330">
        <v>1122</v>
      </c>
      <c r="U55" s="330">
        <v>97.29</v>
      </c>
      <c r="V55" s="330">
        <v>694</v>
      </c>
      <c r="W55" s="330">
        <v>94.9</v>
      </c>
      <c r="X55" s="330">
        <v>10</v>
      </c>
      <c r="Y55" s="330">
        <v>0</v>
      </c>
      <c r="Z55" s="330">
        <v>43</v>
      </c>
      <c r="AA55" s="330">
        <v>136</v>
      </c>
      <c r="AB55" s="330">
        <v>3</v>
      </c>
      <c r="AC55" s="330">
        <v>9</v>
      </c>
      <c r="AD55" s="334">
        <v>12611</v>
      </c>
      <c r="AE55" s="334">
        <v>111</v>
      </c>
      <c r="AF55" s="334">
        <v>155</v>
      </c>
      <c r="AG55" s="334">
        <v>266</v>
      </c>
    </row>
    <row r="56" spans="1:33" x14ac:dyDescent="0.35">
      <c r="A56" s="329" t="s">
        <v>168</v>
      </c>
      <c r="B56" s="335" t="s">
        <v>169</v>
      </c>
      <c r="C56" s="331">
        <v>3768</v>
      </c>
      <c r="D56" s="331">
        <v>595</v>
      </c>
      <c r="E56" s="331">
        <v>453</v>
      </c>
      <c r="F56" s="331">
        <v>494</v>
      </c>
      <c r="G56" s="331">
        <v>748</v>
      </c>
      <c r="H56" s="331">
        <v>6058</v>
      </c>
      <c r="I56" s="330">
        <v>5310</v>
      </c>
      <c r="J56" s="330">
        <v>0</v>
      </c>
      <c r="K56" s="332">
        <v>107.22</v>
      </c>
      <c r="L56" s="332">
        <v>106.58</v>
      </c>
      <c r="M56" s="332">
        <v>8.1199999999999992</v>
      </c>
      <c r="N56" s="332">
        <v>112.61</v>
      </c>
      <c r="O56" s="333">
        <v>2535</v>
      </c>
      <c r="P56" s="330">
        <v>94.96</v>
      </c>
      <c r="Q56" s="330">
        <v>94.1</v>
      </c>
      <c r="R56" s="330">
        <v>66.48</v>
      </c>
      <c r="S56" s="330">
        <v>161.05000000000001</v>
      </c>
      <c r="T56" s="330">
        <v>853</v>
      </c>
      <c r="U56" s="330">
        <v>149.03</v>
      </c>
      <c r="V56" s="330">
        <v>931</v>
      </c>
      <c r="W56" s="330">
        <v>164.04</v>
      </c>
      <c r="X56" s="330">
        <v>2</v>
      </c>
      <c r="Y56" s="330">
        <v>0</v>
      </c>
      <c r="Z56" s="330">
        <v>0</v>
      </c>
      <c r="AA56" s="330">
        <v>2</v>
      </c>
      <c r="AB56" s="330">
        <v>21</v>
      </c>
      <c r="AC56" s="330">
        <v>25</v>
      </c>
      <c r="AD56" s="334">
        <v>3672</v>
      </c>
      <c r="AE56" s="334">
        <v>58</v>
      </c>
      <c r="AF56" s="334">
        <v>8</v>
      </c>
      <c r="AG56" s="334">
        <v>66</v>
      </c>
    </row>
    <row r="57" spans="1:33" x14ac:dyDescent="0.35">
      <c r="A57" s="329" t="s">
        <v>170</v>
      </c>
      <c r="B57" s="335" t="s">
        <v>171</v>
      </c>
      <c r="C57" s="331">
        <v>9128</v>
      </c>
      <c r="D57" s="331">
        <v>687</v>
      </c>
      <c r="E57" s="331">
        <v>945</v>
      </c>
      <c r="F57" s="331">
        <v>929</v>
      </c>
      <c r="G57" s="331">
        <v>534</v>
      </c>
      <c r="H57" s="331">
        <v>12223</v>
      </c>
      <c r="I57" s="330">
        <v>11689</v>
      </c>
      <c r="J57" s="330">
        <v>22</v>
      </c>
      <c r="K57" s="332">
        <v>129.71</v>
      </c>
      <c r="L57" s="332">
        <v>135.24</v>
      </c>
      <c r="M57" s="332">
        <v>18.27</v>
      </c>
      <c r="N57" s="332">
        <v>146.01</v>
      </c>
      <c r="O57" s="333">
        <v>6728</v>
      </c>
      <c r="P57" s="330">
        <v>108.07</v>
      </c>
      <c r="Q57" s="330">
        <v>108.27</v>
      </c>
      <c r="R57" s="330">
        <v>73.87</v>
      </c>
      <c r="S57" s="330">
        <v>179.96</v>
      </c>
      <c r="T57" s="330">
        <v>1749</v>
      </c>
      <c r="U57" s="330">
        <v>218.93</v>
      </c>
      <c r="V57" s="330">
        <v>471</v>
      </c>
      <c r="W57" s="330">
        <v>0</v>
      </c>
      <c r="X57" s="330">
        <v>0</v>
      </c>
      <c r="Y57" s="330">
        <v>38</v>
      </c>
      <c r="Z57" s="330">
        <v>0</v>
      </c>
      <c r="AA57" s="330">
        <v>7</v>
      </c>
      <c r="AB57" s="330">
        <v>13</v>
      </c>
      <c r="AC57" s="330">
        <v>8</v>
      </c>
      <c r="AD57" s="334">
        <v>7747</v>
      </c>
      <c r="AE57" s="334">
        <v>177</v>
      </c>
      <c r="AF57" s="334">
        <v>109</v>
      </c>
      <c r="AG57" s="334">
        <v>286</v>
      </c>
    </row>
    <row r="58" spans="1:33" x14ac:dyDescent="0.35">
      <c r="A58" s="329" t="s">
        <v>172</v>
      </c>
      <c r="B58" s="335" t="s">
        <v>173</v>
      </c>
      <c r="C58" s="331">
        <v>1652</v>
      </c>
      <c r="D58" s="331">
        <v>13</v>
      </c>
      <c r="E58" s="331">
        <v>232</v>
      </c>
      <c r="F58" s="331">
        <v>271</v>
      </c>
      <c r="G58" s="331">
        <v>258</v>
      </c>
      <c r="H58" s="331">
        <v>2426</v>
      </c>
      <c r="I58" s="330">
        <v>2168</v>
      </c>
      <c r="J58" s="330">
        <v>0</v>
      </c>
      <c r="K58" s="332">
        <v>89.71</v>
      </c>
      <c r="L58" s="332">
        <v>87.72</v>
      </c>
      <c r="M58" s="332">
        <v>5.2</v>
      </c>
      <c r="N58" s="332">
        <v>92.92</v>
      </c>
      <c r="O58" s="333">
        <v>1301</v>
      </c>
      <c r="P58" s="330">
        <v>88.9</v>
      </c>
      <c r="Q58" s="330">
        <v>84.92</v>
      </c>
      <c r="R58" s="330">
        <v>63.15</v>
      </c>
      <c r="S58" s="330">
        <v>152.05000000000001</v>
      </c>
      <c r="T58" s="330">
        <v>361</v>
      </c>
      <c r="U58" s="330">
        <v>111.66</v>
      </c>
      <c r="V58" s="330">
        <v>325</v>
      </c>
      <c r="W58" s="330">
        <v>210.28</v>
      </c>
      <c r="X58" s="330">
        <v>63</v>
      </c>
      <c r="Y58" s="330">
        <v>0</v>
      </c>
      <c r="Z58" s="330">
        <v>5</v>
      </c>
      <c r="AA58" s="330">
        <v>0</v>
      </c>
      <c r="AB58" s="330">
        <v>0</v>
      </c>
      <c r="AC58" s="330">
        <v>10</v>
      </c>
      <c r="AD58" s="334">
        <v>1641</v>
      </c>
      <c r="AE58" s="334">
        <v>9</v>
      </c>
      <c r="AF58" s="334">
        <v>36</v>
      </c>
      <c r="AG58" s="334">
        <v>45</v>
      </c>
    </row>
    <row r="59" spans="1:33" x14ac:dyDescent="0.35">
      <c r="A59" s="329" t="s">
        <v>174</v>
      </c>
      <c r="B59" s="335" t="s">
        <v>175</v>
      </c>
      <c r="C59" s="331">
        <v>2025</v>
      </c>
      <c r="D59" s="331">
        <v>0</v>
      </c>
      <c r="E59" s="331">
        <v>174</v>
      </c>
      <c r="F59" s="331">
        <v>380</v>
      </c>
      <c r="G59" s="331">
        <v>511</v>
      </c>
      <c r="H59" s="331">
        <v>3090</v>
      </c>
      <c r="I59" s="330">
        <v>2579</v>
      </c>
      <c r="J59" s="330">
        <v>0</v>
      </c>
      <c r="K59" s="332">
        <v>101.76</v>
      </c>
      <c r="L59" s="332">
        <v>100.44</v>
      </c>
      <c r="M59" s="332">
        <v>7.22</v>
      </c>
      <c r="N59" s="332">
        <v>107.75</v>
      </c>
      <c r="O59" s="333">
        <v>1379</v>
      </c>
      <c r="P59" s="330">
        <v>87.11</v>
      </c>
      <c r="Q59" s="330">
        <v>82.47</v>
      </c>
      <c r="R59" s="330">
        <v>50.67</v>
      </c>
      <c r="S59" s="330">
        <v>137.49</v>
      </c>
      <c r="T59" s="330">
        <v>532</v>
      </c>
      <c r="U59" s="330">
        <v>147.30000000000001</v>
      </c>
      <c r="V59" s="330">
        <v>362</v>
      </c>
      <c r="W59" s="330">
        <v>117.07</v>
      </c>
      <c r="X59" s="330">
        <v>6</v>
      </c>
      <c r="Y59" s="330">
        <v>21</v>
      </c>
      <c r="Z59" s="330">
        <v>0</v>
      </c>
      <c r="AA59" s="330">
        <v>0</v>
      </c>
      <c r="AB59" s="330">
        <v>55</v>
      </c>
      <c r="AC59" s="330">
        <v>6</v>
      </c>
      <c r="AD59" s="334">
        <v>1839</v>
      </c>
      <c r="AE59" s="334">
        <v>8</v>
      </c>
      <c r="AF59" s="334">
        <v>9</v>
      </c>
      <c r="AG59" s="334">
        <v>17</v>
      </c>
    </row>
    <row r="60" spans="1:33" x14ac:dyDescent="0.35">
      <c r="A60" s="329" t="s">
        <v>176</v>
      </c>
      <c r="B60" s="335" t="s">
        <v>177</v>
      </c>
      <c r="C60" s="331">
        <v>7093</v>
      </c>
      <c r="D60" s="331">
        <v>11</v>
      </c>
      <c r="E60" s="331">
        <v>278</v>
      </c>
      <c r="F60" s="331">
        <v>337</v>
      </c>
      <c r="G60" s="331">
        <v>264</v>
      </c>
      <c r="H60" s="331">
        <v>7983</v>
      </c>
      <c r="I60" s="330">
        <v>7719</v>
      </c>
      <c r="J60" s="330">
        <v>0</v>
      </c>
      <c r="K60" s="332">
        <v>80.34</v>
      </c>
      <c r="L60" s="332">
        <v>77.09</v>
      </c>
      <c r="M60" s="332">
        <v>3.57</v>
      </c>
      <c r="N60" s="332">
        <v>83.01</v>
      </c>
      <c r="O60" s="333">
        <v>5712</v>
      </c>
      <c r="P60" s="330">
        <v>94.49</v>
      </c>
      <c r="Q60" s="330">
        <v>81.86</v>
      </c>
      <c r="R60" s="330">
        <v>55.78</v>
      </c>
      <c r="S60" s="330">
        <v>148.55000000000001</v>
      </c>
      <c r="T60" s="330">
        <v>551</v>
      </c>
      <c r="U60" s="330">
        <v>88.97</v>
      </c>
      <c r="V60" s="330">
        <v>1372</v>
      </c>
      <c r="W60" s="330">
        <v>0</v>
      </c>
      <c r="X60" s="330">
        <v>0</v>
      </c>
      <c r="Y60" s="330">
        <v>0</v>
      </c>
      <c r="Z60" s="330">
        <v>27</v>
      </c>
      <c r="AA60" s="330">
        <v>0</v>
      </c>
      <c r="AB60" s="330">
        <v>7</v>
      </c>
      <c r="AC60" s="330">
        <v>1</v>
      </c>
      <c r="AD60" s="334">
        <v>7077</v>
      </c>
      <c r="AE60" s="334">
        <v>254</v>
      </c>
      <c r="AF60" s="334">
        <v>34</v>
      </c>
      <c r="AG60" s="334">
        <v>288</v>
      </c>
    </row>
    <row r="61" spans="1:33" x14ac:dyDescent="0.35">
      <c r="A61" s="329" t="s">
        <v>178</v>
      </c>
      <c r="B61" s="335" t="s">
        <v>179</v>
      </c>
      <c r="C61" s="331">
        <v>458</v>
      </c>
      <c r="D61" s="331">
        <v>0</v>
      </c>
      <c r="E61" s="331">
        <v>71</v>
      </c>
      <c r="F61" s="331">
        <v>73</v>
      </c>
      <c r="G61" s="331">
        <v>92</v>
      </c>
      <c r="H61" s="331">
        <v>694</v>
      </c>
      <c r="I61" s="330">
        <v>602</v>
      </c>
      <c r="J61" s="330">
        <v>0</v>
      </c>
      <c r="K61" s="332">
        <v>106.7</v>
      </c>
      <c r="L61" s="332">
        <v>105.15</v>
      </c>
      <c r="M61" s="332">
        <v>8.15</v>
      </c>
      <c r="N61" s="332">
        <v>111.43</v>
      </c>
      <c r="O61" s="333">
        <v>371</v>
      </c>
      <c r="P61" s="330">
        <v>90.85</v>
      </c>
      <c r="Q61" s="330">
        <v>84.09</v>
      </c>
      <c r="R61" s="330">
        <v>64.36</v>
      </c>
      <c r="S61" s="330">
        <v>154.16999999999999</v>
      </c>
      <c r="T61" s="330">
        <v>123</v>
      </c>
      <c r="U61" s="330">
        <v>146.38999999999999</v>
      </c>
      <c r="V61" s="330">
        <v>77</v>
      </c>
      <c r="W61" s="330">
        <v>0</v>
      </c>
      <c r="X61" s="330">
        <v>0</v>
      </c>
      <c r="Y61" s="330">
        <v>0</v>
      </c>
      <c r="Z61" s="330">
        <v>1</v>
      </c>
      <c r="AA61" s="330">
        <v>1</v>
      </c>
      <c r="AB61" s="330">
        <v>1</v>
      </c>
      <c r="AC61" s="330">
        <v>2</v>
      </c>
      <c r="AD61" s="334">
        <v>458</v>
      </c>
      <c r="AE61" s="334">
        <v>2</v>
      </c>
      <c r="AF61" s="334">
        <v>0</v>
      </c>
      <c r="AG61" s="334">
        <v>2</v>
      </c>
    </row>
    <row r="62" spans="1:33" x14ac:dyDescent="0.35">
      <c r="A62" s="329" t="s">
        <v>180</v>
      </c>
      <c r="B62" s="335" t="s">
        <v>181</v>
      </c>
      <c r="C62" s="331">
        <v>10020</v>
      </c>
      <c r="D62" s="331">
        <v>0</v>
      </c>
      <c r="E62" s="331">
        <v>325</v>
      </c>
      <c r="F62" s="331">
        <v>810</v>
      </c>
      <c r="G62" s="331">
        <v>1935</v>
      </c>
      <c r="H62" s="331">
        <v>13090</v>
      </c>
      <c r="I62" s="330">
        <v>11155</v>
      </c>
      <c r="J62" s="330">
        <v>4</v>
      </c>
      <c r="K62" s="332">
        <v>100.27</v>
      </c>
      <c r="L62" s="332">
        <v>101.34</v>
      </c>
      <c r="M62" s="332">
        <v>5.21</v>
      </c>
      <c r="N62" s="332">
        <v>101.81</v>
      </c>
      <c r="O62" s="333">
        <v>8359</v>
      </c>
      <c r="P62" s="330">
        <v>93.33</v>
      </c>
      <c r="Q62" s="330">
        <v>87.07</v>
      </c>
      <c r="R62" s="330">
        <v>36.54</v>
      </c>
      <c r="S62" s="330">
        <v>127.1</v>
      </c>
      <c r="T62" s="330">
        <v>1039</v>
      </c>
      <c r="U62" s="330">
        <v>141.75</v>
      </c>
      <c r="V62" s="330">
        <v>1425</v>
      </c>
      <c r="W62" s="330">
        <v>122.21</v>
      </c>
      <c r="X62" s="330">
        <v>50</v>
      </c>
      <c r="Y62" s="330">
        <v>0</v>
      </c>
      <c r="Z62" s="330">
        <v>7</v>
      </c>
      <c r="AA62" s="330">
        <v>1</v>
      </c>
      <c r="AB62" s="330">
        <v>227</v>
      </c>
      <c r="AC62" s="330">
        <v>14</v>
      </c>
      <c r="AD62" s="334">
        <v>9943</v>
      </c>
      <c r="AE62" s="334">
        <v>36</v>
      </c>
      <c r="AF62" s="334">
        <v>44</v>
      </c>
      <c r="AG62" s="334">
        <v>80</v>
      </c>
    </row>
    <row r="63" spans="1:33" x14ac:dyDescent="0.35">
      <c r="A63" s="329" t="s">
        <v>182</v>
      </c>
      <c r="B63" s="335" t="s">
        <v>183</v>
      </c>
      <c r="C63" s="331">
        <v>3086</v>
      </c>
      <c r="D63" s="331">
        <v>0</v>
      </c>
      <c r="E63" s="331">
        <v>337</v>
      </c>
      <c r="F63" s="331">
        <v>264</v>
      </c>
      <c r="G63" s="331">
        <v>690</v>
      </c>
      <c r="H63" s="331">
        <v>4377</v>
      </c>
      <c r="I63" s="330">
        <v>3687</v>
      </c>
      <c r="J63" s="330">
        <v>0</v>
      </c>
      <c r="K63" s="332">
        <v>90.32</v>
      </c>
      <c r="L63" s="332">
        <v>88.79</v>
      </c>
      <c r="M63" s="332">
        <v>6.49</v>
      </c>
      <c r="N63" s="332">
        <v>95.42</v>
      </c>
      <c r="O63" s="333">
        <v>2218</v>
      </c>
      <c r="P63" s="330">
        <v>96.33</v>
      </c>
      <c r="Q63" s="330">
        <v>82.68</v>
      </c>
      <c r="R63" s="330">
        <v>61.82</v>
      </c>
      <c r="S63" s="330">
        <v>156.49</v>
      </c>
      <c r="T63" s="330">
        <v>521</v>
      </c>
      <c r="U63" s="330">
        <v>107.63</v>
      </c>
      <c r="V63" s="330">
        <v>788</v>
      </c>
      <c r="W63" s="330">
        <v>0</v>
      </c>
      <c r="X63" s="330">
        <v>0</v>
      </c>
      <c r="Y63" s="330">
        <v>0</v>
      </c>
      <c r="Z63" s="330">
        <v>8</v>
      </c>
      <c r="AA63" s="330">
        <v>1</v>
      </c>
      <c r="AB63" s="330">
        <v>68</v>
      </c>
      <c r="AC63" s="330">
        <v>17</v>
      </c>
      <c r="AD63" s="334">
        <v>3086</v>
      </c>
      <c r="AE63" s="334">
        <v>24</v>
      </c>
      <c r="AF63" s="334">
        <v>3</v>
      </c>
      <c r="AG63" s="334">
        <v>27</v>
      </c>
    </row>
    <row r="64" spans="1:33" x14ac:dyDescent="0.35">
      <c r="A64" s="329" t="s">
        <v>184</v>
      </c>
      <c r="B64" s="335" t="s">
        <v>185</v>
      </c>
      <c r="C64" s="331">
        <v>9639</v>
      </c>
      <c r="D64" s="331">
        <v>250</v>
      </c>
      <c r="E64" s="331">
        <v>345</v>
      </c>
      <c r="F64" s="331">
        <v>287</v>
      </c>
      <c r="G64" s="331">
        <v>694</v>
      </c>
      <c r="H64" s="331">
        <v>11215</v>
      </c>
      <c r="I64" s="330">
        <v>10521</v>
      </c>
      <c r="J64" s="330">
        <v>4</v>
      </c>
      <c r="K64" s="332">
        <v>99.94</v>
      </c>
      <c r="L64" s="332">
        <v>99.29</v>
      </c>
      <c r="M64" s="332">
        <v>10.85</v>
      </c>
      <c r="N64" s="332">
        <v>105.21</v>
      </c>
      <c r="O64" s="333">
        <v>8610</v>
      </c>
      <c r="P64" s="330">
        <v>95.59</v>
      </c>
      <c r="Q64" s="330">
        <v>94.6</v>
      </c>
      <c r="R64" s="330">
        <v>33.44</v>
      </c>
      <c r="S64" s="330">
        <v>127.96</v>
      </c>
      <c r="T64" s="330">
        <v>535</v>
      </c>
      <c r="U64" s="330">
        <v>139.57</v>
      </c>
      <c r="V64" s="330">
        <v>887</v>
      </c>
      <c r="W64" s="330">
        <v>0</v>
      </c>
      <c r="X64" s="330">
        <v>0</v>
      </c>
      <c r="Y64" s="330">
        <v>0</v>
      </c>
      <c r="Z64" s="330">
        <v>7</v>
      </c>
      <c r="AA64" s="330">
        <v>12</v>
      </c>
      <c r="AB64" s="330">
        <v>73</v>
      </c>
      <c r="AC64" s="330">
        <v>8</v>
      </c>
      <c r="AD64" s="334">
        <v>9634</v>
      </c>
      <c r="AE64" s="334">
        <v>115</v>
      </c>
      <c r="AF64" s="334">
        <v>71</v>
      </c>
      <c r="AG64" s="334">
        <v>186</v>
      </c>
    </row>
    <row r="65" spans="1:33" x14ac:dyDescent="0.35">
      <c r="A65" s="329" t="s">
        <v>186</v>
      </c>
      <c r="B65" s="335" t="s">
        <v>187</v>
      </c>
      <c r="C65" s="331">
        <v>1879</v>
      </c>
      <c r="D65" s="331">
        <v>0</v>
      </c>
      <c r="E65" s="331">
        <v>390</v>
      </c>
      <c r="F65" s="331">
        <v>214</v>
      </c>
      <c r="G65" s="331">
        <v>390</v>
      </c>
      <c r="H65" s="331">
        <v>2873</v>
      </c>
      <c r="I65" s="330">
        <v>2483</v>
      </c>
      <c r="J65" s="330">
        <v>0</v>
      </c>
      <c r="K65" s="332">
        <v>93.98</v>
      </c>
      <c r="L65" s="332">
        <v>90.35</v>
      </c>
      <c r="M65" s="332">
        <v>5.62</v>
      </c>
      <c r="N65" s="332">
        <v>98.7</v>
      </c>
      <c r="O65" s="333">
        <v>1457</v>
      </c>
      <c r="P65" s="330">
        <v>84.03</v>
      </c>
      <c r="Q65" s="330">
        <v>81.709999999999994</v>
      </c>
      <c r="R65" s="330">
        <v>55.08</v>
      </c>
      <c r="S65" s="330">
        <v>132.44</v>
      </c>
      <c r="T65" s="330">
        <v>462</v>
      </c>
      <c r="U65" s="330">
        <v>131.38</v>
      </c>
      <c r="V65" s="330">
        <v>335</v>
      </c>
      <c r="W65" s="330">
        <v>235.09</v>
      </c>
      <c r="X65" s="330">
        <v>110</v>
      </c>
      <c r="Y65" s="330">
        <v>0</v>
      </c>
      <c r="Z65" s="330">
        <v>2</v>
      </c>
      <c r="AA65" s="330">
        <v>4</v>
      </c>
      <c r="AB65" s="330">
        <v>19</v>
      </c>
      <c r="AC65" s="330">
        <v>6</v>
      </c>
      <c r="AD65" s="334">
        <v>1722</v>
      </c>
      <c r="AE65" s="334">
        <v>9</v>
      </c>
      <c r="AF65" s="334">
        <v>48</v>
      </c>
      <c r="AG65" s="334">
        <v>57</v>
      </c>
    </row>
    <row r="66" spans="1:33" x14ac:dyDescent="0.35">
      <c r="A66" s="329" t="s">
        <v>188</v>
      </c>
      <c r="B66" s="335" t="s">
        <v>189</v>
      </c>
      <c r="C66" s="331">
        <v>6859</v>
      </c>
      <c r="D66" s="331">
        <v>10</v>
      </c>
      <c r="E66" s="331">
        <v>227</v>
      </c>
      <c r="F66" s="331">
        <v>1500</v>
      </c>
      <c r="G66" s="331">
        <v>935</v>
      </c>
      <c r="H66" s="331">
        <v>9531</v>
      </c>
      <c r="I66" s="330">
        <v>8596</v>
      </c>
      <c r="J66" s="330">
        <v>9</v>
      </c>
      <c r="K66" s="332">
        <v>107.4</v>
      </c>
      <c r="L66" s="332">
        <v>102.74</v>
      </c>
      <c r="M66" s="332">
        <v>6.11</v>
      </c>
      <c r="N66" s="332">
        <v>109.4</v>
      </c>
      <c r="O66" s="333">
        <v>5084</v>
      </c>
      <c r="P66" s="330">
        <v>94.14</v>
      </c>
      <c r="Q66" s="330">
        <v>95.28</v>
      </c>
      <c r="R66" s="330">
        <v>22.88</v>
      </c>
      <c r="S66" s="330">
        <v>116.12</v>
      </c>
      <c r="T66" s="330">
        <v>1536</v>
      </c>
      <c r="U66" s="330">
        <v>157.27000000000001</v>
      </c>
      <c r="V66" s="330">
        <v>1716</v>
      </c>
      <c r="W66" s="330">
        <v>192.93</v>
      </c>
      <c r="X66" s="330">
        <v>156</v>
      </c>
      <c r="Y66" s="330">
        <v>0</v>
      </c>
      <c r="Z66" s="330">
        <v>13</v>
      </c>
      <c r="AA66" s="330">
        <v>4</v>
      </c>
      <c r="AB66" s="330">
        <v>112</v>
      </c>
      <c r="AC66" s="330">
        <v>28</v>
      </c>
      <c r="AD66" s="334">
        <v>6762</v>
      </c>
      <c r="AE66" s="334">
        <v>40</v>
      </c>
      <c r="AF66" s="334">
        <v>38</v>
      </c>
      <c r="AG66" s="334">
        <v>78</v>
      </c>
    </row>
    <row r="67" spans="1:33" x14ac:dyDescent="0.35">
      <c r="A67" s="329" t="s">
        <v>190</v>
      </c>
      <c r="B67" s="335" t="s">
        <v>191</v>
      </c>
      <c r="C67" s="331">
        <v>17478</v>
      </c>
      <c r="D67" s="331">
        <v>0</v>
      </c>
      <c r="E67" s="331">
        <v>893</v>
      </c>
      <c r="F67" s="331">
        <v>2751</v>
      </c>
      <c r="G67" s="331">
        <v>1325</v>
      </c>
      <c r="H67" s="331">
        <v>22447</v>
      </c>
      <c r="I67" s="330">
        <v>21122</v>
      </c>
      <c r="J67" s="330">
        <v>106</v>
      </c>
      <c r="K67" s="332">
        <v>87.86</v>
      </c>
      <c r="L67" s="332">
        <v>86.98</v>
      </c>
      <c r="M67" s="332">
        <v>5.95</v>
      </c>
      <c r="N67" s="332">
        <v>90.48</v>
      </c>
      <c r="O67" s="333">
        <v>13519</v>
      </c>
      <c r="P67" s="330">
        <v>86.91</v>
      </c>
      <c r="Q67" s="330">
        <v>79.959999999999994</v>
      </c>
      <c r="R67" s="330">
        <v>30.7</v>
      </c>
      <c r="S67" s="330">
        <v>109.4</v>
      </c>
      <c r="T67" s="330">
        <v>3237</v>
      </c>
      <c r="U67" s="330">
        <v>108.76</v>
      </c>
      <c r="V67" s="330">
        <v>3856</v>
      </c>
      <c r="W67" s="330">
        <v>103.85</v>
      </c>
      <c r="X67" s="330">
        <v>163</v>
      </c>
      <c r="Y67" s="330">
        <v>0</v>
      </c>
      <c r="Z67" s="330">
        <v>29</v>
      </c>
      <c r="AA67" s="330">
        <v>1</v>
      </c>
      <c r="AB67" s="330">
        <v>191</v>
      </c>
      <c r="AC67" s="330">
        <v>28</v>
      </c>
      <c r="AD67" s="334">
        <v>17419</v>
      </c>
      <c r="AE67" s="334">
        <v>177</v>
      </c>
      <c r="AF67" s="334">
        <v>126</v>
      </c>
      <c r="AG67" s="334">
        <v>303</v>
      </c>
    </row>
    <row r="68" spans="1:33" x14ac:dyDescent="0.35">
      <c r="A68" s="329" t="s">
        <v>192</v>
      </c>
      <c r="B68" s="335" t="s">
        <v>193</v>
      </c>
      <c r="C68" s="331">
        <v>14612</v>
      </c>
      <c r="D68" s="331">
        <v>9</v>
      </c>
      <c r="E68" s="331">
        <v>832</v>
      </c>
      <c r="F68" s="331">
        <v>3039</v>
      </c>
      <c r="G68" s="331">
        <v>1718</v>
      </c>
      <c r="H68" s="331">
        <v>20210</v>
      </c>
      <c r="I68" s="330">
        <v>18492</v>
      </c>
      <c r="J68" s="330">
        <v>13</v>
      </c>
      <c r="K68" s="332">
        <v>91.89</v>
      </c>
      <c r="L68" s="332">
        <v>92.34</v>
      </c>
      <c r="M68" s="332">
        <v>4.37</v>
      </c>
      <c r="N68" s="332">
        <v>93.57</v>
      </c>
      <c r="O68" s="333">
        <v>12088</v>
      </c>
      <c r="P68" s="330">
        <v>88.96</v>
      </c>
      <c r="Q68" s="330">
        <v>86.91</v>
      </c>
      <c r="R68" s="330">
        <v>33.08</v>
      </c>
      <c r="S68" s="330">
        <v>113.13</v>
      </c>
      <c r="T68" s="330">
        <v>3046</v>
      </c>
      <c r="U68" s="330">
        <v>110.65</v>
      </c>
      <c r="V68" s="330">
        <v>2235</v>
      </c>
      <c r="W68" s="330">
        <v>154.74</v>
      </c>
      <c r="X68" s="330">
        <v>437</v>
      </c>
      <c r="Y68" s="330">
        <v>0</v>
      </c>
      <c r="Z68" s="330">
        <v>48</v>
      </c>
      <c r="AA68" s="330">
        <v>2</v>
      </c>
      <c r="AB68" s="330">
        <v>83</v>
      </c>
      <c r="AC68" s="330">
        <v>25</v>
      </c>
      <c r="AD68" s="334">
        <v>14468</v>
      </c>
      <c r="AE68" s="334">
        <v>116</v>
      </c>
      <c r="AF68" s="334">
        <v>34</v>
      </c>
      <c r="AG68" s="334">
        <v>150</v>
      </c>
    </row>
    <row r="69" spans="1:33" x14ac:dyDescent="0.35">
      <c r="A69" s="329" t="s">
        <v>194</v>
      </c>
      <c r="B69" s="335" t="s">
        <v>195</v>
      </c>
      <c r="C69" s="331">
        <v>842</v>
      </c>
      <c r="D69" s="331">
        <v>0</v>
      </c>
      <c r="E69" s="331">
        <v>161</v>
      </c>
      <c r="F69" s="331">
        <v>497</v>
      </c>
      <c r="G69" s="331">
        <v>104</v>
      </c>
      <c r="H69" s="331">
        <v>1604</v>
      </c>
      <c r="I69" s="330">
        <v>1500</v>
      </c>
      <c r="J69" s="330">
        <v>3</v>
      </c>
      <c r="K69" s="332">
        <v>85.89</v>
      </c>
      <c r="L69" s="332">
        <v>83.69</v>
      </c>
      <c r="M69" s="332">
        <v>5.88</v>
      </c>
      <c r="N69" s="332">
        <v>88.53</v>
      </c>
      <c r="O69" s="333">
        <v>652</v>
      </c>
      <c r="P69" s="330">
        <v>88.73</v>
      </c>
      <c r="Q69" s="330">
        <v>81.66</v>
      </c>
      <c r="R69" s="330">
        <v>22.09</v>
      </c>
      <c r="S69" s="330">
        <v>110.24</v>
      </c>
      <c r="T69" s="330">
        <v>576</v>
      </c>
      <c r="U69" s="330">
        <v>97.96</v>
      </c>
      <c r="V69" s="330">
        <v>86</v>
      </c>
      <c r="W69" s="330">
        <v>263.75</v>
      </c>
      <c r="X69" s="330">
        <v>25</v>
      </c>
      <c r="Y69" s="330">
        <v>0</v>
      </c>
      <c r="Z69" s="330">
        <v>1</v>
      </c>
      <c r="AA69" s="330">
        <v>2</v>
      </c>
      <c r="AB69" s="330">
        <v>14</v>
      </c>
      <c r="AC69" s="330">
        <v>1</v>
      </c>
      <c r="AD69" s="334">
        <v>737</v>
      </c>
      <c r="AE69" s="334">
        <v>14</v>
      </c>
      <c r="AF69" s="334">
        <v>2</v>
      </c>
      <c r="AG69" s="334">
        <v>16</v>
      </c>
    </row>
    <row r="70" spans="1:33" x14ac:dyDescent="0.35">
      <c r="A70" s="329" t="s">
        <v>196</v>
      </c>
      <c r="B70" s="335" t="s">
        <v>197</v>
      </c>
      <c r="C70" s="331">
        <v>7356</v>
      </c>
      <c r="D70" s="331">
        <v>0</v>
      </c>
      <c r="E70" s="331">
        <v>163</v>
      </c>
      <c r="F70" s="331">
        <v>737</v>
      </c>
      <c r="G70" s="331">
        <v>711</v>
      </c>
      <c r="H70" s="331">
        <v>8967</v>
      </c>
      <c r="I70" s="330">
        <v>8256</v>
      </c>
      <c r="J70" s="330">
        <v>0</v>
      </c>
      <c r="K70" s="332">
        <v>102.66</v>
      </c>
      <c r="L70" s="332">
        <v>104.08</v>
      </c>
      <c r="M70" s="332">
        <v>6.9</v>
      </c>
      <c r="N70" s="332">
        <v>105.83</v>
      </c>
      <c r="O70" s="333">
        <v>6285</v>
      </c>
      <c r="P70" s="330">
        <v>94.1</v>
      </c>
      <c r="Q70" s="330">
        <v>95.9</v>
      </c>
      <c r="R70" s="330">
        <v>30.16</v>
      </c>
      <c r="S70" s="330">
        <v>122.84</v>
      </c>
      <c r="T70" s="330">
        <v>677</v>
      </c>
      <c r="U70" s="330">
        <v>156.47999999999999</v>
      </c>
      <c r="V70" s="330">
        <v>1014</v>
      </c>
      <c r="W70" s="330">
        <v>141.1</v>
      </c>
      <c r="X70" s="330">
        <v>4</v>
      </c>
      <c r="Y70" s="330">
        <v>1</v>
      </c>
      <c r="Z70" s="330">
        <v>3</v>
      </c>
      <c r="AA70" s="330">
        <v>2</v>
      </c>
      <c r="AB70" s="330">
        <v>41</v>
      </c>
      <c r="AC70" s="330">
        <v>10</v>
      </c>
      <c r="AD70" s="334">
        <v>7335</v>
      </c>
      <c r="AE70" s="334">
        <v>55</v>
      </c>
      <c r="AF70" s="334">
        <v>11</v>
      </c>
      <c r="AG70" s="334">
        <v>66</v>
      </c>
    </row>
    <row r="71" spans="1:33" x14ac:dyDescent="0.35">
      <c r="A71" s="329" t="s">
        <v>198</v>
      </c>
      <c r="B71" s="335" t="s">
        <v>199</v>
      </c>
      <c r="C71" s="331">
        <v>6130</v>
      </c>
      <c r="D71" s="331">
        <v>19</v>
      </c>
      <c r="E71" s="331">
        <v>383</v>
      </c>
      <c r="F71" s="331">
        <v>525</v>
      </c>
      <c r="G71" s="331">
        <v>241</v>
      </c>
      <c r="H71" s="331">
        <v>7298</v>
      </c>
      <c r="I71" s="330">
        <v>7057</v>
      </c>
      <c r="J71" s="330">
        <v>5</v>
      </c>
      <c r="K71" s="332">
        <v>79.5</v>
      </c>
      <c r="L71" s="332">
        <v>77.239999999999995</v>
      </c>
      <c r="M71" s="332">
        <v>6.35</v>
      </c>
      <c r="N71" s="332">
        <v>84.16</v>
      </c>
      <c r="O71" s="333">
        <v>5214</v>
      </c>
      <c r="P71" s="330">
        <v>85.35</v>
      </c>
      <c r="Q71" s="330">
        <v>71</v>
      </c>
      <c r="R71" s="330">
        <v>27.55</v>
      </c>
      <c r="S71" s="330">
        <v>110.95</v>
      </c>
      <c r="T71" s="330">
        <v>750</v>
      </c>
      <c r="U71" s="330">
        <v>100.89</v>
      </c>
      <c r="V71" s="330">
        <v>863</v>
      </c>
      <c r="W71" s="330">
        <v>0</v>
      </c>
      <c r="X71" s="330">
        <v>0</v>
      </c>
      <c r="Y71" s="330">
        <v>0</v>
      </c>
      <c r="Z71" s="330">
        <v>11</v>
      </c>
      <c r="AA71" s="330">
        <v>7</v>
      </c>
      <c r="AB71" s="330">
        <v>17</v>
      </c>
      <c r="AC71" s="330">
        <v>1</v>
      </c>
      <c r="AD71" s="334">
        <v>6038</v>
      </c>
      <c r="AE71" s="334">
        <v>34</v>
      </c>
      <c r="AF71" s="334">
        <v>35</v>
      </c>
      <c r="AG71" s="334">
        <v>69</v>
      </c>
    </row>
    <row r="72" spans="1:33" x14ac:dyDescent="0.35">
      <c r="A72" s="329" t="s">
        <v>200</v>
      </c>
      <c r="B72" s="335" t="s">
        <v>201</v>
      </c>
      <c r="C72" s="331">
        <v>194</v>
      </c>
      <c r="D72" s="331">
        <v>0</v>
      </c>
      <c r="E72" s="331">
        <v>17</v>
      </c>
      <c r="F72" s="331">
        <v>31</v>
      </c>
      <c r="G72" s="331">
        <v>0</v>
      </c>
      <c r="H72" s="331">
        <v>242</v>
      </c>
      <c r="I72" s="330">
        <v>242</v>
      </c>
      <c r="J72" s="330">
        <v>0</v>
      </c>
      <c r="K72" s="332">
        <v>126.18</v>
      </c>
      <c r="L72" s="332">
        <v>127.54</v>
      </c>
      <c r="M72" s="332">
        <v>11.13</v>
      </c>
      <c r="N72" s="332">
        <v>137.31</v>
      </c>
      <c r="O72" s="333">
        <v>160</v>
      </c>
      <c r="P72" s="330">
        <v>113.71</v>
      </c>
      <c r="Q72" s="330">
        <v>119.05</v>
      </c>
      <c r="R72" s="330">
        <v>110.98</v>
      </c>
      <c r="S72" s="330">
        <v>224.69</v>
      </c>
      <c r="T72" s="330">
        <v>36</v>
      </c>
      <c r="U72" s="330">
        <v>208.95</v>
      </c>
      <c r="V72" s="330">
        <v>34</v>
      </c>
      <c r="W72" s="330">
        <v>0</v>
      </c>
      <c r="X72" s="330">
        <v>0</v>
      </c>
      <c r="Y72" s="330">
        <v>0</v>
      </c>
      <c r="Z72" s="330">
        <v>0</v>
      </c>
      <c r="AA72" s="330">
        <v>0</v>
      </c>
      <c r="AB72" s="330">
        <v>0</v>
      </c>
      <c r="AC72" s="330">
        <v>0</v>
      </c>
      <c r="AD72" s="334">
        <v>194</v>
      </c>
      <c r="AE72" s="334">
        <v>0</v>
      </c>
      <c r="AF72" s="334">
        <v>0</v>
      </c>
      <c r="AG72" s="334">
        <v>0</v>
      </c>
    </row>
    <row r="73" spans="1:33" x14ac:dyDescent="0.35">
      <c r="A73" s="329" t="s">
        <v>202</v>
      </c>
      <c r="B73" s="335" t="s">
        <v>203</v>
      </c>
      <c r="C73" s="331">
        <v>4296</v>
      </c>
      <c r="D73" s="331">
        <v>135</v>
      </c>
      <c r="E73" s="331">
        <v>628</v>
      </c>
      <c r="F73" s="331">
        <v>356</v>
      </c>
      <c r="G73" s="331">
        <v>355</v>
      </c>
      <c r="H73" s="331">
        <v>5770</v>
      </c>
      <c r="I73" s="330">
        <v>5415</v>
      </c>
      <c r="J73" s="330">
        <v>3</v>
      </c>
      <c r="K73" s="332">
        <v>101.8</v>
      </c>
      <c r="L73" s="332">
        <v>100.61</v>
      </c>
      <c r="M73" s="332">
        <v>6.49</v>
      </c>
      <c r="N73" s="332">
        <v>106.99</v>
      </c>
      <c r="O73" s="333">
        <v>2809</v>
      </c>
      <c r="P73" s="330">
        <v>98.2</v>
      </c>
      <c r="Q73" s="330">
        <v>86.69</v>
      </c>
      <c r="R73" s="330">
        <v>35.03</v>
      </c>
      <c r="S73" s="330">
        <v>129.97</v>
      </c>
      <c r="T73" s="330">
        <v>656</v>
      </c>
      <c r="U73" s="330">
        <v>131.21</v>
      </c>
      <c r="V73" s="330">
        <v>1089</v>
      </c>
      <c r="W73" s="330">
        <v>137.41</v>
      </c>
      <c r="X73" s="330">
        <v>34</v>
      </c>
      <c r="Y73" s="330">
        <v>0</v>
      </c>
      <c r="Z73" s="330">
        <v>1</v>
      </c>
      <c r="AA73" s="330">
        <v>12</v>
      </c>
      <c r="AB73" s="330">
        <v>37</v>
      </c>
      <c r="AC73" s="330">
        <v>6</v>
      </c>
      <c r="AD73" s="334">
        <v>4235</v>
      </c>
      <c r="AE73" s="334">
        <v>51</v>
      </c>
      <c r="AF73" s="334">
        <v>49</v>
      </c>
      <c r="AG73" s="334">
        <v>100</v>
      </c>
    </row>
    <row r="74" spans="1:33" x14ac:dyDescent="0.35">
      <c r="A74" s="329" t="s">
        <v>204</v>
      </c>
      <c r="B74" s="335" t="s">
        <v>205</v>
      </c>
      <c r="C74" s="331">
        <v>5592</v>
      </c>
      <c r="D74" s="331">
        <v>0</v>
      </c>
      <c r="E74" s="331">
        <v>75</v>
      </c>
      <c r="F74" s="331">
        <v>318</v>
      </c>
      <c r="G74" s="331">
        <v>8</v>
      </c>
      <c r="H74" s="331">
        <v>5993</v>
      </c>
      <c r="I74" s="330">
        <v>5985</v>
      </c>
      <c r="J74" s="330">
        <v>2</v>
      </c>
      <c r="K74" s="332">
        <v>84.74</v>
      </c>
      <c r="L74" s="332">
        <v>81.36</v>
      </c>
      <c r="M74" s="332">
        <v>1.23</v>
      </c>
      <c r="N74" s="332">
        <v>85.87</v>
      </c>
      <c r="O74" s="333">
        <v>5265</v>
      </c>
      <c r="P74" s="330">
        <v>78.349999999999994</v>
      </c>
      <c r="Q74" s="330">
        <v>74.209999999999994</v>
      </c>
      <c r="R74" s="330">
        <v>46.31</v>
      </c>
      <c r="S74" s="330">
        <v>124.03</v>
      </c>
      <c r="T74" s="330">
        <v>367</v>
      </c>
      <c r="U74" s="330">
        <v>90.52</v>
      </c>
      <c r="V74" s="330">
        <v>304</v>
      </c>
      <c r="W74" s="330">
        <v>0</v>
      </c>
      <c r="X74" s="330">
        <v>0</v>
      </c>
      <c r="Y74" s="330">
        <v>0</v>
      </c>
      <c r="Z74" s="330">
        <v>8</v>
      </c>
      <c r="AA74" s="330">
        <v>16</v>
      </c>
      <c r="AB74" s="330">
        <v>0</v>
      </c>
      <c r="AC74" s="330">
        <v>0</v>
      </c>
      <c r="AD74" s="334">
        <v>5569</v>
      </c>
      <c r="AE74" s="334">
        <v>55</v>
      </c>
      <c r="AF74" s="334">
        <v>179</v>
      </c>
      <c r="AG74" s="334">
        <v>234</v>
      </c>
    </row>
    <row r="75" spans="1:33" x14ac:dyDescent="0.35">
      <c r="A75" s="329" t="s">
        <v>206</v>
      </c>
      <c r="B75" s="335" t="s">
        <v>207</v>
      </c>
      <c r="C75" s="331">
        <v>18827</v>
      </c>
      <c r="D75" s="331">
        <v>0</v>
      </c>
      <c r="E75" s="331">
        <v>954</v>
      </c>
      <c r="F75" s="331">
        <v>2344</v>
      </c>
      <c r="G75" s="331">
        <v>2446</v>
      </c>
      <c r="H75" s="331">
        <v>24571</v>
      </c>
      <c r="I75" s="330">
        <v>22125</v>
      </c>
      <c r="J75" s="330">
        <v>47</v>
      </c>
      <c r="K75" s="332">
        <v>82.22</v>
      </c>
      <c r="L75" s="332">
        <v>77.83</v>
      </c>
      <c r="M75" s="332">
        <v>3.61</v>
      </c>
      <c r="N75" s="332">
        <v>85.27</v>
      </c>
      <c r="O75" s="333">
        <v>13998</v>
      </c>
      <c r="P75" s="330">
        <v>81.64</v>
      </c>
      <c r="Q75" s="330">
        <v>70.8</v>
      </c>
      <c r="R75" s="330">
        <v>42.8</v>
      </c>
      <c r="S75" s="330">
        <v>122.29</v>
      </c>
      <c r="T75" s="330">
        <v>3012</v>
      </c>
      <c r="U75" s="330">
        <v>117.78</v>
      </c>
      <c r="V75" s="330">
        <v>3359</v>
      </c>
      <c r="W75" s="330">
        <v>138.30000000000001</v>
      </c>
      <c r="X75" s="330">
        <v>59</v>
      </c>
      <c r="Y75" s="330">
        <v>0</v>
      </c>
      <c r="Z75" s="330">
        <v>8</v>
      </c>
      <c r="AA75" s="330">
        <v>76</v>
      </c>
      <c r="AB75" s="330">
        <v>165</v>
      </c>
      <c r="AC75" s="330">
        <v>42</v>
      </c>
      <c r="AD75" s="334">
        <v>18382</v>
      </c>
      <c r="AE75" s="334">
        <v>128</v>
      </c>
      <c r="AF75" s="334">
        <v>58</v>
      </c>
      <c r="AG75" s="334">
        <v>186</v>
      </c>
    </row>
    <row r="76" spans="1:33" x14ac:dyDescent="0.35">
      <c r="A76" s="329" t="s">
        <v>208</v>
      </c>
      <c r="B76" s="335" t="s">
        <v>209</v>
      </c>
      <c r="C76" s="331">
        <v>5519</v>
      </c>
      <c r="D76" s="331">
        <v>1</v>
      </c>
      <c r="E76" s="331">
        <v>54</v>
      </c>
      <c r="F76" s="331">
        <v>552</v>
      </c>
      <c r="G76" s="331">
        <v>773</v>
      </c>
      <c r="H76" s="331">
        <v>6899</v>
      </c>
      <c r="I76" s="330">
        <v>6126</v>
      </c>
      <c r="J76" s="330">
        <v>0</v>
      </c>
      <c r="K76" s="332">
        <v>102.22</v>
      </c>
      <c r="L76" s="332">
        <v>97.81</v>
      </c>
      <c r="M76" s="332">
        <v>4.2</v>
      </c>
      <c r="N76" s="332">
        <v>103.87</v>
      </c>
      <c r="O76" s="333">
        <v>4400</v>
      </c>
      <c r="P76" s="330">
        <v>94.97</v>
      </c>
      <c r="Q76" s="330">
        <v>87.22</v>
      </c>
      <c r="R76" s="330">
        <v>24.29</v>
      </c>
      <c r="S76" s="330">
        <v>118.15</v>
      </c>
      <c r="T76" s="330">
        <v>546</v>
      </c>
      <c r="U76" s="330">
        <v>134.25</v>
      </c>
      <c r="V76" s="330">
        <v>905</v>
      </c>
      <c r="W76" s="330">
        <v>176.34</v>
      </c>
      <c r="X76" s="330">
        <v>53</v>
      </c>
      <c r="Y76" s="330">
        <v>0</v>
      </c>
      <c r="Z76" s="330">
        <v>5</v>
      </c>
      <c r="AA76" s="330">
        <v>2</v>
      </c>
      <c r="AB76" s="330">
        <v>48</v>
      </c>
      <c r="AC76" s="330">
        <v>10</v>
      </c>
      <c r="AD76" s="334">
        <v>5297</v>
      </c>
      <c r="AE76" s="334">
        <v>49</v>
      </c>
      <c r="AF76" s="334">
        <v>89</v>
      </c>
      <c r="AG76" s="334">
        <v>138</v>
      </c>
    </row>
    <row r="77" spans="1:33" x14ac:dyDescent="0.35">
      <c r="A77" s="329" t="s">
        <v>210</v>
      </c>
      <c r="B77" s="335" t="s">
        <v>211</v>
      </c>
      <c r="C77" s="331">
        <v>45702</v>
      </c>
      <c r="D77" s="331">
        <v>18</v>
      </c>
      <c r="E77" s="331">
        <v>947</v>
      </c>
      <c r="F77" s="331">
        <v>1438</v>
      </c>
      <c r="G77" s="331">
        <v>327</v>
      </c>
      <c r="H77" s="331">
        <v>48432</v>
      </c>
      <c r="I77" s="330">
        <v>48105</v>
      </c>
      <c r="J77" s="330">
        <v>11</v>
      </c>
      <c r="K77" s="332">
        <v>71.459999999999994</v>
      </c>
      <c r="L77" s="332">
        <v>71.709999999999994</v>
      </c>
      <c r="M77" s="332">
        <v>4.45</v>
      </c>
      <c r="N77" s="332">
        <v>72.05</v>
      </c>
      <c r="O77" s="333">
        <v>40964</v>
      </c>
      <c r="P77" s="330">
        <v>99.03</v>
      </c>
      <c r="Q77" s="330">
        <v>78.77</v>
      </c>
      <c r="R77" s="330">
        <v>55.58</v>
      </c>
      <c r="S77" s="330">
        <v>152.44</v>
      </c>
      <c r="T77" s="330">
        <v>1941</v>
      </c>
      <c r="U77" s="330">
        <v>88.77</v>
      </c>
      <c r="V77" s="330">
        <v>3773</v>
      </c>
      <c r="W77" s="330">
        <v>145.76</v>
      </c>
      <c r="X77" s="330">
        <v>162</v>
      </c>
      <c r="Y77" s="330">
        <v>0</v>
      </c>
      <c r="Z77" s="330">
        <v>196</v>
      </c>
      <c r="AA77" s="330">
        <v>35</v>
      </c>
      <c r="AB77" s="330">
        <v>45</v>
      </c>
      <c r="AC77" s="330">
        <v>9</v>
      </c>
      <c r="AD77" s="334">
        <v>44819</v>
      </c>
      <c r="AE77" s="334">
        <v>620</v>
      </c>
      <c r="AF77" s="334">
        <v>333</v>
      </c>
      <c r="AG77" s="334">
        <v>953</v>
      </c>
    </row>
    <row r="78" spans="1:33" x14ac:dyDescent="0.35">
      <c r="A78" s="329" t="s">
        <v>212</v>
      </c>
      <c r="B78" s="335" t="s">
        <v>213</v>
      </c>
      <c r="C78" s="331">
        <v>22322</v>
      </c>
      <c r="D78" s="331">
        <v>4</v>
      </c>
      <c r="E78" s="331">
        <v>690</v>
      </c>
      <c r="F78" s="331">
        <v>1694</v>
      </c>
      <c r="G78" s="331">
        <v>621</v>
      </c>
      <c r="H78" s="331">
        <v>25331</v>
      </c>
      <c r="I78" s="330">
        <v>24710</v>
      </c>
      <c r="J78" s="330">
        <v>5</v>
      </c>
      <c r="K78" s="332">
        <v>84.05</v>
      </c>
      <c r="L78" s="332">
        <v>83.69</v>
      </c>
      <c r="M78" s="332">
        <v>5.66</v>
      </c>
      <c r="N78" s="332">
        <v>89.31</v>
      </c>
      <c r="O78" s="333">
        <v>19835</v>
      </c>
      <c r="P78" s="330">
        <v>88.71</v>
      </c>
      <c r="Q78" s="330">
        <v>86.09</v>
      </c>
      <c r="R78" s="330">
        <v>51.05</v>
      </c>
      <c r="S78" s="330">
        <v>138.91</v>
      </c>
      <c r="T78" s="330">
        <v>2108</v>
      </c>
      <c r="U78" s="330">
        <v>110.74</v>
      </c>
      <c r="V78" s="330">
        <v>2165</v>
      </c>
      <c r="W78" s="330">
        <v>0</v>
      </c>
      <c r="X78" s="330">
        <v>0</v>
      </c>
      <c r="Y78" s="330">
        <v>40</v>
      </c>
      <c r="Z78" s="330">
        <v>163</v>
      </c>
      <c r="AA78" s="330">
        <v>38</v>
      </c>
      <c r="AB78" s="330">
        <v>22</v>
      </c>
      <c r="AC78" s="330">
        <v>24</v>
      </c>
      <c r="AD78" s="334">
        <v>22189</v>
      </c>
      <c r="AE78" s="334">
        <v>198</v>
      </c>
      <c r="AF78" s="334">
        <v>187</v>
      </c>
      <c r="AG78" s="334">
        <v>385</v>
      </c>
    </row>
    <row r="79" spans="1:33" x14ac:dyDescent="0.35">
      <c r="A79" s="329" t="s">
        <v>214</v>
      </c>
      <c r="B79" s="335" t="s">
        <v>215</v>
      </c>
      <c r="C79" s="331">
        <v>2248</v>
      </c>
      <c r="D79" s="331">
        <v>0</v>
      </c>
      <c r="E79" s="331">
        <v>48</v>
      </c>
      <c r="F79" s="331">
        <v>182</v>
      </c>
      <c r="G79" s="331">
        <v>71</v>
      </c>
      <c r="H79" s="331">
        <v>2549</v>
      </c>
      <c r="I79" s="330">
        <v>2478</v>
      </c>
      <c r="J79" s="330">
        <v>49</v>
      </c>
      <c r="K79" s="332">
        <v>84.19</v>
      </c>
      <c r="L79" s="332">
        <v>80.81</v>
      </c>
      <c r="M79" s="332">
        <v>6.5</v>
      </c>
      <c r="N79" s="332">
        <v>88.23</v>
      </c>
      <c r="O79" s="333">
        <v>1529</v>
      </c>
      <c r="P79" s="330">
        <v>81.5</v>
      </c>
      <c r="Q79" s="330">
        <v>70.38</v>
      </c>
      <c r="R79" s="330">
        <v>28.97</v>
      </c>
      <c r="S79" s="330">
        <v>110.48</v>
      </c>
      <c r="T79" s="330">
        <v>186</v>
      </c>
      <c r="U79" s="330">
        <v>95.16</v>
      </c>
      <c r="V79" s="330">
        <v>675</v>
      </c>
      <c r="W79" s="330">
        <v>155.93</v>
      </c>
      <c r="X79" s="330">
        <v>34</v>
      </c>
      <c r="Y79" s="330">
        <v>0</v>
      </c>
      <c r="Z79" s="330">
        <v>3</v>
      </c>
      <c r="AA79" s="330">
        <v>1</v>
      </c>
      <c r="AB79" s="330">
        <v>9</v>
      </c>
      <c r="AC79" s="330">
        <v>2</v>
      </c>
      <c r="AD79" s="334">
        <v>2226</v>
      </c>
      <c r="AE79" s="334">
        <v>26</v>
      </c>
      <c r="AF79" s="334">
        <v>8</v>
      </c>
      <c r="AG79" s="334">
        <v>34</v>
      </c>
    </row>
    <row r="80" spans="1:33" x14ac:dyDescent="0.35">
      <c r="A80" s="329" t="s">
        <v>216</v>
      </c>
      <c r="B80" s="335" t="s">
        <v>217</v>
      </c>
      <c r="C80" s="331">
        <v>2140</v>
      </c>
      <c r="D80" s="331">
        <v>0</v>
      </c>
      <c r="E80" s="331">
        <v>178</v>
      </c>
      <c r="F80" s="331">
        <v>285</v>
      </c>
      <c r="G80" s="331">
        <v>414</v>
      </c>
      <c r="H80" s="331">
        <v>3017</v>
      </c>
      <c r="I80" s="330">
        <v>2603</v>
      </c>
      <c r="J80" s="330">
        <v>3</v>
      </c>
      <c r="K80" s="332">
        <v>109.56</v>
      </c>
      <c r="L80" s="332">
        <v>103.25</v>
      </c>
      <c r="M80" s="332">
        <v>9.17</v>
      </c>
      <c r="N80" s="332">
        <v>117.86</v>
      </c>
      <c r="O80" s="333">
        <v>1618</v>
      </c>
      <c r="P80" s="330">
        <v>104.4</v>
      </c>
      <c r="Q80" s="330">
        <v>99.97</v>
      </c>
      <c r="R80" s="330">
        <v>34.590000000000003</v>
      </c>
      <c r="S80" s="330">
        <v>138.82</v>
      </c>
      <c r="T80" s="330">
        <v>206</v>
      </c>
      <c r="U80" s="330">
        <v>156.41999999999999</v>
      </c>
      <c r="V80" s="330">
        <v>420</v>
      </c>
      <c r="W80" s="330">
        <v>280.83</v>
      </c>
      <c r="X80" s="330">
        <v>101</v>
      </c>
      <c r="Y80" s="330">
        <v>28</v>
      </c>
      <c r="Z80" s="330">
        <v>0</v>
      </c>
      <c r="AA80" s="330">
        <v>1</v>
      </c>
      <c r="AB80" s="330">
        <v>1</v>
      </c>
      <c r="AC80" s="330">
        <v>12</v>
      </c>
      <c r="AD80" s="334">
        <v>2111</v>
      </c>
      <c r="AE80" s="334">
        <v>18</v>
      </c>
      <c r="AF80" s="334">
        <v>5</v>
      </c>
      <c r="AG80" s="334">
        <v>23</v>
      </c>
    </row>
    <row r="81" spans="1:33" x14ac:dyDescent="0.35">
      <c r="A81" s="329" t="s">
        <v>218</v>
      </c>
      <c r="B81" s="335" t="s">
        <v>219</v>
      </c>
      <c r="C81" s="331">
        <v>11337</v>
      </c>
      <c r="D81" s="331">
        <v>72</v>
      </c>
      <c r="E81" s="331">
        <v>1047</v>
      </c>
      <c r="F81" s="331">
        <v>834</v>
      </c>
      <c r="G81" s="331">
        <v>2052</v>
      </c>
      <c r="H81" s="331">
        <v>15342</v>
      </c>
      <c r="I81" s="330">
        <v>13290</v>
      </c>
      <c r="J81" s="330">
        <v>18</v>
      </c>
      <c r="K81" s="332">
        <v>120.9</v>
      </c>
      <c r="L81" s="332">
        <v>119.85</v>
      </c>
      <c r="M81" s="332">
        <v>10.029999999999999</v>
      </c>
      <c r="N81" s="332">
        <v>127.38</v>
      </c>
      <c r="O81" s="333">
        <v>8802</v>
      </c>
      <c r="P81" s="330">
        <v>101.82</v>
      </c>
      <c r="Q81" s="330">
        <v>97.49</v>
      </c>
      <c r="R81" s="330">
        <v>61.84</v>
      </c>
      <c r="S81" s="330">
        <v>163.44</v>
      </c>
      <c r="T81" s="330">
        <v>1150</v>
      </c>
      <c r="U81" s="330">
        <v>183.68</v>
      </c>
      <c r="V81" s="330">
        <v>1985</v>
      </c>
      <c r="W81" s="330">
        <v>130.84</v>
      </c>
      <c r="X81" s="330">
        <v>29</v>
      </c>
      <c r="Y81" s="330">
        <v>18</v>
      </c>
      <c r="Z81" s="330">
        <v>1</v>
      </c>
      <c r="AA81" s="330">
        <v>15</v>
      </c>
      <c r="AB81" s="330">
        <v>119</v>
      </c>
      <c r="AC81" s="330">
        <v>53</v>
      </c>
      <c r="AD81" s="334">
        <v>11075</v>
      </c>
      <c r="AE81" s="334">
        <v>61</v>
      </c>
      <c r="AF81" s="334">
        <v>35</v>
      </c>
      <c r="AG81" s="334">
        <v>96</v>
      </c>
    </row>
    <row r="82" spans="1:33" x14ac:dyDescent="0.35">
      <c r="A82" s="329" t="s">
        <v>220</v>
      </c>
      <c r="B82" s="335" t="s">
        <v>221</v>
      </c>
      <c r="C82" s="331">
        <v>2981</v>
      </c>
      <c r="D82" s="331">
        <v>0</v>
      </c>
      <c r="E82" s="331">
        <v>227</v>
      </c>
      <c r="F82" s="331">
        <v>267</v>
      </c>
      <c r="G82" s="331">
        <v>333</v>
      </c>
      <c r="H82" s="331">
        <v>3808</v>
      </c>
      <c r="I82" s="330">
        <v>3475</v>
      </c>
      <c r="J82" s="330">
        <v>1</v>
      </c>
      <c r="K82" s="332">
        <v>115.12</v>
      </c>
      <c r="L82" s="332">
        <v>112.52</v>
      </c>
      <c r="M82" s="332">
        <v>6.92</v>
      </c>
      <c r="N82" s="332">
        <v>121.02</v>
      </c>
      <c r="O82" s="333">
        <v>1959</v>
      </c>
      <c r="P82" s="330">
        <v>113.44</v>
      </c>
      <c r="Q82" s="330">
        <v>101.53</v>
      </c>
      <c r="R82" s="330">
        <v>36.43</v>
      </c>
      <c r="S82" s="330">
        <v>148.38999999999999</v>
      </c>
      <c r="T82" s="330">
        <v>391</v>
      </c>
      <c r="U82" s="330">
        <v>170.21</v>
      </c>
      <c r="V82" s="330">
        <v>785</v>
      </c>
      <c r="W82" s="330">
        <v>152.44999999999999</v>
      </c>
      <c r="X82" s="330">
        <v>8</v>
      </c>
      <c r="Y82" s="330">
        <v>0</v>
      </c>
      <c r="Z82" s="330">
        <v>0</v>
      </c>
      <c r="AA82" s="330">
        <v>0</v>
      </c>
      <c r="AB82" s="330">
        <v>9</v>
      </c>
      <c r="AC82" s="330">
        <v>3</v>
      </c>
      <c r="AD82" s="334">
        <v>2949</v>
      </c>
      <c r="AE82" s="334">
        <v>35</v>
      </c>
      <c r="AF82" s="334">
        <v>6</v>
      </c>
      <c r="AG82" s="334">
        <v>41</v>
      </c>
    </row>
    <row r="83" spans="1:33" x14ac:dyDescent="0.35">
      <c r="A83" s="329" t="s">
        <v>222</v>
      </c>
      <c r="B83" s="335" t="s">
        <v>223</v>
      </c>
      <c r="C83" s="331">
        <v>2096</v>
      </c>
      <c r="D83" s="331">
        <v>10</v>
      </c>
      <c r="E83" s="331">
        <v>340</v>
      </c>
      <c r="F83" s="331">
        <v>488</v>
      </c>
      <c r="G83" s="331">
        <v>142</v>
      </c>
      <c r="H83" s="331">
        <v>3076</v>
      </c>
      <c r="I83" s="330">
        <v>2934</v>
      </c>
      <c r="J83" s="330">
        <v>0</v>
      </c>
      <c r="K83" s="332">
        <v>78.83</v>
      </c>
      <c r="L83" s="332">
        <v>76.19</v>
      </c>
      <c r="M83" s="332">
        <v>4.79</v>
      </c>
      <c r="N83" s="332">
        <v>81.88</v>
      </c>
      <c r="O83" s="333">
        <v>1161</v>
      </c>
      <c r="P83" s="330">
        <v>91.12</v>
      </c>
      <c r="Q83" s="330">
        <v>81.88</v>
      </c>
      <c r="R83" s="330">
        <v>51.93</v>
      </c>
      <c r="S83" s="330">
        <v>142.77000000000001</v>
      </c>
      <c r="T83" s="330">
        <v>556</v>
      </c>
      <c r="U83" s="330">
        <v>96.11</v>
      </c>
      <c r="V83" s="330">
        <v>548</v>
      </c>
      <c r="W83" s="330">
        <v>94.59</v>
      </c>
      <c r="X83" s="330">
        <v>22</v>
      </c>
      <c r="Y83" s="330">
        <v>31</v>
      </c>
      <c r="Z83" s="330">
        <v>1</v>
      </c>
      <c r="AA83" s="330">
        <v>1</v>
      </c>
      <c r="AB83" s="330">
        <v>12</v>
      </c>
      <c r="AC83" s="330">
        <v>7</v>
      </c>
      <c r="AD83" s="334">
        <v>1868</v>
      </c>
      <c r="AE83" s="334">
        <v>21</v>
      </c>
      <c r="AF83" s="334">
        <v>11</v>
      </c>
      <c r="AG83" s="334">
        <v>32</v>
      </c>
    </row>
    <row r="84" spans="1:33" x14ac:dyDescent="0.35">
      <c r="A84" s="329" t="s">
        <v>224</v>
      </c>
      <c r="B84" s="335" t="s">
        <v>225</v>
      </c>
      <c r="C84" s="331">
        <v>1727</v>
      </c>
      <c r="D84" s="331">
        <v>12</v>
      </c>
      <c r="E84" s="331">
        <v>183</v>
      </c>
      <c r="F84" s="331">
        <v>107</v>
      </c>
      <c r="G84" s="331">
        <v>940</v>
      </c>
      <c r="H84" s="331">
        <v>2969</v>
      </c>
      <c r="I84" s="330">
        <v>2029</v>
      </c>
      <c r="J84" s="330">
        <v>0</v>
      </c>
      <c r="K84" s="332">
        <v>106.57</v>
      </c>
      <c r="L84" s="332">
        <v>102.65</v>
      </c>
      <c r="M84" s="332">
        <v>7.46</v>
      </c>
      <c r="N84" s="332">
        <v>113.5</v>
      </c>
      <c r="O84" s="333">
        <v>851</v>
      </c>
      <c r="P84" s="330">
        <v>122.91</v>
      </c>
      <c r="Q84" s="330">
        <v>85.48</v>
      </c>
      <c r="R84" s="330">
        <v>50.45</v>
      </c>
      <c r="S84" s="330">
        <v>166.99</v>
      </c>
      <c r="T84" s="330">
        <v>174</v>
      </c>
      <c r="U84" s="330">
        <v>155.96</v>
      </c>
      <c r="V84" s="330">
        <v>444</v>
      </c>
      <c r="W84" s="330">
        <v>0</v>
      </c>
      <c r="X84" s="330">
        <v>0</v>
      </c>
      <c r="Y84" s="330">
        <v>17</v>
      </c>
      <c r="Z84" s="330">
        <v>0</v>
      </c>
      <c r="AA84" s="330">
        <v>2</v>
      </c>
      <c r="AB84" s="330">
        <v>88</v>
      </c>
      <c r="AC84" s="330">
        <v>25</v>
      </c>
      <c r="AD84" s="334">
        <v>1348</v>
      </c>
      <c r="AE84" s="334">
        <v>7</v>
      </c>
      <c r="AF84" s="334">
        <v>3</v>
      </c>
      <c r="AG84" s="334">
        <v>10</v>
      </c>
    </row>
    <row r="85" spans="1:33" x14ac:dyDescent="0.35">
      <c r="A85" s="329" t="s">
        <v>226</v>
      </c>
      <c r="B85" s="335" t="s">
        <v>227</v>
      </c>
      <c r="C85" s="331">
        <v>6066</v>
      </c>
      <c r="D85" s="331">
        <v>102</v>
      </c>
      <c r="E85" s="331">
        <v>691</v>
      </c>
      <c r="F85" s="331">
        <v>1325</v>
      </c>
      <c r="G85" s="331">
        <v>521</v>
      </c>
      <c r="H85" s="331">
        <v>8705</v>
      </c>
      <c r="I85" s="330">
        <v>8184</v>
      </c>
      <c r="J85" s="330">
        <v>3</v>
      </c>
      <c r="K85" s="332">
        <v>87.43</v>
      </c>
      <c r="L85" s="332">
        <v>85.59</v>
      </c>
      <c r="M85" s="332">
        <v>6.42</v>
      </c>
      <c r="N85" s="332">
        <v>92.02</v>
      </c>
      <c r="O85" s="333">
        <v>5412</v>
      </c>
      <c r="P85" s="330">
        <v>80.75</v>
      </c>
      <c r="Q85" s="330">
        <v>78.95</v>
      </c>
      <c r="R85" s="330">
        <v>49.86</v>
      </c>
      <c r="S85" s="330">
        <v>129.88999999999999</v>
      </c>
      <c r="T85" s="330">
        <v>1446</v>
      </c>
      <c r="U85" s="330">
        <v>102.22</v>
      </c>
      <c r="V85" s="330">
        <v>496</v>
      </c>
      <c r="W85" s="330">
        <v>153.57</v>
      </c>
      <c r="X85" s="330">
        <v>109</v>
      </c>
      <c r="Y85" s="330">
        <v>0</v>
      </c>
      <c r="Z85" s="330">
        <v>68</v>
      </c>
      <c r="AA85" s="330">
        <v>4</v>
      </c>
      <c r="AB85" s="330">
        <v>6</v>
      </c>
      <c r="AC85" s="330">
        <v>21</v>
      </c>
      <c r="AD85" s="334">
        <v>5882</v>
      </c>
      <c r="AE85" s="334">
        <v>90</v>
      </c>
      <c r="AF85" s="334">
        <v>30</v>
      </c>
      <c r="AG85" s="334">
        <v>120</v>
      </c>
    </row>
    <row r="86" spans="1:33" x14ac:dyDescent="0.35">
      <c r="A86" s="329" t="s">
        <v>228</v>
      </c>
      <c r="B86" s="335" t="s">
        <v>229</v>
      </c>
      <c r="C86" s="331">
        <v>3806</v>
      </c>
      <c r="D86" s="331">
        <v>0</v>
      </c>
      <c r="E86" s="331">
        <v>61</v>
      </c>
      <c r="F86" s="331">
        <v>281</v>
      </c>
      <c r="G86" s="331">
        <v>242</v>
      </c>
      <c r="H86" s="331">
        <v>4390</v>
      </c>
      <c r="I86" s="330">
        <v>4148</v>
      </c>
      <c r="J86" s="330">
        <v>1</v>
      </c>
      <c r="K86" s="332">
        <v>90.65</v>
      </c>
      <c r="L86" s="332">
        <v>92.65</v>
      </c>
      <c r="M86" s="332">
        <v>2.77</v>
      </c>
      <c r="N86" s="332">
        <v>93.09</v>
      </c>
      <c r="O86" s="333">
        <v>3383</v>
      </c>
      <c r="P86" s="330">
        <v>85.05</v>
      </c>
      <c r="Q86" s="330">
        <v>83.23</v>
      </c>
      <c r="R86" s="330">
        <v>30.6</v>
      </c>
      <c r="S86" s="330">
        <v>115.17</v>
      </c>
      <c r="T86" s="330">
        <v>321</v>
      </c>
      <c r="U86" s="330">
        <v>109.96</v>
      </c>
      <c r="V86" s="330">
        <v>307</v>
      </c>
      <c r="W86" s="330">
        <v>189.69</v>
      </c>
      <c r="X86" s="330">
        <v>2</v>
      </c>
      <c r="Y86" s="330">
        <v>0</v>
      </c>
      <c r="Z86" s="330">
        <v>3</v>
      </c>
      <c r="AA86" s="330">
        <v>0</v>
      </c>
      <c r="AB86" s="330">
        <v>7</v>
      </c>
      <c r="AC86" s="330">
        <v>4</v>
      </c>
      <c r="AD86" s="334">
        <v>3679</v>
      </c>
      <c r="AE86" s="334">
        <v>27</v>
      </c>
      <c r="AF86" s="334">
        <v>21</v>
      </c>
      <c r="AG86" s="334">
        <v>48</v>
      </c>
    </row>
    <row r="87" spans="1:33" x14ac:dyDescent="0.35">
      <c r="A87" s="329" t="s">
        <v>230</v>
      </c>
      <c r="B87" s="335" t="s">
        <v>231</v>
      </c>
      <c r="C87" s="331">
        <v>2487</v>
      </c>
      <c r="D87" s="331">
        <v>3</v>
      </c>
      <c r="E87" s="331">
        <v>756</v>
      </c>
      <c r="F87" s="331">
        <v>924</v>
      </c>
      <c r="G87" s="331">
        <v>272</v>
      </c>
      <c r="H87" s="331">
        <v>4442</v>
      </c>
      <c r="I87" s="330">
        <v>4170</v>
      </c>
      <c r="J87" s="330">
        <v>2</v>
      </c>
      <c r="K87" s="332">
        <v>80.430000000000007</v>
      </c>
      <c r="L87" s="332">
        <v>77.86</v>
      </c>
      <c r="M87" s="332">
        <v>5.37</v>
      </c>
      <c r="N87" s="332">
        <v>83.91</v>
      </c>
      <c r="O87" s="333">
        <v>1697</v>
      </c>
      <c r="P87" s="330">
        <v>98.88</v>
      </c>
      <c r="Q87" s="330">
        <v>80.03</v>
      </c>
      <c r="R87" s="330">
        <v>38.47</v>
      </c>
      <c r="S87" s="330">
        <v>137.07</v>
      </c>
      <c r="T87" s="330">
        <v>1384</v>
      </c>
      <c r="U87" s="330">
        <v>94.12</v>
      </c>
      <c r="V87" s="330">
        <v>683</v>
      </c>
      <c r="W87" s="330">
        <v>154.97</v>
      </c>
      <c r="X87" s="330">
        <v>126</v>
      </c>
      <c r="Y87" s="330">
        <v>0</v>
      </c>
      <c r="Z87" s="330">
        <v>1</v>
      </c>
      <c r="AA87" s="330">
        <v>5</v>
      </c>
      <c r="AB87" s="330">
        <v>45</v>
      </c>
      <c r="AC87" s="330">
        <v>1</v>
      </c>
      <c r="AD87" s="334">
        <v>2420</v>
      </c>
      <c r="AE87" s="334">
        <v>23</v>
      </c>
      <c r="AF87" s="334">
        <v>24</v>
      </c>
      <c r="AG87" s="334">
        <v>47</v>
      </c>
    </row>
    <row r="88" spans="1:33" x14ac:dyDescent="0.35">
      <c r="A88" s="329" t="s">
        <v>232</v>
      </c>
      <c r="B88" s="335" t="s">
        <v>233</v>
      </c>
      <c r="C88" s="330">
        <v>16328</v>
      </c>
      <c r="D88" s="330">
        <v>16</v>
      </c>
      <c r="E88" s="330">
        <v>582</v>
      </c>
      <c r="F88" s="330">
        <v>4177</v>
      </c>
      <c r="G88" s="330">
        <v>1211</v>
      </c>
      <c r="H88" s="330">
        <v>22314</v>
      </c>
      <c r="I88" s="330">
        <v>21103</v>
      </c>
      <c r="J88" s="330">
        <v>114</v>
      </c>
      <c r="K88" s="330">
        <v>96.9</v>
      </c>
      <c r="L88" s="332">
        <v>96.54</v>
      </c>
      <c r="M88" s="332">
        <v>3.54</v>
      </c>
      <c r="N88" s="332">
        <v>99.26</v>
      </c>
      <c r="O88" s="333">
        <v>14541</v>
      </c>
      <c r="P88" s="330">
        <v>86.94</v>
      </c>
      <c r="Q88" s="330">
        <v>86.08</v>
      </c>
      <c r="R88" s="330">
        <v>22.7</v>
      </c>
      <c r="S88" s="330">
        <v>109.27</v>
      </c>
      <c r="T88" s="330">
        <v>4110</v>
      </c>
      <c r="U88" s="330">
        <v>132.52000000000001</v>
      </c>
      <c r="V88" s="330">
        <v>1593</v>
      </c>
      <c r="W88" s="330">
        <v>174.25</v>
      </c>
      <c r="X88" s="330">
        <v>87</v>
      </c>
      <c r="Y88" s="330">
        <v>226</v>
      </c>
      <c r="Z88" s="330">
        <v>17</v>
      </c>
      <c r="AA88" s="330">
        <v>65</v>
      </c>
      <c r="AB88" s="330">
        <v>69</v>
      </c>
      <c r="AC88" s="330">
        <v>22</v>
      </c>
      <c r="AD88" s="330">
        <v>16127</v>
      </c>
      <c r="AE88" s="330">
        <v>59</v>
      </c>
      <c r="AF88" s="330">
        <v>61</v>
      </c>
      <c r="AG88" s="330">
        <v>120</v>
      </c>
    </row>
    <row r="89" spans="1:33" x14ac:dyDescent="0.35">
      <c r="A89" s="329" t="s">
        <v>234</v>
      </c>
      <c r="B89" s="335" t="s">
        <v>235</v>
      </c>
      <c r="C89" s="331">
        <v>2036</v>
      </c>
      <c r="D89" s="331">
        <v>0</v>
      </c>
      <c r="E89" s="331">
        <v>129</v>
      </c>
      <c r="F89" s="331">
        <v>549</v>
      </c>
      <c r="G89" s="331">
        <v>264</v>
      </c>
      <c r="H89" s="331">
        <v>2978</v>
      </c>
      <c r="I89" s="330">
        <v>2714</v>
      </c>
      <c r="J89" s="330">
        <v>12</v>
      </c>
      <c r="K89" s="332">
        <v>89.08</v>
      </c>
      <c r="L89" s="332">
        <v>87.3</v>
      </c>
      <c r="M89" s="332">
        <v>6.88</v>
      </c>
      <c r="N89" s="332">
        <v>94.44</v>
      </c>
      <c r="O89" s="333">
        <v>1701</v>
      </c>
      <c r="P89" s="330">
        <v>103.11</v>
      </c>
      <c r="Q89" s="330">
        <v>89.6</v>
      </c>
      <c r="R89" s="330">
        <v>39.770000000000003</v>
      </c>
      <c r="S89" s="330">
        <v>139.97</v>
      </c>
      <c r="T89" s="330">
        <v>670</v>
      </c>
      <c r="U89" s="330">
        <v>121.37</v>
      </c>
      <c r="V89" s="330">
        <v>250</v>
      </c>
      <c r="W89" s="330">
        <v>0</v>
      </c>
      <c r="X89" s="330">
        <v>0</v>
      </c>
      <c r="Y89" s="330">
        <v>0</v>
      </c>
      <c r="Z89" s="330">
        <v>0</v>
      </c>
      <c r="AA89" s="330">
        <v>1</v>
      </c>
      <c r="AB89" s="330">
        <v>11</v>
      </c>
      <c r="AC89" s="330">
        <v>3</v>
      </c>
      <c r="AD89" s="334">
        <v>1984</v>
      </c>
      <c r="AE89" s="334">
        <v>8</v>
      </c>
      <c r="AF89" s="334">
        <v>6</v>
      </c>
      <c r="AG89" s="334">
        <v>14</v>
      </c>
    </row>
    <row r="90" spans="1:33" x14ac:dyDescent="0.35">
      <c r="A90" s="329" t="s">
        <v>236</v>
      </c>
      <c r="B90" s="335" t="s">
        <v>237</v>
      </c>
      <c r="C90" s="331">
        <v>3821</v>
      </c>
      <c r="D90" s="331">
        <v>0</v>
      </c>
      <c r="E90" s="331">
        <v>386</v>
      </c>
      <c r="F90" s="331">
        <v>790</v>
      </c>
      <c r="G90" s="331">
        <v>704</v>
      </c>
      <c r="H90" s="331">
        <v>5701</v>
      </c>
      <c r="I90" s="330">
        <v>4997</v>
      </c>
      <c r="J90" s="330">
        <v>1</v>
      </c>
      <c r="K90" s="332">
        <v>92.15</v>
      </c>
      <c r="L90" s="332">
        <v>89.27</v>
      </c>
      <c r="M90" s="332">
        <v>6.58</v>
      </c>
      <c r="N90" s="332">
        <v>97.58</v>
      </c>
      <c r="O90" s="333">
        <v>3225</v>
      </c>
      <c r="P90" s="330">
        <v>106.38</v>
      </c>
      <c r="Q90" s="330">
        <v>98.15</v>
      </c>
      <c r="R90" s="330">
        <v>54.81</v>
      </c>
      <c r="S90" s="330">
        <v>156.41999999999999</v>
      </c>
      <c r="T90" s="330">
        <v>919</v>
      </c>
      <c r="U90" s="330">
        <v>110.43</v>
      </c>
      <c r="V90" s="330">
        <v>505</v>
      </c>
      <c r="W90" s="330">
        <v>129.6</v>
      </c>
      <c r="X90" s="330">
        <v>8</v>
      </c>
      <c r="Y90" s="330">
        <v>0</v>
      </c>
      <c r="Z90" s="330">
        <v>29</v>
      </c>
      <c r="AA90" s="330">
        <v>29</v>
      </c>
      <c r="AB90" s="330">
        <v>4</v>
      </c>
      <c r="AC90" s="330">
        <v>20</v>
      </c>
      <c r="AD90" s="334">
        <v>3821</v>
      </c>
      <c r="AE90" s="334">
        <v>30</v>
      </c>
      <c r="AF90" s="334">
        <v>21</v>
      </c>
      <c r="AG90" s="334">
        <v>51</v>
      </c>
    </row>
    <row r="91" spans="1:33" x14ac:dyDescent="0.35">
      <c r="A91" s="329" t="s">
        <v>238</v>
      </c>
      <c r="B91" s="335" t="s">
        <v>239</v>
      </c>
      <c r="C91" s="331">
        <v>10464</v>
      </c>
      <c r="D91" s="331">
        <v>316</v>
      </c>
      <c r="E91" s="331">
        <v>1013</v>
      </c>
      <c r="F91" s="331">
        <v>743</v>
      </c>
      <c r="G91" s="331">
        <v>2485</v>
      </c>
      <c r="H91" s="331">
        <v>15021</v>
      </c>
      <c r="I91" s="330">
        <v>12536</v>
      </c>
      <c r="J91" s="330">
        <v>67</v>
      </c>
      <c r="K91" s="332">
        <v>125.74</v>
      </c>
      <c r="L91" s="332">
        <v>126.98</v>
      </c>
      <c r="M91" s="332">
        <v>10.78</v>
      </c>
      <c r="N91" s="332">
        <v>133.63</v>
      </c>
      <c r="O91" s="333">
        <v>8235</v>
      </c>
      <c r="P91" s="330">
        <v>121.52</v>
      </c>
      <c r="Q91" s="330">
        <v>115.75</v>
      </c>
      <c r="R91" s="330">
        <v>40.07</v>
      </c>
      <c r="S91" s="330">
        <v>159.06</v>
      </c>
      <c r="T91" s="330">
        <v>1094</v>
      </c>
      <c r="U91" s="330">
        <v>196</v>
      </c>
      <c r="V91" s="330">
        <v>1421</v>
      </c>
      <c r="W91" s="330">
        <v>190.1</v>
      </c>
      <c r="X91" s="330">
        <v>44</v>
      </c>
      <c r="Y91" s="330">
        <v>5</v>
      </c>
      <c r="Z91" s="330">
        <v>2</v>
      </c>
      <c r="AA91" s="330">
        <v>11</v>
      </c>
      <c r="AB91" s="330">
        <v>156</v>
      </c>
      <c r="AC91" s="330">
        <v>70</v>
      </c>
      <c r="AD91" s="334">
        <v>10070</v>
      </c>
      <c r="AE91" s="334">
        <v>31</v>
      </c>
      <c r="AF91" s="334">
        <v>39</v>
      </c>
      <c r="AG91" s="334">
        <v>70</v>
      </c>
    </row>
    <row r="92" spans="1:33" x14ac:dyDescent="0.35">
      <c r="A92" s="329" t="s">
        <v>240</v>
      </c>
      <c r="B92" s="335" t="s">
        <v>241</v>
      </c>
      <c r="C92" s="331">
        <v>4163</v>
      </c>
      <c r="D92" s="331">
        <v>5</v>
      </c>
      <c r="E92" s="331">
        <v>126</v>
      </c>
      <c r="F92" s="331">
        <v>1022</v>
      </c>
      <c r="G92" s="331">
        <v>456</v>
      </c>
      <c r="H92" s="331">
        <v>5772</v>
      </c>
      <c r="I92" s="330">
        <v>5316</v>
      </c>
      <c r="J92" s="330">
        <v>8</v>
      </c>
      <c r="K92" s="332">
        <v>106.44</v>
      </c>
      <c r="L92" s="332">
        <v>100.09</v>
      </c>
      <c r="M92" s="332">
        <v>2.82</v>
      </c>
      <c r="N92" s="332">
        <v>107.65</v>
      </c>
      <c r="O92" s="333">
        <v>3666</v>
      </c>
      <c r="P92" s="330">
        <v>93.73</v>
      </c>
      <c r="Q92" s="330">
        <v>93.51</v>
      </c>
      <c r="R92" s="330">
        <v>26.59</v>
      </c>
      <c r="S92" s="330">
        <v>120.06</v>
      </c>
      <c r="T92" s="330">
        <v>1130</v>
      </c>
      <c r="U92" s="330">
        <v>128.71</v>
      </c>
      <c r="V92" s="330">
        <v>412</v>
      </c>
      <c r="W92" s="330">
        <v>0</v>
      </c>
      <c r="X92" s="330">
        <v>0</v>
      </c>
      <c r="Y92" s="330">
        <v>0</v>
      </c>
      <c r="Z92" s="330">
        <v>7</v>
      </c>
      <c r="AA92" s="330">
        <v>0</v>
      </c>
      <c r="AB92" s="330">
        <v>27</v>
      </c>
      <c r="AC92" s="330">
        <v>2</v>
      </c>
      <c r="AD92" s="334">
        <v>4155</v>
      </c>
      <c r="AE92" s="334">
        <v>14</v>
      </c>
      <c r="AF92" s="334">
        <v>21</v>
      </c>
      <c r="AG92" s="334">
        <v>35</v>
      </c>
    </row>
    <row r="93" spans="1:33" x14ac:dyDescent="0.35">
      <c r="A93" s="329" t="s">
        <v>242</v>
      </c>
      <c r="B93" s="335" t="s">
        <v>243</v>
      </c>
      <c r="C93" s="331">
        <v>2392</v>
      </c>
      <c r="D93" s="331">
        <v>1</v>
      </c>
      <c r="E93" s="331">
        <v>191</v>
      </c>
      <c r="F93" s="331">
        <v>155</v>
      </c>
      <c r="G93" s="331">
        <v>778</v>
      </c>
      <c r="H93" s="331">
        <v>3517</v>
      </c>
      <c r="I93" s="330">
        <v>2739</v>
      </c>
      <c r="J93" s="330">
        <v>1</v>
      </c>
      <c r="K93" s="332">
        <v>92.42</v>
      </c>
      <c r="L93" s="332">
        <v>89.62</v>
      </c>
      <c r="M93" s="332">
        <v>3.19</v>
      </c>
      <c r="N93" s="332">
        <v>94.74</v>
      </c>
      <c r="O93" s="333">
        <v>1513</v>
      </c>
      <c r="P93" s="330">
        <v>101.91</v>
      </c>
      <c r="Q93" s="330">
        <v>77.16</v>
      </c>
      <c r="R93" s="330">
        <v>60.89</v>
      </c>
      <c r="S93" s="330">
        <v>158</v>
      </c>
      <c r="T93" s="330">
        <v>241</v>
      </c>
      <c r="U93" s="330">
        <v>126.76</v>
      </c>
      <c r="V93" s="330">
        <v>661</v>
      </c>
      <c r="W93" s="330">
        <v>0</v>
      </c>
      <c r="X93" s="330">
        <v>0</v>
      </c>
      <c r="Y93" s="330">
        <v>0</v>
      </c>
      <c r="Z93" s="330">
        <v>0</v>
      </c>
      <c r="AA93" s="330">
        <v>0</v>
      </c>
      <c r="AB93" s="330">
        <v>114</v>
      </c>
      <c r="AC93" s="330">
        <v>12</v>
      </c>
      <c r="AD93" s="334">
        <v>2347</v>
      </c>
      <c r="AE93" s="334">
        <v>16</v>
      </c>
      <c r="AF93" s="334">
        <v>4</v>
      </c>
      <c r="AG93" s="334">
        <v>20</v>
      </c>
    </row>
    <row r="94" spans="1:33" x14ac:dyDescent="0.35">
      <c r="A94" s="329" t="s">
        <v>244</v>
      </c>
      <c r="B94" s="335" t="s">
        <v>245</v>
      </c>
      <c r="C94" s="331">
        <v>5782</v>
      </c>
      <c r="D94" s="331">
        <v>0</v>
      </c>
      <c r="E94" s="331">
        <v>113</v>
      </c>
      <c r="F94" s="331">
        <v>807</v>
      </c>
      <c r="G94" s="331">
        <v>681</v>
      </c>
      <c r="H94" s="331">
        <v>7383</v>
      </c>
      <c r="I94" s="330">
        <v>6702</v>
      </c>
      <c r="J94" s="330">
        <v>0</v>
      </c>
      <c r="K94" s="332">
        <v>113.47</v>
      </c>
      <c r="L94" s="332">
        <v>111.28</v>
      </c>
      <c r="M94" s="332">
        <v>4.0599999999999996</v>
      </c>
      <c r="N94" s="332">
        <v>114.87</v>
      </c>
      <c r="O94" s="333">
        <v>4245</v>
      </c>
      <c r="P94" s="330">
        <v>95.02</v>
      </c>
      <c r="Q94" s="330">
        <v>92.86</v>
      </c>
      <c r="R94" s="330">
        <v>15.72</v>
      </c>
      <c r="S94" s="330">
        <v>110.23</v>
      </c>
      <c r="T94" s="330">
        <v>886</v>
      </c>
      <c r="U94" s="330">
        <v>153.12</v>
      </c>
      <c r="V94" s="330">
        <v>1143</v>
      </c>
      <c r="W94" s="330">
        <v>0</v>
      </c>
      <c r="X94" s="330">
        <v>0</v>
      </c>
      <c r="Y94" s="330">
        <v>0</v>
      </c>
      <c r="Z94" s="330">
        <v>3</v>
      </c>
      <c r="AA94" s="330">
        <v>0</v>
      </c>
      <c r="AB94" s="330">
        <v>95</v>
      </c>
      <c r="AC94" s="330">
        <v>15</v>
      </c>
      <c r="AD94" s="334">
        <v>5494</v>
      </c>
      <c r="AE94" s="334">
        <v>59</v>
      </c>
      <c r="AF94" s="334">
        <v>2</v>
      </c>
      <c r="AG94" s="334">
        <v>61</v>
      </c>
    </row>
    <row r="95" spans="1:33" x14ac:dyDescent="0.35">
      <c r="A95" s="329" t="s">
        <v>246</v>
      </c>
      <c r="B95" s="335" t="s">
        <v>247</v>
      </c>
      <c r="C95" s="331">
        <v>7082</v>
      </c>
      <c r="D95" s="331">
        <v>0</v>
      </c>
      <c r="E95" s="331">
        <v>186</v>
      </c>
      <c r="F95" s="331">
        <v>1059</v>
      </c>
      <c r="G95" s="331">
        <v>790</v>
      </c>
      <c r="H95" s="331">
        <v>9117</v>
      </c>
      <c r="I95" s="330">
        <v>8327</v>
      </c>
      <c r="J95" s="330">
        <v>1</v>
      </c>
      <c r="K95" s="332">
        <v>114.26</v>
      </c>
      <c r="L95" s="332">
        <v>116.09</v>
      </c>
      <c r="M95" s="332">
        <v>5.03</v>
      </c>
      <c r="N95" s="332">
        <v>116.43</v>
      </c>
      <c r="O95" s="333">
        <v>5105</v>
      </c>
      <c r="P95" s="330">
        <v>103.28</v>
      </c>
      <c r="Q95" s="330">
        <v>105.19</v>
      </c>
      <c r="R95" s="330">
        <v>26.89</v>
      </c>
      <c r="S95" s="330">
        <v>129.41</v>
      </c>
      <c r="T95" s="330">
        <v>1202</v>
      </c>
      <c r="U95" s="330">
        <v>161.27000000000001</v>
      </c>
      <c r="V95" s="330">
        <v>1850</v>
      </c>
      <c r="W95" s="330">
        <v>0</v>
      </c>
      <c r="X95" s="330">
        <v>0</v>
      </c>
      <c r="Y95" s="330">
        <v>0</v>
      </c>
      <c r="Z95" s="330">
        <v>6</v>
      </c>
      <c r="AA95" s="330">
        <v>4</v>
      </c>
      <c r="AB95" s="330">
        <v>93</v>
      </c>
      <c r="AC95" s="330">
        <v>8</v>
      </c>
      <c r="AD95" s="334">
        <v>7077</v>
      </c>
      <c r="AE95" s="334">
        <v>67</v>
      </c>
      <c r="AF95" s="334">
        <v>32</v>
      </c>
      <c r="AG95" s="334">
        <v>99</v>
      </c>
    </row>
    <row r="96" spans="1:33" x14ac:dyDescent="0.35">
      <c r="A96" s="329" t="s">
        <v>248</v>
      </c>
      <c r="B96" s="335" t="s">
        <v>249</v>
      </c>
      <c r="C96" s="331">
        <v>6880</v>
      </c>
      <c r="D96" s="331">
        <v>8</v>
      </c>
      <c r="E96" s="331">
        <v>242</v>
      </c>
      <c r="F96" s="331">
        <v>577</v>
      </c>
      <c r="G96" s="331">
        <v>592</v>
      </c>
      <c r="H96" s="331">
        <v>8299</v>
      </c>
      <c r="I96" s="330">
        <v>7707</v>
      </c>
      <c r="J96" s="330">
        <v>0</v>
      </c>
      <c r="K96" s="332">
        <v>81.64</v>
      </c>
      <c r="L96" s="332">
        <v>81.37</v>
      </c>
      <c r="M96" s="332">
        <v>3.13</v>
      </c>
      <c r="N96" s="332">
        <v>84.19</v>
      </c>
      <c r="O96" s="333">
        <v>5201</v>
      </c>
      <c r="P96" s="330">
        <v>82.78</v>
      </c>
      <c r="Q96" s="330">
        <v>79.37</v>
      </c>
      <c r="R96" s="330">
        <v>41.26</v>
      </c>
      <c r="S96" s="330">
        <v>122.32</v>
      </c>
      <c r="T96" s="330">
        <v>771</v>
      </c>
      <c r="U96" s="330">
        <v>91.84</v>
      </c>
      <c r="V96" s="330">
        <v>1435</v>
      </c>
      <c r="W96" s="330">
        <v>149.16</v>
      </c>
      <c r="X96" s="330">
        <v>42</v>
      </c>
      <c r="Y96" s="330">
        <v>0</v>
      </c>
      <c r="Z96" s="330">
        <v>2</v>
      </c>
      <c r="AA96" s="330">
        <v>0</v>
      </c>
      <c r="AB96" s="330">
        <v>26</v>
      </c>
      <c r="AC96" s="330">
        <v>1</v>
      </c>
      <c r="AD96" s="334">
        <v>6725</v>
      </c>
      <c r="AE96" s="334">
        <v>54</v>
      </c>
      <c r="AF96" s="334">
        <v>31</v>
      </c>
      <c r="AG96" s="334">
        <v>85</v>
      </c>
    </row>
    <row r="97" spans="1:33" x14ac:dyDescent="0.35">
      <c r="A97" s="329" t="s">
        <v>250</v>
      </c>
      <c r="B97" s="335" t="s">
        <v>251</v>
      </c>
      <c r="C97" s="331">
        <v>2248</v>
      </c>
      <c r="D97" s="331">
        <v>0</v>
      </c>
      <c r="E97" s="331">
        <v>321</v>
      </c>
      <c r="F97" s="331">
        <v>630</v>
      </c>
      <c r="G97" s="331">
        <v>238</v>
      </c>
      <c r="H97" s="331">
        <v>3437</v>
      </c>
      <c r="I97" s="330">
        <v>3199</v>
      </c>
      <c r="J97" s="330">
        <v>0</v>
      </c>
      <c r="K97" s="332">
        <v>88.67</v>
      </c>
      <c r="L97" s="332">
        <v>85.54</v>
      </c>
      <c r="M97" s="332">
        <v>4.58</v>
      </c>
      <c r="N97" s="332">
        <v>91.31</v>
      </c>
      <c r="O97" s="333">
        <v>1387</v>
      </c>
      <c r="P97" s="330">
        <v>90.78</v>
      </c>
      <c r="Q97" s="330">
        <v>85.59</v>
      </c>
      <c r="R97" s="330">
        <v>47.33</v>
      </c>
      <c r="S97" s="330">
        <v>137.44</v>
      </c>
      <c r="T97" s="330">
        <v>769</v>
      </c>
      <c r="U97" s="330">
        <v>101.3</v>
      </c>
      <c r="V97" s="330">
        <v>589</v>
      </c>
      <c r="W97" s="330">
        <v>114.53</v>
      </c>
      <c r="X97" s="330">
        <v>37</v>
      </c>
      <c r="Y97" s="330">
        <v>0</v>
      </c>
      <c r="Z97" s="330">
        <v>1</v>
      </c>
      <c r="AA97" s="330">
        <v>6</v>
      </c>
      <c r="AB97" s="330">
        <v>36</v>
      </c>
      <c r="AC97" s="330">
        <v>1</v>
      </c>
      <c r="AD97" s="334">
        <v>2056</v>
      </c>
      <c r="AE97" s="334">
        <v>30</v>
      </c>
      <c r="AF97" s="334">
        <v>4</v>
      </c>
      <c r="AG97" s="334">
        <v>34</v>
      </c>
    </row>
    <row r="98" spans="1:33" x14ac:dyDescent="0.35">
      <c r="A98" s="329" t="s">
        <v>252</v>
      </c>
      <c r="B98" s="335" t="s">
        <v>253</v>
      </c>
      <c r="C98" s="331">
        <v>6147</v>
      </c>
      <c r="D98" s="331">
        <v>4</v>
      </c>
      <c r="E98" s="331">
        <v>131</v>
      </c>
      <c r="F98" s="331">
        <v>441</v>
      </c>
      <c r="G98" s="331">
        <v>224</v>
      </c>
      <c r="H98" s="331">
        <v>6947</v>
      </c>
      <c r="I98" s="330">
        <v>6723</v>
      </c>
      <c r="J98" s="330">
        <v>1</v>
      </c>
      <c r="K98" s="332">
        <v>80.67</v>
      </c>
      <c r="L98" s="332">
        <v>77.989999999999995</v>
      </c>
      <c r="M98" s="332">
        <v>6.05</v>
      </c>
      <c r="N98" s="332">
        <v>83.12</v>
      </c>
      <c r="O98" s="333">
        <v>5022</v>
      </c>
      <c r="P98" s="330">
        <v>78.239999999999995</v>
      </c>
      <c r="Q98" s="330">
        <v>76.260000000000005</v>
      </c>
      <c r="R98" s="330">
        <v>48.07</v>
      </c>
      <c r="S98" s="330">
        <v>125.72</v>
      </c>
      <c r="T98" s="330">
        <v>569</v>
      </c>
      <c r="U98" s="330">
        <v>93.21</v>
      </c>
      <c r="V98" s="330">
        <v>1105</v>
      </c>
      <c r="W98" s="330">
        <v>0</v>
      </c>
      <c r="X98" s="330">
        <v>0</v>
      </c>
      <c r="Y98" s="330">
        <v>0</v>
      </c>
      <c r="Z98" s="330">
        <v>37</v>
      </c>
      <c r="AA98" s="330">
        <v>14</v>
      </c>
      <c r="AB98" s="330">
        <v>18</v>
      </c>
      <c r="AC98" s="330">
        <v>6</v>
      </c>
      <c r="AD98" s="334">
        <v>6147</v>
      </c>
      <c r="AE98" s="334">
        <v>85</v>
      </c>
      <c r="AF98" s="334">
        <v>15</v>
      </c>
      <c r="AG98" s="334">
        <v>100</v>
      </c>
    </row>
    <row r="99" spans="1:33" x14ac:dyDescent="0.35">
      <c r="A99" s="329" t="s">
        <v>254</v>
      </c>
      <c r="B99" s="335" t="s">
        <v>255</v>
      </c>
      <c r="C99" s="330">
        <v>8298</v>
      </c>
      <c r="D99" s="330">
        <v>0</v>
      </c>
      <c r="E99" s="330">
        <v>405</v>
      </c>
      <c r="F99" s="330">
        <v>1387</v>
      </c>
      <c r="G99" s="330">
        <v>266</v>
      </c>
      <c r="H99" s="330">
        <v>10356</v>
      </c>
      <c r="I99" s="330">
        <v>10090</v>
      </c>
      <c r="J99" s="330">
        <v>0</v>
      </c>
      <c r="K99" s="330">
        <v>90.64</v>
      </c>
      <c r="L99" s="332">
        <v>90.84</v>
      </c>
      <c r="M99" s="332">
        <v>3.63</v>
      </c>
      <c r="N99" s="332">
        <v>92.27</v>
      </c>
      <c r="O99" s="333">
        <v>7047</v>
      </c>
      <c r="P99" s="330">
        <v>80.599999999999994</v>
      </c>
      <c r="Q99" s="330">
        <v>78.11</v>
      </c>
      <c r="R99" s="330">
        <v>34.590000000000003</v>
      </c>
      <c r="S99" s="330">
        <v>113.42</v>
      </c>
      <c r="T99" s="330">
        <v>1635</v>
      </c>
      <c r="U99" s="330">
        <v>102.32</v>
      </c>
      <c r="V99" s="330">
        <v>1059</v>
      </c>
      <c r="W99" s="330">
        <v>152</v>
      </c>
      <c r="X99" s="330">
        <v>47</v>
      </c>
      <c r="Y99" s="330">
        <v>439</v>
      </c>
      <c r="Z99" s="330">
        <v>3</v>
      </c>
      <c r="AA99" s="330">
        <v>10</v>
      </c>
      <c r="AB99" s="330">
        <v>11</v>
      </c>
      <c r="AC99" s="330">
        <v>8</v>
      </c>
      <c r="AD99" s="330">
        <v>8277</v>
      </c>
      <c r="AE99" s="330">
        <v>75</v>
      </c>
      <c r="AF99" s="330">
        <v>47</v>
      </c>
      <c r="AG99" s="330">
        <v>122</v>
      </c>
    </row>
    <row r="100" spans="1:33" x14ac:dyDescent="0.35">
      <c r="A100" s="329" t="s">
        <v>256</v>
      </c>
      <c r="B100" s="335" t="s">
        <v>257</v>
      </c>
      <c r="C100" s="331">
        <v>1797</v>
      </c>
      <c r="D100" s="331">
        <v>0</v>
      </c>
      <c r="E100" s="331">
        <v>378</v>
      </c>
      <c r="F100" s="331">
        <v>551</v>
      </c>
      <c r="G100" s="331">
        <v>176</v>
      </c>
      <c r="H100" s="331">
        <v>2902</v>
      </c>
      <c r="I100" s="330">
        <v>2726</v>
      </c>
      <c r="J100" s="330">
        <v>1</v>
      </c>
      <c r="K100" s="332">
        <v>92.94</v>
      </c>
      <c r="L100" s="332">
        <v>89.14</v>
      </c>
      <c r="M100" s="332">
        <v>8.86</v>
      </c>
      <c r="N100" s="332">
        <v>100.5</v>
      </c>
      <c r="O100" s="333">
        <v>1547</v>
      </c>
      <c r="P100" s="330">
        <v>80.47</v>
      </c>
      <c r="Q100" s="330">
        <v>75.5</v>
      </c>
      <c r="R100" s="330">
        <v>42.44</v>
      </c>
      <c r="S100" s="330">
        <v>122.91</v>
      </c>
      <c r="T100" s="330">
        <v>615</v>
      </c>
      <c r="U100" s="330">
        <v>132.69999999999999</v>
      </c>
      <c r="V100" s="330">
        <v>221</v>
      </c>
      <c r="W100" s="330">
        <v>161.88</v>
      </c>
      <c r="X100" s="330">
        <v>56</v>
      </c>
      <c r="Y100" s="330">
        <v>0</v>
      </c>
      <c r="Z100" s="330">
        <v>0</v>
      </c>
      <c r="AA100" s="330">
        <v>1</v>
      </c>
      <c r="AB100" s="330">
        <v>0</v>
      </c>
      <c r="AC100" s="330">
        <v>3</v>
      </c>
      <c r="AD100" s="334">
        <v>1795</v>
      </c>
      <c r="AE100" s="334">
        <v>7</v>
      </c>
      <c r="AF100" s="334">
        <v>5</v>
      </c>
      <c r="AG100" s="334">
        <v>12</v>
      </c>
    </row>
    <row r="101" spans="1:33" x14ac:dyDescent="0.35">
      <c r="A101" s="329" t="s">
        <v>258</v>
      </c>
      <c r="B101" s="335" t="s">
        <v>259</v>
      </c>
      <c r="C101" s="331">
        <v>6514</v>
      </c>
      <c r="D101" s="331">
        <v>0</v>
      </c>
      <c r="E101" s="331">
        <v>176</v>
      </c>
      <c r="F101" s="331">
        <v>706</v>
      </c>
      <c r="G101" s="331">
        <v>985</v>
      </c>
      <c r="H101" s="331">
        <v>8381</v>
      </c>
      <c r="I101" s="330">
        <v>7396</v>
      </c>
      <c r="J101" s="330">
        <v>0</v>
      </c>
      <c r="K101" s="332">
        <v>106.59</v>
      </c>
      <c r="L101" s="332">
        <v>102.04</v>
      </c>
      <c r="M101" s="332">
        <v>5.45</v>
      </c>
      <c r="N101" s="332">
        <v>109.37</v>
      </c>
      <c r="O101" s="333">
        <v>4777</v>
      </c>
      <c r="P101" s="330">
        <v>95.3</v>
      </c>
      <c r="Q101" s="330">
        <v>86.19</v>
      </c>
      <c r="R101" s="330">
        <v>35.520000000000003</v>
      </c>
      <c r="S101" s="330">
        <v>130.25</v>
      </c>
      <c r="T101" s="330">
        <v>753</v>
      </c>
      <c r="U101" s="330">
        <v>147.22999999999999</v>
      </c>
      <c r="V101" s="330">
        <v>1585</v>
      </c>
      <c r="W101" s="330">
        <v>174.03</v>
      </c>
      <c r="X101" s="330">
        <v>51</v>
      </c>
      <c r="Y101" s="330">
        <v>40</v>
      </c>
      <c r="Z101" s="330">
        <v>9</v>
      </c>
      <c r="AA101" s="330">
        <v>0</v>
      </c>
      <c r="AB101" s="330">
        <v>265</v>
      </c>
      <c r="AC101" s="330">
        <v>15</v>
      </c>
      <c r="AD101" s="334">
        <v>6514</v>
      </c>
      <c r="AE101" s="334">
        <v>87</v>
      </c>
      <c r="AF101" s="334">
        <v>21</v>
      </c>
      <c r="AG101" s="334">
        <v>108</v>
      </c>
    </row>
    <row r="102" spans="1:33" x14ac:dyDescent="0.35">
      <c r="A102" s="329" t="s">
        <v>260</v>
      </c>
      <c r="B102" s="335" t="s">
        <v>261</v>
      </c>
      <c r="C102" s="331">
        <v>2201</v>
      </c>
      <c r="D102" s="331">
        <v>9</v>
      </c>
      <c r="E102" s="331">
        <v>173</v>
      </c>
      <c r="F102" s="331">
        <v>185</v>
      </c>
      <c r="G102" s="331">
        <v>177</v>
      </c>
      <c r="H102" s="331">
        <v>2745</v>
      </c>
      <c r="I102" s="330">
        <v>2568</v>
      </c>
      <c r="J102" s="330">
        <v>18</v>
      </c>
      <c r="K102" s="332">
        <v>94.53</v>
      </c>
      <c r="L102" s="332">
        <v>93.78</v>
      </c>
      <c r="M102" s="332">
        <v>4.93</v>
      </c>
      <c r="N102" s="332">
        <v>96.41</v>
      </c>
      <c r="O102" s="333">
        <v>1948</v>
      </c>
      <c r="P102" s="330">
        <v>87.13</v>
      </c>
      <c r="Q102" s="330">
        <v>84.27</v>
      </c>
      <c r="R102" s="330">
        <v>37.880000000000003</v>
      </c>
      <c r="S102" s="330">
        <v>123.78</v>
      </c>
      <c r="T102" s="330">
        <v>340</v>
      </c>
      <c r="U102" s="330">
        <v>106.9</v>
      </c>
      <c r="V102" s="330">
        <v>226</v>
      </c>
      <c r="W102" s="330">
        <v>0</v>
      </c>
      <c r="X102" s="330">
        <v>0</v>
      </c>
      <c r="Y102" s="330">
        <v>0</v>
      </c>
      <c r="Z102" s="330">
        <v>4</v>
      </c>
      <c r="AA102" s="330">
        <v>14</v>
      </c>
      <c r="AB102" s="330">
        <v>4</v>
      </c>
      <c r="AC102" s="330">
        <v>0</v>
      </c>
      <c r="AD102" s="334">
        <v>2163</v>
      </c>
      <c r="AE102" s="334">
        <v>22</v>
      </c>
      <c r="AF102" s="334">
        <v>3</v>
      </c>
      <c r="AG102" s="334">
        <v>25</v>
      </c>
    </row>
    <row r="103" spans="1:33" x14ac:dyDescent="0.35">
      <c r="A103" s="329" t="s">
        <v>262</v>
      </c>
      <c r="B103" s="335" t="s">
        <v>263</v>
      </c>
      <c r="C103" s="331">
        <v>4543</v>
      </c>
      <c r="D103" s="331">
        <v>5</v>
      </c>
      <c r="E103" s="331">
        <v>142</v>
      </c>
      <c r="F103" s="331">
        <v>925</v>
      </c>
      <c r="G103" s="331">
        <v>507</v>
      </c>
      <c r="H103" s="331">
        <v>6122</v>
      </c>
      <c r="I103" s="330">
        <v>5615</v>
      </c>
      <c r="J103" s="330">
        <v>38</v>
      </c>
      <c r="K103" s="332">
        <v>124.79</v>
      </c>
      <c r="L103" s="332">
        <v>127.91</v>
      </c>
      <c r="M103" s="332">
        <v>8.6999999999999993</v>
      </c>
      <c r="N103" s="332">
        <v>129.1</v>
      </c>
      <c r="O103" s="333">
        <v>3714</v>
      </c>
      <c r="P103" s="330">
        <v>114.62</v>
      </c>
      <c r="Q103" s="330">
        <v>116.21</v>
      </c>
      <c r="R103" s="330">
        <v>22.07</v>
      </c>
      <c r="S103" s="330">
        <v>136.63</v>
      </c>
      <c r="T103" s="330">
        <v>783</v>
      </c>
      <c r="U103" s="330">
        <v>194.62</v>
      </c>
      <c r="V103" s="330">
        <v>610</v>
      </c>
      <c r="W103" s="330">
        <v>130.54</v>
      </c>
      <c r="X103" s="330">
        <v>11</v>
      </c>
      <c r="Y103" s="330">
        <v>0</v>
      </c>
      <c r="Z103" s="330">
        <v>2</v>
      </c>
      <c r="AA103" s="330">
        <v>2</v>
      </c>
      <c r="AB103" s="330">
        <v>26</v>
      </c>
      <c r="AC103" s="330">
        <v>10</v>
      </c>
      <c r="AD103" s="334">
        <v>4411</v>
      </c>
      <c r="AE103" s="334">
        <v>35</v>
      </c>
      <c r="AF103" s="334">
        <v>4</v>
      </c>
      <c r="AG103" s="334">
        <v>39</v>
      </c>
    </row>
    <row r="104" spans="1:33" x14ac:dyDescent="0.35">
      <c r="A104" s="329" t="s">
        <v>264</v>
      </c>
      <c r="B104" s="335" t="s">
        <v>265</v>
      </c>
      <c r="C104" s="331">
        <v>7011</v>
      </c>
      <c r="D104" s="331">
        <v>307</v>
      </c>
      <c r="E104" s="331">
        <v>619</v>
      </c>
      <c r="F104" s="331">
        <v>699</v>
      </c>
      <c r="G104" s="331">
        <v>1230</v>
      </c>
      <c r="H104" s="331">
        <v>9866</v>
      </c>
      <c r="I104" s="330">
        <v>8636</v>
      </c>
      <c r="J104" s="330">
        <v>3</v>
      </c>
      <c r="K104" s="332">
        <v>120.55</v>
      </c>
      <c r="L104" s="332">
        <v>119.22</v>
      </c>
      <c r="M104" s="332">
        <v>15.01</v>
      </c>
      <c r="N104" s="332">
        <v>131.1</v>
      </c>
      <c r="O104" s="333">
        <v>5877</v>
      </c>
      <c r="P104" s="330">
        <v>113.07</v>
      </c>
      <c r="Q104" s="330">
        <v>106.4</v>
      </c>
      <c r="R104" s="330">
        <v>66.34</v>
      </c>
      <c r="S104" s="330">
        <v>178.03</v>
      </c>
      <c r="T104" s="330">
        <v>1106</v>
      </c>
      <c r="U104" s="330">
        <v>191.1</v>
      </c>
      <c r="V104" s="330">
        <v>699</v>
      </c>
      <c r="W104" s="330">
        <v>0</v>
      </c>
      <c r="X104" s="330">
        <v>0</v>
      </c>
      <c r="Y104" s="330">
        <v>0</v>
      </c>
      <c r="Z104" s="330">
        <v>3</v>
      </c>
      <c r="AA104" s="330">
        <v>4</v>
      </c>
      <c r="AB104" s="330">
        <v>27</v>
      </c>
      <c r="AC104" s="330">
        <v>33</v>
      </c>
      <c r="AD104" s="334">
        <v>6589</v>
      </c>
      <c r="AE104" s="334">
        <v>98</v>
      </c>
      <c r="AF104" s="334">
        <v>15</v>
      </c>
      <c r="AG104" s="334">
        <v>113</v>
      </c>
    </row>
    <row r="105" spans="1:33" x14ac:dyDescent="0.35">
      <c r="A105" s="329" t="s">
        <v>266</v>
      </c>
      <c r="B105" s="335" t="s">
        <v>267</v>
      </c>
      <c r="C105" s="331">
        <v>1432</v>
      </c>
      <c r="D105" s="331">
        <v>0</v>
      </c>
      <c r="E105" s="331">
        <v>111</v>
      </c>
      <c r="F105" s="331">
        <v>275</v>
      </c>
      <c r="G105" s="331">
        <v>295</v>
      </c>
      <c r="H105" s="331">
        <v>2113</v>
      </c>
      <c r="I105" s="330">
        <v>1818</v>
      </c>
      <c r="J105" s="330">
        <v>0</v>
      </c>
      <c r="K105" s="332">
        <v>118.44</v>
      </c>
      <c r="L105" s="332">
        <v>115.9</v>
      </c>
      <c r="M105" s="332">
        <v>5.71</v>
      </c>
      <c r="N105" s="332">
        <v>123.48</v>
      </c>
      <c r="O105" s="333">
        <v>1227</v>
      </c>
      <c r="P105" s="330">
        <v>95.44</v>
      </c>
      <c r="Q105" s="330">
        <v>90.22</v>
      </c>
      <c r="R105" s="330">
        <v>42.23</v>
      </c>
      <c r="S105" s="330">
        <v>137.22999999999999</v>
      </c>
      <c r="T105" s="330">
        <v>285</v>
      </c>
      <c r="U105" s="330">
        <v>175.23</v>
      </c>
      <c r="V105" s="330">
        <v>187</v>
      </c>
      <c r="W105" s="330">
        <v>0</v>
      </c>
      <c r="X105" s="330">
        <v>0</v>
      </c>
      <c r="Y105" s="330">
        <v>0</v>
      </c>
      <c r="Z105" s="330">
        <v>0</v>
      </c>
      <c r="AA105" s="330">
        <v>0</v>
      </c>
      <c r="AB105" s="330">
        <v>10</v>
      </c>
      <c r="AC105" s="330">
        <v>4</v>
      </c>
      <c r="AD105" s="334">
        <v>1432</v>
      </c>
      <c r="AE105" s="334">
        <v>6</v>
      </c>
      <c r="AF105" s="334">
        <v>1</v>
      </c>
      <c r="AG105" s="334">
        <v>7</v>
      </c>
    </row>
    <row r="106" spans="1:33" x14ac:dyDescent="0.35">
      <c r="A106" s="329" t="s">
        <v>268</v>
      </c>
      <c r="B106" s="335" t="s">
        <v>269</v>
      </c>
      <c r="C106" s="331">
        <v>2181</v>
      </c>
      <c r="D106" s="331">
        <v>43</v>
      </c>
      <c r="E106" s="331">
        <v>173</v>
      </c>
      <c r="F106" s="331">
        <v>406</v>
      </c>
      <c r="G106" s="331">
        <v>345</v>
      </c>
      <c r="H106" s="331">
        <v>3148</v>
      </c>
      <c r="I106" s="330">
        <v>2803</v>
      </c>
      <c r="J106" s="330">
        <v>0</v>
      </c>
      <c r="K106" s="332">
        <v>119.91</v>
      </c>
      <c r="L106" s="332">
        <v>112.94</v>
      </c>
      <c r="M106" s="332">
        <v>9.6300000000000008</v>
      </c>
      <c r="N106" s="332">
        <v>125.19</v>
      </c>
      <c r="O106" s="333">
        <v>1948</v>
      </c>
      <c r="P106" s="330">
        <v>104.36</v>
      </c>
      <c r="Q106" s="330">
        <v>94.49</v>
      </c>
      <c r="R106" s="330">
        <v>26.32</v>
      </c>
      <c r="S106" s="330">
        <v>130.19999999999999</v>
      </c>
      <c r="T106" s="330">
        <v>329</v>
      </c>
      <c r="U106" s="330">
        <v>195.64</v>
      </c>
      <c r="V106" s="330">
        <v>258</v>
      </c>
      <c r="W106" s="330">
        <v>231.6</v>
      </c>
      <c r="X106" s="330">
        <v>74</v>
      </c>
      <c r="Y106" s="330">
        <v>7</v>
      </c>
      <c r="Z106" s="330">
        <v>2</v>
      </c>
      <c r="AA106" s="330">
        <v>0</v>
      </c>
      <c r="AB106" s="330">
        <v>4</v>
      </c>
      <c r="AC106" s="330">
        <v>8</v>
      </c>
      <c r="AD106" s="334">
        <v>2181</v>
      </c>
      <c r="AE106" s="334">
        <v>12</v>
      </c>
      <c r="AF106" s="334">
        <v>5</v>
      </c>
      <c r="AG106" s="334">
        <v>17</v>
      </c>
    </row>
    <row r="107" spans="1:33" x14ac:dyDescent="0.35">
      <c r="A107" s="329" t="s">
        <v>270</v>
      </c>
      <c r="B107" s="335" t="s">
        <v>271</v>
      </c>
      <c r="C107" s="331">
        <v>4677</v>
      </c>
      <c r="D107" s="331">
        <v>3</v>
      </c>
      <c r="E107" s="331">
        <v>92</v>
      </c>
      <c r="F107" s="331">
        <v>1836</v>
      </c>
      <c r="G107" s="331">
        <v>201</v>
      </c>
      <c r="H107" s="331">
        <v>6809</v>
      </c>
      <c r="I107" s="330">
        <v>6608</v>
      </c>
      <c r="J107" s="330">
        <v>4</v>
      </c>
      <c r="K107" s="332">
        <v>87.32</v>
      </c>
      <c r="L107" s="332">
        <v>86.75</v>
      </c>
      <c r="M107" s="332">
        <v>3.11</v>
      </c>
      <c r="N107" s="332">
        <v>89.76</v>
      </c>
      <c r="O107" s="333">
        <v>4211</v>
      </c>
      <c r="P107" s="330">
        <v>79.34</v>
      </c>
      <c r="Q107" s="330">
        <v>79.069999999999993</v>
      </c>
      <c r="R107" s="330">
        <v>9.2100000000000009</v>
      </c>
      <c r="S107" s="330">
        <v>88.25</v>
      </c>
      <c r="T107" s="330">
        <v>1913</v>
      </c>
      <c r="U107" s="330">
        <v>99.5</v>
      </c>
      <c r="V107" s="330">
        <v>428</v>
      </c>
      <c r="W107" s="330">
        <v>0</v>
      </c>
      <c r="X107" s="330">
        <v>0</v>
      </c>
      <c r="Y107" s="330">
        <v>0</v>
      </c>
      <c r="Z107" s="330">
        <v>39</v>
      </c>
      <c r="AA107" s="330">
        <v>7</v>
      </c>
      <c r="AB107" s="330">
        <v>28</v>
      </c>
      <c r="AC107" s="330">
        <v>9</v>
      </c>
      <c r="AD107" s="334">
        <v>4676</v>
      </c>
      <c r="AE107" s="334">
        <v>37</v>
      </c>
      <c r="AF107" s="334">
        <v>25</v>
      </c>
      <c r="AG107" s="334">
        <v>62</v>
      </c>
    </row>
    <row r="108" spans="1:33" x14ac:dyDescent="0.35">
      <c r="A108" s="329" t="s">
        <v>272</v>
      </c>
      <c r="B108" s="335" t="s">
        <v>273</v>
      </c>
      <c r="C108" s="331">
        <v>3788</v>
      </c>
      <c r="D108" s="331">
        <v>4</v>
      </c>
      <c r="E108" s="331">
        <v>512</v>
      </c>
      <c r="F108" s="331">
        <v>236</v>
      </c>
      <c r="G108" s="331">
        <v>486</v>
      </c>
      <c r="H108" s="331">
        <v>5026</v>
      </c>
      <c r="I108" s="330">
        <v>4540</v>
      </c>
      <c r="J108" s="330">
        <v>26</v>
      </c>
      <c r="K108" s="332">
        <v>86.67</v>
      </c>
      <c r="L108" s="332">
        <v>85.02</v>
      </c>
      <c r="M108" s="332">
        <v>6.45</v>
      </c>
      <c r="N108" s="332">
        <v>91.51</v>
      </c>
      <c r="O108" s="333">
        <v>3392</v>
      </c>
      <c r="P108" s="330">
        <v>91.54</v>
      </c>
      <c r="Q108" s="330">
        <v>65.680000000000007</v>
      </c>
      <c r="R108" s="330">
        <v>98.43</v>
      </c>
      <c r="S108" s="330">
        <v>184.48</v>
      </c>
      <c r="T108" s="330">
        <v>449</v>
      </c>
      <c r="U108" s="330">
        <v>123.56</v>
      </c>
      <c r="V108" s="330">
        <v>265</v>
      </c>
      <c r="W108" s="330">
        <v>0</v>
      </c>
      <c r="X108" s="330">
        <v>0</v>
      </c>
      <c r="Y108" s="330">
        <v>0</v>
      </c>
      <c r="Z108" s="330">
        <v>0</v>
      </c>
      <c r="AA108" s="330">
        <v>1</v>
      </c>
      <c r="AB108" s="330">
        <v>36</v>
      </c>
      <c r="AC108" s="330">
        <v>10</v>
      </c>
      <c r="AD108" s="334">
        <v>3623</v>
      </c>
      <c r="AE108" s="334">
        <v>17</v>
      </c>
      <c r="AF108" s="334">
        <v>35</v>
      </c>
      <c r="AG108" s="334">
        <v>52</v>
      </c>
    </row>
    <row r="109" spans="1:33" x14ac:dyDescent="0.35">
      <c r="A109" s="329" t="s">
        <v>274</v>
      </c>
      <c r="B109" s="335" t="s">
        <v>275</v>
      </c>
      <c r="C109" s="331">
        <v>1497</v>
      </c>
      <c r="D109" s="331">
        <v>0</v>
      </c>
      <c r="E109" s="331">
        <v>173</v>
      </c>
      <c r="F109" s="331">
        <v>183</v>
      </c>
      <c r="G109" s="331">
        <v>242</v>
      </c>
      <c r="H109" s="331">
        <v>2095</v>
      </c>
      <c r="I109" s="330">
        <v>1853</v>
      </c>
      <c r="J109" s="330">
        <v>0</v>
      </c>
      <c r="K109" s="332">
        <v>104.9</v>
      </c>
      <c r="L109" s="332">
        <v>101.22</v>
      </c>
      <c r="M109" s="332">
        <v>8.18</v>
      </c>
      <c r="N109" s="332">
        <v>110.86</v>
      </c>
      <c r="O109" s="333">
        <v>1063</v>
      </c>
      <c r="P109" s="330">
        <v>100.43</v>
      </c>
      <c r="Q109" s="330">
        <v>88.98</v>
      </c>
      <c r="R109" s="330">
        <v>48.86</v>
      </c>
      <c r="S109" s="330">
        <v>146.16999999999999</v>
      </c>
      <c r="T109" s="330">
        <v>235</v>
      </c>
      <c r="U109" s="330">
        <v>142.66</v>
      </c>
      <c r="V109" s="330">
        <v>328</v>
      </c>
      <c r="W109" s="330">
        <v>0</v>
      </c>
      <c r="X109" s="330">
        <v>0</v>
      </c>
      <c r="Y109" s="330">
        <v>1</v>
      </c>
      <c r="Z109" s="330">
        <v>1</v>
      </c>
      <c r="AA109" s="330">
        <v>1</v>
      </c>
      <c r="AB109" s="330">
        <v>2</v>
      </c>
      <c r="AC109" s="330">
        <v>5</v>
      </c>
      <c r="AD109" s="334">
        <v>1485</v>
      </c>
      <c r="AE109" s="334">
        <v>11</v>
      </c>
      <c r="AF109" s="334">
        <v>2</v>
      </c>
      <c r="AG109" s="334">
        <v>13</v>
      </c>
    </row>
    <row r="110" spans="1:33" x14ac:dyDescent="0.35">
      <c r="A110" s="329" t="s">
        <v>276</v>
      </c>
      <c r="B110" s="335" t="s">
        <v>277</v>
      </c>
      <c r="C110" s="331">
        <v>4807</v>
      </c>
      <c r="D110" s="331">
        <v>0</v>
      </c>
      <c r="E110" s="331">
        <v>237</v>
      </c>
      <c r="F110" s="331">
        <v>741</v>
      </c>
      <c r="G110" s="331">
        <v>173</v>
      </c>
      <c r="H110" s="331">
        <v>5958</v>
      </c>
      <c r="I110" s="330">
        <v>5785</v>
      </c>
      <c r="J110" s="330">
        <v>52</v>
      </c>
      <c r="K110" s="332">
        <v>88.39</v>
      </c>
      <c r="L110" s="332">
        <v>85.61</v>
      </c>
      <c r="M110" s="332">
        <v>4.96</v>
      </c>
      <c r="N110" s="332">
        <v>90.65</v>
      </c>
      <c r="O110" s="333">
        <v>4398</v>
      </c>
      <c r="P110" s="330">
        <v>98.19</v>
      </c>
      <c r="Q110" s="330">
        <v>86.48</v>
      </c>
      <c r="R110" s="330">
        <v>48.51</v>
      </c>
      <c r="S110" s="330">
        <v>145.69999999999999</v>
      </c>
      <c r="T110" s="330">
        <v>876</v>
      </c>
      <c r="U110" s="330">
        <v>107.96</v>
      </c>
      <c r="V110" s="330">
        <v>380</v>
      </c>
      <c r="W110" s="330">
        <v>221.83</v>
      </c>
      <c r="X110" s="330">
        <v>60</v>
      </c>
      <c r="Y110" s="330">
        <v>0</v>
      </c>
      <c r="Z110" s="330">
        <v>10</v>
      </c>
      <c r="AA110" s="330">
        <v>1</v>
      </c>
      <c r="AB110" s="330">
        <v>12</v>
      </c>
      <c r="AC110" s="330">
        <v>5</v>
      </c>
      <c r="AD110" s="334">
        <v>4807</v>
      </c>
      <c r="AE110" s="334">
        <v>16</v>
      </c>
      <c r="AF110" s="334">
        <v>28</v>
      </c>
      <c r="AG110" s="334">
        <v>44</v>
      </c>
    </row>
    <row r="111" spans="1:33" x14ac:dyDescent="0.35">
      <c r="A111" s="329" t="s">
        <v>278</v>
      </c>
      <c r="B111" s="335" t="s">
        <v>279</v>
      </c>
      <c r="C111" s="331">
        <v>1575</v>
      </c>
      <c r="D111" s="331">
        <v>0</v>
      </c>
      <c r="E111" s="331">
        <v>133</v>
      </c>
      <c r="F111" s="331">
        <v>264</v>
      </c>
      <c r="G111" s="331">
        <v>301</v>
      </c>
      <c r="H111" s="331">
        <v>2273</v>
      </c>
      <c r="I111" s="330">
        <v>1972</v>
      </c>
      <c r="J111" s="330">
        <v>8</v>
      </c>
      <c r="K111" s="332">
        <v>93.3</v>
      </c>
      <c r="L111" s="332">
        <v>91.84</v>
      </c>
      <c r="M111" s="332">
        <v>7.58</v>
      </c>
      <c r="N111" s="332">
        <v>99.29</v>
      </c>
      <c r="O111" s="333">
        <v>1193</v>
      </c>
      <c r="P111" s="330">
        <v>95.73</v>
      </c>
      <c r="Q111" s="330">
        <v>83.27</v>
      </c>
      <c r="R111" s="330">
        <v>52.17</v>
      </c>
      <c r="S111" s="330">
        <v>146.27000000000001</v>
      </c>
      <c r="T111" s="330">
        <v>353</v>
      </c>
      <c r="U111" s="330">
        <v>136.55000000000001</v>
      </c>
      <c r="V111" s="330">
        <v>200</v>
      </c>
      <c r="W111" s="330">
        <v>73.319999999999993</v>
      </c>
      <c r="X111" s="330">
        <v>7</v>
      </c>
      <c r="Y111" s="330">
        <v>0</v>
      </c>
      <c r="Z111" s="330">
        <v>0</v>
      </c>
      <c r="AA111" s="330">
        <v>1</v>
      </c>
      <c r="AB111" s="330">
        <v>9</v>
      </c>
      <c r="AC111" s="330">
        <v>5</v>
      </c>
      <c r="AD111" s="334">
        <v>1416</v>
      </c>
      <c r="AE111" s="334">
        <v>13</v>
      </c>
      <c r="AF111" s="334">
        <v>6</v>
      </c>
      <c r="AG111" s="334">
        <v>19</v>
      </c>
    </row>
    <row r="112" spans="1:33" x14ac:dyDescent="0.35">
      <c r="A112" s="329" t="s">
        <v>280</v>
      </c>
      <c r="B112" s="335" t="s">
        <v>281</v>
      </c>
      <c r="C112" s="331">
        <v>4183</v>
      </c>
      <c r="D112" s="331">
        <v>0</v>
      </c>
      <c r="E112" s="331">
        <v>78</v>
      </c>
      <c r="F112" s="331">
        <v>785</v>
      </c>
      <c r="G112" s="331">
        <v>222</v>
      </c>
      <c r="H112" s="331">
        <v>5268</v>
      </c>
      <c r="I112" s="330">
        <v>5046</v>
      </c>
      <c r="J112" s="330">
        <v>6</v>
      </c>
      <c r="K112" s="332">
        <v>92.21</v>
      </c>
      <c r="L112" s="332">
        <v>89.97</v>
      </c>
      <c r="M112" s="332">
        <v>2.0299999999999998</v>
      </c>
      <c r="N112" s="332">
        <v>93.98</v>
      </c>
      <c r="O112" s="333">
        <v>3291</v>
      </c>
      <c r="P112" s="330">
        <v>86.35</v>
      </c>
      <c r="Q112" s="330">
        <v>87.36</v>
      </c>
      <c r="R112" s="330">
        <v>23.61</v>
      </c>
      <c r="S112" s="330">
        <v>109.21</v>
      </c>
      <c r="T112" s="330">
        <v>760</v>
      </c>
      <c r="U112" s="330">
        <v>108.5</v>
      </c>
      <c r="V112" s="330">
        <v>465</v>
      </c>
      <c r="W112" s="330">
        <v>207.8</v>
      </c>
      <c r="X112" s="330">
        <v>67</v>
      </c>
      <c r="Y112" s="330">
        <v>0</v>
      </c>
      <c r="Z112" s="330">
        <v>13</v>
      </c>
      <c r="AA112" s="330">
        <v>0</v>
      </c>
      <c r="AB112" s="330">
        <v>9</v>
      </c>
      <c r="AC112" s="330">
        <v>8</v>
      </c>
      <c r="AD112" s="334">
        <v>3753</v>
      </c>
      <c r="AE112" s="334">
        <v>7</v>
      </c>
      <c r="AF112" s="334">
        <v>17</v>
      </c>
      <c r="AG112" s="334">
        <v>24</v>
      </c>
    </row>
    <row r="113" spans="1:33" x14ac:dyDescent="0.35">
      <c r="A113" s="329" t="s">
        <v>282</v>
      </c>
      <c r="B113" s="335" t="s">
        <v>283</v>
      </c>
      <c r="C113" s="331">
        <v>2378</v>
      </c>
      <c r="D113" s="331">
        <v>0</v>
      </c>
      <c r="E113" s="331">
        <v>154</v>
      </c>
      <c r="F113" s="331">
        <v>517</v>
      </c>
      <c r="G113" s="331">
        <v>201</v>
      </c>
      <c r="H113" s="331">
        <v>3250</v>
      </c>
      <c r="I113" s="330">
        <v>3049</v>
      </c>
      <c r="J113" s="330">
        <v>0</v>
      </c>
      <c r="K113" s="332">
        <v>85.32</v>
      </c>
      <c r="L113" s="332">
        <v>84.85</v>
      </c>
      <c r="M113" s="332">
        <v>3.41</v>
      </c>
      <c r="N113" s="332">
        <v>88.48</v>
      </c>
      <c r="O113" s="333">
        <v>1794</v>
      </c>
      <c r="P113" s="330">
        <v>90.86</v>
      </c>
      <c r="Q113" s="330">
        <v>77.34</v>
      </c>
      <c r="R113" s="330">
        <v>24.65</v>
      </c>
      <c r="S113" s="330">
        <v>115.47</v>
      </c>
      <c r="T113" s="330">
        <v>614</v>
      </c>
      <c r="U113" s="330">
        <v>109.45</v>
      </c>
      <c r="V113" s="330">
        <v>569</v>
      </c>
      <c r="W113" s="330">
        <v>0</v>
      </c>
      <c r="X113" s="330">
        <v>0</v>
      </c>
      <c r="Y113" s="330">
        <v>0</v>
      </c>
      <c r="Z113" s="330">
        <v>4</v>
      </c>
      <c r="AA113" s="330">
        <v>0</v>
      </c>
      <c r="AB113" s="330">
        <v>5</v>
      </c>
      <c r="AC113" s="330">
        <v>0</v>
      </c>
      <c r="AD113" s="334">
        <v>2370</v>
      </c>
      <c r="AE113" s="334">
        <v>16</v>
      </c>
      <c r="AF113" s="334">
        <v>1</v>
      </c>
      <c r="AG113" s="334">
        <v>17</v>
      </c>
    </row>
    <row r="114" spans="1:33" x14ac:dyDescent="0.35">
      <c r="A114" s="329" t="s">
        <v>284</v>
      </c>
      <c r="B114" s="335" t="s">
        <v>285</v>
      </c>
      <c r="C114" s="331">
        <v>4040</v>
      </c>
      <c r="D114" s="331">
        <v>0</v>
      </c>
      <c r="E114" s="331">
        <v>342</v>
      </c>
      <c r="F114" s="331">
        <v>991</v>
      </c>
      <c r="G114" s="331">
        <v>205</v>
      </c>
      <c r="H114" s="331">
        <v>5578</v>
      </c>
      <c r="I114" s="330">
        <v>5373</v>
      </c>
      <c r="J114" s="330">
        <v>2</v>
      </c>
      <c r="K114" s="332">
        <v>77.67</v>
      </c>
      <c r="L114" s="332">
        <v>74.47</v>
      </c>
      <c r="M114" s="332">
        <v>7.71</v>
      </c>
      <c r="N114" s="332">
        <v>82.39</v>
      </c>
      <c r="O114" s="333">
        <v>2931</v>
      </c>
      <c r="P114" s="330">
        <v>91.49</v>
      </c>
      <c r="Q114" s="330">
        <v>77.709999999999994</v>
      </c>
      <c r="R114" s="330">
        <v>53.65</v>
      </c>
      <c r="S114" s="330">
        <v>144.41999999999999</v>
      </c>
      <c r="T114" s="330">
        <v>1110</v>
      </c>
      <c r="U114" s="330">
        <v>94.4</v>
      </c>
      <c r="V114" s="330">
        <v>1068</v>
      </c>
      <c r="W114" s="330">
        <v>148.04</v>
      </c>
      <c r="X114" s="330">
        <v>204</v>
      </c>
      <c r="Y114" s="330">
        <v>0</v>
      </c>
      <c r="Z114" s="330">
        <v>3</v>
      </c>
      <c r="AA114" s="330">
        <v>1</v>
      </c>
      <c r="AB114" s="330">
        <v>4</v>
      </c>
      <c r="AC114" s="330">
        <v>6</v>
      </c>
      <c r="AD114" s="334">
        <v>3769</v>
      </c>
      <c r="AE114" s="334">
        <v>86</v>
      </c>
      <c r="AF114" s="334">
        <v>55</v>
      </c>
      <c r="AG114" s="334">
        <v>141</v>
      </c>
    </row>
    <row r="115" spans="1:33" x14ac:dyDescent="0.35">
      <c r="A115" s="329" t="s">
        <v>286</v>
      </c>
      <c r="B115" s="335" t="s">
        <v>287</v>
      </c>
      <c r="C115" s="331">
        <v>3746</v>
      </c>
      <c r="D115" s="331">
        <v>0</v>
      </c>
      <c r="E115" s="331">
        <v>199</v>
      </c>
      <c r="F115" s="331">
        <v>1185</v>
      </c>
      <c r="G115" s="331">
        <v>219</v>
      </c>
      <c r="H115" s="331">
        <v>5349</v>
      </c>
      <c r="I115" s="330">
        <v>5130</v>
      </c>
      <c r="J115" s="330">
        <v>2</v>
      </c>
      <c r="K115" s="332">
        <v>81.58</v>
      </c>
      <c r="L115" s="332">
        <v>80.5</v>
      </c>
      <c r="M115" s="332">
        <v>4.7</v>
      </c>
      <c r="N115" s="332">
        <v>83.38</v>
      </c>
      <c r="O115" s="333">
        <v>3491</v>
      </c>
      <c r="P115" s="330">
        <v>84.58</v>
      </c>
      <c r="Q115" s="330">
        <v>73.23</v>
      </c>
      <c r="R115" s="330">
        <v>30.53</v>
      </c>
      <c r="S115" s="330">
        <v>114.85</v>
      </c>
      <c r="T115" s="330">
        <v>1362</v>
      </c>
      <c r="U115" s="330">
        <v>105.17</v>
      </c>
      <c r="V115" s="330">
        <v>232</v>
      </c>
      <c r="W115" s="330">
        <v>170.44</v>
      </c>
      <c r="X115" s="330">
        <v>17</v>
      </c>
      <c r="Y115" s="330">
        <v>0</v>
      </c>
      <c r="Z115" s="330">
        <v>35</v>
      </c>
      <c r="AA115" s="330">
        <v>3</v>
      </c>
      <c r="AB115" s="330">
        <v>3</v>
      </c>
      <c r="AC115" s="330">
        <v>7</v>
      </c>
      <c r="AD115" s="334">
        <v>3746</v>
      </c>
      <c r="AE115" s="334">
        <v>32</v>
      </c>
      <c r="AF115" s="334">
        <v>0</v>
      </c>
      <c r="AG115" s="334">
        <v>32</v>
      </c>
    </row>
    <row r="116" spans="1:33" x14ac:dyDescent="0.35">
      <c r="A116" s="329" t="s">
        <v>288</v>
      </c>
      <c r="B116" s="335" t="s">
        <v>289</v>
      </c>
      <c r="C116" s="331">
        <v>6788</v>
      </c>
      <c r="D116" s="331">
        <v>113</v>
      </c>
      <c r="E116" s="331">
        <v>598</v>
      </c>
      <c r="F116" s="331">
        <v>784</v>
      </c>
      <c r="G116" s="331">
        <v>560</v>
      </c>
      <c r="H116" s="331">
        <v>8843</v>
      </c>
      <c r="I116" s="330">
        <v>8283</v>
      </c>
      <c r="J116" s="330">
        <v>126</v>
      </c>
      <c r="K116" s="332">
        <v>84.28</v>
      </c>
      <c r="L116" s="332">
        <v>82.66</v>
      </c>
      <c r="M116" s="332">
        <v>7.46</v>
      </c>
      <c r="N116" s="332">
        <v>87.72</v>
      </c>
      <c r="O116" s="333">
        <v>6287</v>
      </c>
      <c r="P116" s="330">
        <v>86.23</v>
      </c>
      <c r="Q116" s="330">
        <v>83.43</v>
      </c>
      <c r="R116" s="330">
        <v>51.73</v>
      </c>
      <c r="S116" s="330">
        <v>136.44</v>
      </c>
      <c r="T116" s="330">
        <v>926</v>
      </c>
      <c r="U116" s="330">
        <v>116.91</v>
      </c>
      <c r="V116" s="330">
        <v>394</v>
      </c>
      <c r="W116" s="330">
        <v>214.97</v>
      </c>
      <c r="X116" s="330">
        <v>93</v>
      </c>
      <c r="Y116" s="330">
        <v>0</v>
      </c>
      <c r="Z116" s="330">
        <v>26</v>
      </c>
      <c r="AA116" s="330">
        <v>17</v>
      </c>
      <c r="AB116" s="330">
        <v>69</v>
      </c>
      <c r="AC116" s="330">
        <v>22</v>
      </c>
      <c r="AD116" s="334">
        <v>6729</v>
      </c>
      <c r="AE116" s="334">
        <v>41</v>
      </c>
      <c r="AF116" s="334">
        <v>25</v>
      </c>
      <c r="AG116" s="334">
        <v>66</v>
      </c>
    </row>
    <row r="117" spans="1:33" x14ac:dyDescent="0.35">
      <c r="A117" s="329" t="s">
        <v>290</v>
      </c>
      <c r="B117" s="335" t="s">
        <v>291</v>
      </c>
      <c r="C117" s="331">
        <v>2342</v>
      </c>
      <c r="D117" s="331">
        <v>0</v>
      </c>
      <c r="E117" s="331">
        <v>68</v>
      </c>
      <c r="F117" s="331">
        <v>584</v>
      </c>
      <c r="G117" s="331">
        <v>368</v>
      </c>
      <c r="H117" s="331">
        <v>3362</v>
      </c>
      <c r="I117" s="330">
        <v>2994</v>
      </c>
      <c r="J117" s="330">
        <v>9</v>
      </c>
      <c r="K117" s="332">
        <v>97.38</v>
      </c>
      <c r="L117" s="332">
        <v>92.82</v>
      </c>
      <c r="M117" s="332">
        <v>10</v>
      </c>
      <c r="N117" s="332">
        <v>106.04</v>
      </c>
      <c r="O117" s="333">
        <v>1911</v>
      </c>
      <c r="P117" s="330">
        <v>92.93</v>
      </c>
      <c r="Q117" s="330">
        <v>87.31</v>
      </c>
      <c r="R117" s="330">
        <v>35.17</v>
      </c>
      <c r="S117" s="330">
        <v>126.54</v>
      </c>
      <c r="T117" s="330">
        <v>383</v>
      </c>
      <c r="U117" s="330">
        <v>125.16</v>
      </c>
      <c r="V117" s="330">
        <v>296</v>
      </c>
      <c r="W117" s="330">
        <v>132.32</v>
      </c>
      <c r="X117" s="330">
        <v>27</v>
      </c>
      <c r="Y117" s="330">
        <v>0</v>
      </c>
      <c r="Z117" s="330">
        <v>2</v>
      </c>
      <c r="AA117" s="330">
        <v>0</v>
      </c>
      <c r="AB117" s="330">
        <v>13</v>
      </c>
      <c r="AC117" s="330">
        <v>11</v>
      </c>
      <c r="AD117" s="334">
        <v>2342</v>
      </c>
      <c r="AE117" s="334">
        <v>15</v>
      </c>
      <c r="AF117" s="334">
        <v>3</v>
      </c>
      <c r="AG117" s="334">
        <v>18</v>
      </c>
    </row>
    <row r="118" spans="1:33" x14ac:dyDescent="0.35">
      <c r="A118" s="329" t="s">
        <v>292</v>
      </c>
      <c r="B118" s="335" t="s">
        <v>293</v>
      </c>
      <c r="C118" s="331">
        <v>1516</v>
      </c>
      <c r="D118" s="331">
        <v>0</v>
      </c>
      <c r="E118" s="331">
        <v>82</v>
      </c>
      <c r="F118" s="331">
        <v>178</v>
      </c>
      <c r="G118" s="331">
        <v>377</v>
      </c>
      <c r="H118" s="331">
        <v>2153</v>
      </c>
      <c r="I118" s="330">
        <v>1776</v>
      </c>
      <c r="J118" s="330">
        <v>0</v>
      </c>
      <c r="K118" s="332">
        <v>105.55</v>
      </c>
      <c r="L118" s="332">
        <v>104.19</v>
      </c>
      <c r="M118" s="332">
        <v>5.91</v>
      </c>
      <c r="N118" s="332">
        <v>110.26</v>
      </c>
      <c r="O118" s="333">
        <v>744</v>
      </c>
      <c r="P118" s="330">
        <v>93.3</v>
      </c>
      <c r="Q118" s="330">
        <v>88.98</v>
      </c>
      <c r="R118" s="330">
        <v>76.8</v>
      </c>
      <c r="S118" s="330">
        <v>162.83000000000001</v>
      </c>
      <c r="T118" s="330">
        <v>74</v>
      </c>
      <c r="U118" s="330">
        <v>140.41999999999999</v>
      </c>
      <c r="V118" s="330">
        <v>365</v>
      </c>
      <c r="W118" s="330">
        <v>209.93</v>
      </c>
      <c r="X118" s="330">
        <v>57</v>
      </c>
      <c r="Y118" s="330">
        <v>1</v>
      </c>
      <c r="Z118" s="330">
        <v>0</v>
      </c>
      <c r="AA118" s="330">
        <v>0</v>
      </c>
      <c r="AB118" s="330">
        <v>49</v>
      </c>
      <c r="AC118" s="330">
        <v>8</v>
      </c>
      <c r="AD118" s="334">
        <v>1115</v>
      </c>
      <c r="AE118" s="334">
        <v>3</v>
      </c>
      <c r="AF118" s="334">
        <v>6</v>
      </c>
      <c r="AG118" s="334">
        <v>9</v>
      </c>
    </row>
    <row r="119" spans="1:33" x14ac:dyDescent="0.35">
      <c r="A119" s="329" t="s">
        <v>294</v>
      </c>
      <c r="B119" s="335" t="s">
        <v>295</v>
      </c>
      <c r="C119" s="331">
        <v>1422</v>
      </c>
      <c r="D119" s="331">
        <v>0</v>
      </c>
      <c r="E119" s="331">
        <v>246</v>
      </c>
      <c r="F119" s="331">
        <v>149</v>
      </c>
      <c r="G119" s="331">
        <v>91</v>
      </c>
      <c r="H119" s="331">
        <v>1908</v>
      </c>
      <c r="I119" s="330">
        <v>1817</v>
      </c>
      <c r="J119" s="330">
        <v>0</v>
      </c>
      <c r="K119" s="332">
        <v>85.49</v>
      </c>
      <c r="L119" s="332">
        <v>85.21</v>
      </c>
      <c r="M119" s="332">
        <v>6.59</v>
      </c>
      <c r="N119" s="332">
        <v>89.85</v>
      </c>
      <c r="O119" s="333">
        <v>1215</v>
      </c>
      <c r="P119" s="330">
        <v>96</v>
      </c>
      <c r="Q119" s="330">
        <v>83.95</v>
      </c>
      <c r="R119" s="330">
        <v>65.17</v>
      </c>
      <c r="S119" s="330">
        <v>160.69999999999999</v>
      </c>
      <c r="T119" s="330">
        <v>278</v>
      </c>
      <c r="U119" s="330">
        <v>97.22</v>
      </c>
      <c r="V119" s="330">
        <v>172</v>
      </c>
      <c r="W119" s="330">
        <v>0</v>
      </c>
      <c r="X119" s="330">
        <v>0</v>
      </c>
      <c r="Y119" s="330">
        <v>15</v>
      </c>
      <c r="Z119" s="330">
        <v>0</v>
      </c>
      <c r="AA119" s="330">
        <v>10</v>
      </c>
      <c r="AB119" s="330">
        <v>3</v>
      </c>
      <c r="AC119" s="330">
        <v>5</v>
      </c>
      <c r="AD119" s="334">
        <v>1422</v>
      </c>
      <c r="AE119" s="334">
        <v>15</v>
      </c>
      <c r="AF119" s="334">
        <v>21</v>
      </c>
      <c r="AG119" s="334">
        <v>36</v>
      </c>
    </row>
    <row r="120" spans="1:33" x14ac:dyDescent="0.35">
      <c r="A120" s="329" t="s">
        <v>296</v>
      </c>
      <c r="B120" s="335" t="s">
        <v>297</v>
      </c>
      <c r="C120" s="331">
        <v>13152</v>
      </c>
      <c r="D120" s="331">
        <v>162</v>
      </c>
      <c r="E120" s="331">
        <v>523</v>
      </c>
      <c r="F120" s="331">
        <v>959</v>
      </c>
      <c r="G120" s="331">
        <v>2475</v>
      </c>
      <c r="H120" s="331">
        <v>17271</v>
      </c>
      <c r="I120" s="330">
        <v>14796</v>
      </c>
      <c r="J120" s="330">
        <v>1</v>
      </c>
      <c r="K120" s="332">
        <v>117.39</v>
      </c>
      <c r="L120" s="332">
        <v>117.13</v>
      </c>
      <c r="M120" s="332">
        <v>16.13</v>
      </c>
      <c r="N120" s="332">
        <v>129.51</v>
      </c>
      <c r="O120" s="333">
        <v>10026</v>
      </c>
      <c r="P120" s="330">
        <v>112.9</v>
      </c>
      <c r="Q120" s="330">
        <v>106.92</v>
      </c>
      <c r="R120" s="330">
        <v>49.03</v>
      </c>
      <c r="S120" s="330">
        <v>159.71</v>
      </c>
      <c r="T120" s="330">
        <v>1237</v>
      </c>
      <c r="U120" s="330">
        <v>173.13</v>
      </c>
      <c r="V120" s="330">
        <v>1382</v>
      </c>
      <c r="W120" s="330">
        <v>0</v>
      </c>
      <c r="X120" s="330">
        <v>0</v>
      </c>
      <c r="Y120" s="330">
        <v>31</v>
      </c>
      <c r="Z120" s="330">
        <v>1</v>
      </c>
      <c r="AA120" s="330">
        <v>30</v>
      </c>
      <c r="AB120" s="330">
        <v>75</v>
      </c>
      <c r="AC120" s="330">
        <v>68</v>
      </c>
      <c r="AD120" s="334">
        <v>11884</v>
      </c>
      <c r="AE120" s="334">
        <v>89</v>
      </c>
      <c r="AF120" s="334">
        <v>42</v>
      </c>
      <c r="AG120" s="334">
        <v>131</v>
      </c>
    </row>
    <row r="121" spans="1:33" x14ac:dyDescent="0.35">
      <c r="A121" s="329" t="s">
        <v>298</v>
      </c>
      <c r="B121" s="335" t="s">
        <v>299</v>
      </c>
      <c r="C121" s="331">
        <v>1759</v>
      </c>
      <c r="D121" s="331">
        <v>11</v>
      </c>
      <c r="E121" s="331">
        <v>276</v>
      </c>
      <c r="F121" s="331">
        <v>235</v>
      </c>
      <c r="G121" s="331">
        <v>419</v>
      </c>
      <c r="H121" s="331">
        <v>2700</v>
      </c>
      <c r="I121" s="330">
        <v>2281</v>
      </c>
      <c r="J121" s="330">
        <v>0</v>
      </c>
      <c r="K121" s="332">
        <v>122.53</v>
      </c>
      <c r="L121" s="332">
        <v>119.29</v>
      </c>
      <c r="M121" s="332">
        <v>8.23</v>
      </c>
      <c r="N121" s="332">
        <v>129.07</v>
      </c>
      <c r="O121" s="333">
        <v>1324</v>
      </c>
      <c r="P121" s="330">
        <v>94.92</v>
      </c>
      <c r="Q121" s="330">
        <v>87.22</v>
      </c>
      <c r="R121" s="330">
        <v>87.88</v>
      </c>
      <c r="S121" s="330">
        <v>179.69</v>
      </c>
      <c r="T121" s="330">
        <v>226</v>
      </c>
      <c r="U121" s="330">
        <v>163.83000000000001</v>
      </c>
      <c r="V121" s="330">
        <v>292</v>
      </c>
      <c r="W121" s="330">
        <v>246.29</v>
      </c>
      <c r="X121" s="330">
        <v>36</v>
      </c>
      <c r="Y121" s="330">
        <v>0</v>
      </c>
      <c r="Z121" s="330">
        <v>0</v>
      </c>
      <c r="AA121" s="330">
        <v>3</v>
      </c>
      <c r="AB121" s="330">
        <v>21</v>
      </c>
      <c r="AC121" s="330">
        <v>8</v>
      </c>
      <c r="AD121" s="334">
        <v>1609</v>
      </c>
      <c r="AE121" s="334">
        <v>15</v>
      </c>
      <c r="AF121" s="334">
        <v>1</v>
      </c>
      <c r="AG121" s="334">
        <v>16</v>
      </c>
    </row>
    <row r="122" spans="1:33" x14ac:dyDescent="0.35">
      <c r="A122" s="329" t="s">
        <v>300</v>
      </c>
      <c r="B122" s="335" t="s">
        <v>301</v>
      </c>
      <c r="C122" s="331">
        <v>20240</v>
      </c>
      <c r="D122" s="331">
        <v>565</v>
      </c>
      <c r="E122" s="331">
        <v>1334</v>
      </c>
      <c r="F122" s="331">
        <v>1761</v>
      </c>
      <c r="G122" s="331">
        <v>2471</v>
      </c>
      <c r="H122" s="331">
        <v>26371</v>
      </c>
      <c r="I122" s="330">
        <v>23900</v>
      </c>
      <c r="J122" s="330">
        <v>84</v>
      </c>
      <c r="K122" s="332">
        <v>119.7</v>
      </c>
      <c r="L122" s="332">
        <v>122.78</v>
      </c>
      <c r="M122" s="332">
        <v>14.25</v>
      </c>
      <c r="N122" s="332">
        <v>130.38999999999999</v>
      </c>
      <c r="O122" s="333">
        <v>17295</v>
      </c>
      <c r="P122" s="330">
        <v>108.32</v>
      </c>
      <c r="Q122" s="330">
        <v>108.62</v>
      </c>
      <c r="R122" s="330">
        <v>56.11</v>
      </c>
      <c r="S122" s="330">
        <v>160.11000000000001</v>
      </c>
      <c r="T122" s="330">
        <v>2731</v>
      </c>
      <c r="U122" s="330">
        <v>212.74</v>
      </c>
      <c r="V122" s="330">
        <v>1025</v>
      </c>
      <c r="W122" s="330">
        <v>175.5</v>
      </c>
      <c r="X122" s="330">
        <v>38</v>
      </c>
      <c r="Y122" s="330">
        <v>1</v>
      </c>
      <c r="Z122" s="330">
        <v>4</v>
      </c>
      <c r="AA122" s="330">
        <v>21</v>
      </c>
      <c r="AB122" s="330">
        <v>28</v>
      </c>
      <c r="AC122" s="330">
        <v>113</v>
      </c>
      <c r="AD122" s="334">
        <v>18575</v>
      </c>
      <c r="AE122" s="334">
        <v>105</v>
      </c>
      <c r="AF122" s="334">
        <v>77</v>
      </c>
      <c r="AG122" s="334">
        <v>182</v>
      </c>
    </row>
    <row r="123" spans="1:33" x14ac:dyDescent="0.35">
      <c r="A123" s="329" t="s">
        <v>302</v>
      </c>
      <c r="B123" s="335" t="s">
        <v>303</v>
      </c>
      <c r="C123" s="331">
        <v>13364</v>
      </c>
      <c r="D123" s="331">
        <v>2</v>
      </c>
      <c r="E123" s="331">
        <v>474</v>
      </c>
      <c r="F123" s="331">
        <v>465</v>
      </c>
      <c r="G123" s="331">
        <v>338</v>
      </c>
      <c r="H123" s="331">
        <v>14643</v>
      </c>
      <c r="I123" s="330">
        <v>14305</v>
      </c>
      <c r="J123" s="330">
        <v>1</v>
      </c>
      <c r="K123" s="332">
        <v>82</v>
      </c>
      <c r="L123" s="332">
        <v>81.260000000000005</v>
      </c>
      <c r="M123" s="332">
        <v>4.16</v>
      </c>
      <c r="N123" s="332">
        <v>86.01</v>
      </c>
      <c r="O123" s="333">
        <v>11313</v>
      </c>
      <c r="P123" s="330">
        <v>86.53</v>
      </c>
      <c r="Q123" s="330">
        <v>73.39</v>
      </c>
      <c r="R123" s="330">
        <v>38.42</v>
      </c>
      <c r="S123" s="330">
        <v>124.46</v>
      </c>
      <c r="T123" s="330">
        <v>787</v>
      </c>
      <c r="U123" s="330">
        <v>97.92</v>
      </c>
      <c r="V123" s="330">
        <v>2029</v>
      </c>
      <c r="W123" s="330">
        <v>149.88999999999999</v>
      </c>
      <c r="X123" s="330">
        <v>78</v>
      </c>
      <c r="Y123" s="330">
        <v>55</v>
      </c>
      <c r="Z123" s="330">
        <v>49</v>
      </c>
      <c r="AA123" s="330">
        <v>9</v>
      </c>
      <c r="AB123" s="330">
        <v>17</v>
      </c>
      <c r="AC123" s="330">
        <v>7</v>
      </c>
      <c r="AD123" s="334">
        <v>13364</v>
      </c>
      <c r="AE123" s="334">
        <v>76</v>
      </c>
      <c r="AF123" s="334">
        <v>18</v>
      </c>
      <c r="AG123" s="334">
        <v>94</v>
      </c>
    </row>
    <row r="124" spans="1:33" x14ac:dyDescent="0.35">
      <c r="A124" s="329" t="s">
        <v>304</v>
      </c>
      <c r="B124" s="335" t="s">
        <v>305</v>
      </c>
      <c r="C124" s="331">
        <v>5159</v>
      </c>
      <c r="D124" s="331">
        <v>5</v>
      </c>
      <c r="E124" s="331">
        <v>348</v>
      </c>
      <c r="F124" s="331">
        <v>147</v>
      </c>
      <c r="G124" s="331">
        <v>222</v>
      </c>
      <c r="H124" s="331">
        <v>5881</v>
      </c>
      <c r="I124" s="330">
        <v>5659</v>
      </c>
      <c r="J124" s="330">
        <v>166</v>
      </c>
      <c r="K124" s="332">
        <v>90.11</v>
      </c>
      <c r="L124" s="332">
        <v>87.45</v>
      </c>
      <c r="M124" s="332">
        <v>1.89</v>
      </c>
      <c r="N124" s="332">
        <v>91.77</v>
      </c>
      <c r="O124" s="333">
        <v>4795</v>
      </c>
      <c r="P124" s="330">
        <v>108.49</v>
      </c>
      <c r="Q124" s="330">
        <v>80.180000000000007</v>
      </c>
      <c r="R124" s="330">
        <v>69.180000000000007</v>
      </c>
      <c r="S124" s="330">
        <v>177.67</v>
      </c>
      <c r="T124" s="330">
        <v>337</v>
      </c>
      <c r="U124" s="330">
        <v>107.07</v>
      </c>
      <c r="V124" s="330">
        <v>271</v>
      </c>
      <c r="W124" s="330">
        <v>170.45</v>
      </c>
      <c r="X124" s="330">
        <v>130</v>
      </c>
      <c r="Y124" s="330">
        <v>0</v>
      </c>
      <c r="Z124" s="330">
        <v>1</v>
      </c>
      <c r="AA124" s="330">
        <v>1</v>
      </c>
      <c r="AB124" s="330">
        <v>19</v>
      </c>
      <c r="AC124" s="330">
        <v>3</v>
      </c>
      <c r="AD124" s="334">
        <v>5147</v>
      </c>
      <c r="AE124" s="334">
        <v>23</v>
      </c>
      <c r="AF124" s="334">
        <v>144</v>
      </c>
      <c r="AG124" s="334">
        <v>167</v>
      </c>
    </row>
    <row r="125" spans="1:33" x14ac:dyDescent="0.35">
      <c r="A125" s="329" t="s">
        <v>306</v>
      </c>
      <c r="B125" s="335" t="s">
        <v>307</v>
      </c>
      <c r="C125" s="331">
        <v>11632</v>
      </c>
      <c r="D125" s="331">
        <v>34</v>
      </c>
      <c r="E125" s="331">
        <v>1119</v>
      </c>
      <c r="F125" s="331">
        <v>499</v>
      </c>
      <c r="G125" s="331">
        <v>1070</v>
      </c>
      <c r="H125" s="331">
        <v>14354</v>
      </c>
      <c r="I125" s="330">
        <v>13284</v>
      </c>
      <c r="J125" s="330">
        <v>90</v>
      </c>
      <c r="K125" s="332">
        <v>128.31</v>
      </c>
      <c r="L125" s="332">
        <v>139.29</v>
      </c>
      <c r="M125" s="332">
        <v>12.51</v>
      </c>
      <c r="N125" s="332">
        <v>134.63999999999999</v>
      </c>
      <c r="O125" s="333">
        <v>9748</v>
      </c>
      <c r="P125" s="330">
        <v>119.9</v>
      </c>
      <c r="Q125" s="330">
        <v>115.27</v>
      </c>
      <c r="R125" s="330">
        <v>52.38</v>
      </c>
      <c r="S125" s="330">
        <v>163.59</v>
      </c>
      <c r="T125" s="330">
        <v>1188</v>
      </c>
      <c r="U125" s="330">
        <v>208.14</v>
      </c>
      <c r="V125" s="330">
        <v>1179</v>
      </c>
      <c r="W125" s="330">
        <v>205.34</v>
      </c>
      <c r="X125" s="330">
        <v>83</v>
      </c>
      <c r="Y125" s="330">
        <v>0</v>
      </c>
      <c r="Z125" s="330">
        <v>0</v>
      </c>
      <c r="AA125" s="330">
        <v>2</v>
      </c>
      <c r="AB125" s="330">
        <v>5</v>
      </c>
      <c r="AC125" s="330">
        <v>44</v>
      </c>
      <c r="AD125" s="334">
        <v>11223</v>
      </c>
      <c r="AE125" s="334">
        <v>74</v>
      </c>
      <c r="AF125" s="334">
        <v>164</v>
      </c>
      <c r="AG125" s="334">
        <v>238</v>
      </c>
    </row>
    <row r="126" spans="1:33" x14ac:dyDescent="0.35">
      <c r="A126" s="329" t="s">
        <v>308</v>
      </c>
      <c r="B126" s="335" t="s">
        <v>309</v>
      </c>
      <c r="C126" s="331">
        <v>3038</v>
      </c>
      <c r="D126" s="331">
        <v>0</v>
      </c>
      <c r="E126" s="331">
        <v>105</v>
      </c>
      <c r="F126" s="331">
        <v>290</v>
      </c>
      <c r="G126" s="331">
        <v>694</v>
      </c>
      <c r="H126" s="331">
        <v>4127</v>
      </c>
      <c r="I126" s="330">
        <v>3433</v>
      </c>
      <c r="J126" s="330">
        <v>0</v>
      </c>
      <c r="K126" s="332">
        <v>88.46</v>
      </c>
      <c r="L126" s="332">
        <v>88.3</v>
      </c>
      <c r="M126" s="332">
        <v>4.42</v>
      </c>
      <c r="N126" s="332">
        <v>91.37</v>
      </c>
      <c r="O126" s="333">
        <v>2431</v>
      </c>
      <c r="P126" s="330">
        <v>75.39</v>
      </c>
      <c r="Q126" s="330">
        <v>73.84</v>
      </c>
      <c r="R126" s="330">
        <v>41.39</v>
      </c>
      <c r="S126" s="330">
        <v>112.87</v>
      </c>
      <c r="T126" s="330">
        <v>359</v>
      </c>
      <c r="U126" s="330">
        <v>109.48</v>
      </c>
      <c r="V126" s="330">
        <v>501</v>
      </c>
      <c r="W126" s="330">
        <v>114.54</v>
      </c>
      <c r="X126" s="330">
        <v>12</v>
      </c>
      <c r="Y126" s="330">
        <v>0</v>
      </c>
      <c r="Z126" s="330">
        <v>1</v>
      </c>
      <c r="AA126" s="330">
        <v>0</v>
      </c>
      <c r="AB126" s="330">
        <v>70</v>
      </c>
      <c r="AC126" s="330">
        <v>4</v>
      </c>
      <c r="AD126" s="334">
        <v>3038</v>
      </c>
      <c r="AE126" s="334">
        <v>26</v>
      </c>
      <c r="AF126" s="334">
        <v>25</v>
      </c>
      <c r="AG126" s="334">
        <v>51</v>
      </c>
    </row>
    <row r="127" spans="1:33" x14ac:dyDescent="0.35">
      <c r="A127" s="329" t="s">
        <v>310</v>
      </c>
      <c r="B127" s="335" t="s">
        <v>311</v>
      </c>
      <c r="C127" s="331">
        <v>10228</v>
      </c>
      <c r="D127" s="331">
        <v>70</v>
      </c>
      <c r="E127" s="331">
        <v>1043</v>
      </c>
      <c r="F127" s="331">
        <v>823</v>
      </c>
      <c r="G127" s="331">
        <v>1582</v>
      </c>
      <c r="H127" s="331">
        <v>13746</v>
      </c>
      <c r="I127" s="330">
        <v>12164</v>
      </c>
      <c r="J127" s="330">
        <v>35</v>
      </c>
      <c r="K127" s="332">
        <v>118.22</v>
      </c>
      <c r="L127" s="332">
        <v>117.58</v>
      </c>
      <c r="M127" s="332">
        <v>12.1</v>
      </c>
      <c r="N127" s="332">
        <v>126.05</v>
      </c>
      <c r="O127" s="333">
        <v>8259</v>
      </c>
      <c r="P127" s="330">
        <v>114.1</v>
      </c>
      <c r="Q127" s="330">
        <v>102.4</v>
      </c>
      <c r="R127" s="330">
        <v>64.52</v>
      </c>
      <c r="S127" s="330">
        <v>172.61</v>
      </c>
      <c r="T127" s="330">
        <v>1257</v>
      </c>
      <c r="U127" s="330">
        <v>192.37</v>
      </c>
      <c r="V127" s="330">
        <v>671</v>
      </c>
      <c r="W127" s="330">
        <v>201.92</v>
      </c>
      <c r="X127" s="330">
        <v>32</v>
      </c>
      <c r="Y127" s="330">
        <v>0</v>
      </c>
      <c r="Z127" s="330">
        <v>0</v>
      </c>
      <c r="AA127" s="330">
        <v>12</v>
      </c>
      <c r="AB127" s="330">
        <v>11</v>
      </c>
      <c r="AC127" s="330">
        <v>62</v>
      </c>
      <c r="AD127" s="334">
        <v>9226</v>
      </c>
      <c r="AE127" s="334">
        <v>85</v>
      </c>
      <c r="AF127" s="334">
        <v>36</v>
      </c>
      <c r="AG127" s="334">
        <v>121</v>
      </c>
    </row>
    <row r="128" spans="1:33" x14ac:dyDescent="0.35">
      <c r="A128" s="329" t="s">
        <v>312</v>
      </c>
      <c r="B128" s="335" t="s">
        <v>313</v>
      </c>
      <c r="C128" s="331">
        <v>1562</v>
      </c>
      <c r="D128" s="331">
        <v>236</v>
      </c>
      <c r="E128" s="331">
        <v>207</v>
      </c>
      <c r="F128" s="331">
        <v>261</v>
      </c>
      <c r="G128" s="331">
        <v>409</v>
      </c>
      <c r="H128" s="331">
        <v>2675</v>
      </c>
      <c r="I128" s="330">
        <v>2266</v>
      </c>
      <c r="J128" s="330">
        <v>2</v>
      </c>
      <c r="K128" s="332">
        <v>100.09</v>
      </c>
      <c r="L128" s="332">
        <v>97.02</v>
      </c>
      <c r="M128" s="332">
        <v>7.78</v>
      </c>
      <c r="N128" s="332">
        <v>106.57</v>
      </c>
      <c r="O128" s="333">
        <v>1223</v>
      </c>
      <c r="P128" s="330">
        <v>89.83</v>
      </c>
      <c r="Q128" s="330">
        <v>87.9</v>
      </c>
      <c r="R128" s="330">
        <v>32.01</v>
      </c>
      <c r="S128" s="330">
        <v>121.13</v>
      </c>
      <c r="T128" s="330">
        <v>361</v>
      </c>
      <c r="U128" s="330">
        <v>150.47999999999999</v>
      </c>
      <c r="V128" s="330">
        <v>286</v>
      </c>
      <c r="W128" s="330">
        <v>109.65</v>
      </c>
      <c r="X128" s="330">
        <v>1</v>
      </c>
      <c r="Y128" s="330">
        <v>0</v>
      </c>
      <c r="Z128" s="330">
        <v>0</v>
      </c>
      <c r="AA128" s="330">
        <v>0</v>
      </c>
      <c r="AB128" s="330">
        <v>41</v>
      </c>
      <c r="AC128" s="330">
        <v>6</v>
      </c>
      <c r="AD128" s="334">
        <v>1559</v>
      </c>
      <c r="AE128" s="334">
        <v>33</v>
      </c>
      <c r="AF128" s="334">
        <v>152</v>
      </c>
      <c r="AG128" s="334">
        <v>185</v>
      </c>
    </row>
    <row r="129" spans="1:33" x14ac:dyDescent="0.35">
      <c r="A129" s="329" t="s">
        <v>314</v>
      </c>
      <c r="B129" s="335" t="s">
        <v>315</v>
      </c>
      <c r="C129" s="331">
        <v>2581</v>
      </c>
      <c r="D129" s="331">
        <v>4</v>
      </c>
      <c r="E129" s="331">
        <v>219</v>
      </c>
      <c r="F129" s="331">
        <v>388</v>
      </c>
      <c r="G129" s="331">
        <v>423</v>
      </c>
      <c r="H129" s="331">
        <v>3615</v>
      </c>
      <c r="I129" s="330">
        <v>3192</v>
      </c>
      <c r="J129" s="330">
        <v>4</v>
      </c>
      <c r="K129" s="332">
        <v>94.51</v>
      </c>
      <c r="L129" s="332">
        <v>92.04</v>
      </c>
      <c r="M129" s="332">
        <v>6.37</v>
      </c>
      <c r="N129" s="332">
        <v>98.75</v>
      </c>
      <c r="O129" s="333">
        <v>1693</v>
      </c>
      <c r="P129" s="330">
        <v>107.16</v>
      </c>
      <c r="Q129" s="330">
        <v>86.05</v>
      </c>
      <c r="R129" s="330">
        <v>48.11</v>
      </c>
      <c r="S129" s="330">
        <v>154.86000000000001</v>
      </c>
      <c r="T129" s="330">
        <v>470</v>
      </c>
      <c r="U129" s="330">
        <v>118.78</v>
      </c>
      <c r="V129" s="330">
        <v>743</v>
      </c>
      <c r="W129" s="330">
        <v>110.94</v>
      </c>
      <c r="X129" s="330">
        <v>11</v>
      </c>
      <c r="Y129" s="330">
        <v>0</v>
      </c>
      <c r="Z129" s="330">
        <v>1</v>
      </c>
      <c r="AA129" s="330">
        <v>8</v>
      </c>
      <c r="AB129" s="330">
        <v>54</v>
      </c>
      <c r="AC129" s="330">
        <v>4</v>
      </c>
      <c r="AD129" s="334">
        <v>2354</v>
      </c>
      <c r="AE129" s="334">
        <v>21</v>
      </c>
      <c r="AF129" s="334">
        <v>31</v>
      </c>
      <c r="AG129" s="334">
        <v>52</v>
      </c>
    </row>
    <row r="130" spans="1:33" x14ac:dyDescent="0.35">
      <c r="A130" s="329" t="s">
        <v>316</v>
      </c>
      <c r="B130" s="335" t="s">
        <v>317</v>
      </c>
      <c r="C130" s="331">
        <v>3441</v>
      </c>
      <c r="D130" s="331">
        <v>0</v>
      </c>
      <c r="E130" s="331">
        <v>355</v>
      </c>
      <c r="F130" s="331">
        <v>610</v>
      </c>
      <c r="G130" s="331">
        <v>1005</v>
      </c>
      <c r="H130" s="331">
        <v>5411</v>
      </c>
      <c r="I130" s="330">
        <v>4406</v>
      </c>
      <c r="J130" s="330">
        <v>16</v>
      </c>
      <c r="K130" s="332">
        <v>130.36000000000001</v>
      </c>
      <c r="L130" s="332">
        <v>125.58</v>
      </c>
      <c r="M130" s="332">
        <v>9.9700000000000006</v>
      </c>
      <c r="N130" s="332">
        <v>137.30000000000001</v>
      </c>
      <c r="O130" s="333">
        <v>2769</v>
      </c>
      <c r="P130" s="330">
        <v>103.24</v>
      </c>
      <c r="Q130" s="330">
        <v>97.24</v>
      </c>
      <c r="R130" s="330">
        <v>36.700000000000003</v>
      </c>
      <c r="S130" s="330">
        <v>132.1</v>
      </c>
      <c r="T130" s="330">
        <v>543</v>
      </c>
      <c r="U130" s="330">
        <v>192.34</v>
      </c>
      <c r="V130" s="330">
        <v>431</v>
      </c>
      <c r="W130" s="330">
        <v>188.09</v>
      </c>
      <c r="X130" s="330">
        <v>30</v>
      </c>
      <c r="Y130" s="330">
        <v>1</v>
      </c>
      <c r="Z130" s="330">
        <v>2</v>
      </c>
      <c r="AA130" s="330">
        <v>0</v>
      </c>
      <c r="AB130" s="330">
        <v>34</v>
      </c>
      <c r="AC130" s="330">
        <v>33</v>
      </c>
      <c r="AD130" s="334">
        <v>3372</v>
      </c>
      <c r="AE130" s="334">
        <v>12</v>
      </c>
      <c r="AF130" s="334">
        <v>10</v>
      </c>
      <c r="AG130" s="334">
        <v>22</v>
      </c>
    </row>
    <row r="131" spans="1:33" x14ac:dyDescent="0.35">
      <c r="A131" s="329" t="s">
        <v>318</v>
      </c>
      <c r="B131" s="335" t="s">
        <v>319</v>
      </c>
      <c r="C131" s="331">
        <v>3051</v>
      </c>
      <c r="D131" s="331">
        <v>0</v>
      </c>
      <c r="E131" s="331">
        <v>46</v>
      </c>
      <c r="F131" s="331">
        <v>321</v>
      </c>
      <c r="G131" s="331">
        <v>662</v>
      </c>
      <c r="H131" s="331">
        <v>4080</v>
      </c>
      <c r="I131" s="330">
        <v>3418</v>
      </c>
      <c r="J131" s="330">
        <v>1</v>
      </c>
      <c r="K131" s="332">
        <v>114.95</v>
      </c>
      <c r="L131" s="332">
        <v>110.97</v>
      </c>
      <c r="M131" s="332">
        <v>6.73</v>
      </c>
      <c r="N131" s="332">
        <v>117.75</v>
      </c>
      <c r="O131" s="333">
        <v>2390</v>
      </c>
      <c r="P131" s="330">
        <v>99.85</v>
      </c>
      <c r="Q131" s="330">
        <v>105.57</v>
      </c>
      <c r="R131" s="330">
        <v>36.409999999999997</v>
      </c>
      <c r="S131" s="330">
        <v>135.44999999999999</v>
      </c>
      <c r="T131" s="330">
        <v>313</v>
      </c>
      <c r="U131" s="330">
        <v>168.21</v>
      </c>
      <c r="V131" s="330">
        <v>625</v>
      </c>
      <c r="W131" s="330">
        <v>117.8</v>
      </c>
      <c r="X131" s="330">
        <v>1</v>
      </c>
      <c r="Y131" s="330">
        <v>0</v>
      </c>
      <c r="Z131" s="330">
        <v>1</v>
      </c>
      <c r="AA131" s="330">
        <v>0</v>
      </c>
      <c r="AB131" s="330">
        <v>44</v>
      </c>
      <c r="AC131" s="330">
        <v>18</v>
      </c>
      <c r="AD131" s="334">
        <v>3051</v>
      </c>
      <c r="AE131" s="334">
        <v>19</v>
      </c>
      <c r="AF131" s="334">
        <v>6</v>
      </c>
      <c r="AG131" s="334">
        <v>25</v>
      </c>
    </row>
    <row r="132" spans="1:33" x14ac:dyDescent="0.35">
      <c r="A132" s="329" t="s">
        <v>320</v>
      </c>
      <c r="B132" s="335" t="s">
        <v>321</v>
      </c>
      <c r="C132" s="331">
        <v>7630</v>
      </c>
      <c r="D132" s="331">
        <v>0</v>
      </c>
      <c r="E132" s="331">
        <v>159</v>
      </c>
      <c r="F132" s="331">
        <v>1985</v>
      </c>
      <c r="G132" s="331">
        <v>233</v>
      </c>
      <c r="H132" s="331">
        <v>10007</v>
      </c>
      <c r="I132" s="330">
        <v>9774</v>
      </c>
      <c r="J132" s="330">
        <v>0</v>
      </c>
      <c r="K132" s="332">
        <v>80.349999999999994</v>
      </c>
      <c r="L132" s="332">
        <v>79.290000000000006</v>
      </c>
      <c r="M132" s="332">
        <v>4.57</v>
      </c>
      <c r="N132" s="332">
        <v>82.2</v>
      </c>
      <c r="O132" s="333">
        <v>6536</v>
      </c>
      <c r="P132" s="330">
        <v>80.239999999999995</v>
      </c>
      <c r="Q132" s="330">
        <v>79.150000000000006</v>
      </c>
      <c r="R132" s="330">
        <v>36.96</v>
      </c>
      <c r="S132" s="330">
        <v>101.63</v>
      </c>
      <c r="T132" s="330">
        <v>2036</v>
      </c>
      <c r="U132" s="330">
        <v>92.35</v>
      </c>
      <c r="V132" s="330">
        <v>1033</v>
      </c>
      <c r="W132" s="330">
        <v>101.96</v>
      </c>
      <c r="X132" s="330">
        <v>70</v>
      </c>
      <c r="Y132" s="330">
        <v>0</v>
      </c>
      <c r="Z132" s="330">
        <v>40</v>
      </c>
      <c r="AA132" s="330">
        <v>3</v>
      </c>
      <c r="AB132" s="330">
        <v>4</v>
      </c>
      <c r="AC132" s="330">
        <v>2</v>
      </c>
      <c r="AD132" s="334">
        <v>7604</v>
      </c>
      <c r="AE132" s="334">
        <v>119</v>
      </c>
      <c r="AF132" s="334">
        <v>94</v>
      </c>
      <c r="AG132" s="334">
        <v>213</v>
      </c>
    </row>
    <row r="133" spans="1:33" x14ac:dyDescent="0.35">
      <c r="A133" s="329" t="s">
        <v>322</v>
      </c>
      <c r="B133" s="335" t="s">
        <v>323</v>
      </c>
      <c r="C133" s="331">
        <v>5132</v>
      </c>
      <c r="D133" s="331">
        <v>0</v>
      </c>
      <c r="E133" s="331">
        <v>298</v>
      </c>
      <c r="F133" s="331">
        <v>713</v>
      </c>
      <c r="G133" s="331">
        <v>191</v>
      </c>
      <c r="H133" s="331">
        <v>6334</v>
      </c>
      <c r="I133" s="330">
        <v>6143</v>
      </c>
      <c r="J133" s="330">
        <v>1</v>
      </c>
      <c r="K133" s="332">
        <v>86.23</v>
      </c>
      <c r="L133" s="332">
        <v>85.63</v>
      </c>
      <c r="M133" s="332">
        <v>7.16</v>
      </c>
      <c r="N133" s="332">
        <v>92.42</v>
      </c>
      <c r="O133" s="333">
        <v>4308</v>
      </c>
      <c r="P133" s="330">
        <v>71.38</v>
      </c>
      <c r="Q133" s="330">
        <v>70.89</v>
      </c>
      <c r="R133" s="330">
        <v>41.54</v>
      </c>
      <c r="S133" s="330">
        <v>112.92</v>
      </c>
      <c r="T133" s="330">
        <v>798</v>
      </c>
      <c r="U133" s="330">
        <v>111.26</v>
      </c>
      <c r="V133" s="330">
        <v>750</v>
      </c>
      <c r="W133" s="330">
        <v>150.9</v>
      </c>
      <c r="X133" s="330">
        <v>119</v>
      </c>
      <c r="Y133" s="330">
        <v>0</v>
      </c>
      <c r="Z133" s="330">
        <v>2</v>
      </c>
      <c r="AA133" s="330">
        <v>1</v>
      </c>
      <c r="AB133" s="330">
        <v>3</v>
      </c>
      <c r="AC133" s="330">
        <v>5</v>
      </c>
      <c r="AD133" s="334">
        <v>5062</v>
      </c>
      <c r="AE133" s="334">
        <v>21</v>
      </c>
      <c r="AF133" s="334">
        <v>45</v>
      </c>
      <c r="AG133" s="334">
        <v>66</v>
      </c>
    </row>
    <row r="134" spans="1:33" x14ac:dyDescent="0.35">
      <c r="A134" s="329" t="s">
        <v>324</v>
      </c>
      <c r="B134" s="335" t="s">
        <v>325</v>
      </c>
      <c r="C134" s="331">
        <v>4434</v>
      </c>
      <c r="D134" s="331">
        <v>0</v>
      </c>
      <c r="E134" s="331">
        <v>232</v>
      </c>
      <c r="F134" s="331">
        <v>1059</v>
      </c>
      <c r="G134" s="331">
        <v>399</v>
      </c>
      <c r="H134" s="331">
        <v>6124</v>
      </c>
      <c r="I134" s="330">
        <v>5725</v>
      </c>
      <c r="J134" s="330">
        <v>20</v>
      </c>
      <c r="K134" s="332">
        <v>104.24</v>
      </c>
      <c r="L134" s="332">
        <v>99.22</v>
      </c>
      <c r="M134" s="332">
        <v>9.9600000000000009</v>
      </c>
      <c r="N134" s="332">
        <v>108.88</v>
      </c>
      <c r="O134" s="333">
        <v>3524</v>
      </c>
      <c r="P134" s="330">
        <v>95</v>
      </c>
      <c r="Q134" s="330">
        <v>86.87</v>
      </c>
      <c r="R134" s="330">
        <v>21.19</v>
      </c>
      <c r="S134" s="330">
        <v>114.37</v>
      </c>
      <c r="T134" s="330">
        <v>1139</v>
      </c>
      <c r="U134" s="330">
        <v>143.08000000000001</v>
      </c>
      <c r="V134" s="330">
        <v>765</v>
      </c>
      <c r="W134" s="330">
        <v>162.5</v>
      </c>
      <c r="X134" s="330">
        <v>14</v>
      </c>
      <c r="Y134" s="330">
        <v>0</v>
      </c>
      <c r="Z134" s="330">
        <v>4</v>
      </c>
      <c r="AA134" s="330">
        <v>1</v>
      </c>
      <c r="AB134" s="330">
        <v>3</v>
      </c>
      <c r="AC134" s="330">
        <v>11</v>
      </c>
      <c r="AD134" s="334">
        <v>4383</v>
      </c>
      <c r="AE134" s="334">
        <v>33</v>
      </c>
      <c r="AF134" s="334">
        <v>8</v>
      </c>
      <c r="AG134" s="334">
        <v>41</v>
      </c>
    </row>
    <row r="135" spans="1:33" x14ac:dyDescent="0.35">
      <c r="A135" s="329" t="s">
        <v>326</v>
      </c>
      <c r="B135" s="335" t="s">
        <v>327</v>
      </c>
      <c r="C135" s="331">
        <v>3662</v>
      </c>
      <c r="D135" s="331">
        <v>354</v>
      </c>
      <c r="E135" s="331">
        <v>208</v>
      </c>
      <c r="F135" s="331">
        <v>497</v>
      </c>
      <c r="G135" s="331">
        <v>824</v>
      </c>
      <c r="H135" s="331">
        <v>5545</v>
      </c>
      <c r="I135" s="330">
        <v>4721</v>
      </c>
      <c r="J135" s="330">
        <v>4</v>
      </c>
      <c r="K135" s="332">
        <v>119.07</v>
      </c>
      <c r="L135" s="332">
        <v>115.21</v>
      </c>
      <c r="M135" s="332">
        <v>10.7</v>
      </c>
      <c r="N135" s="332">
        <v>127.03</v>
      </c>
      <c r="O135" s="333">
        <v>2499</v>
      </c>
      <c r="P135" s="330">
        <v>105.7</v>
      </c>
      <c r="Q135" s="330">
        <v>99.1</v>
      </c>
      <c r="R135" s="330">
        <v>40.299999999999997</v>
      </c>
      <c r="S135" s="330">
        <v>145.09</v>
      </c>
      <c r="T135" s="330">
        <v>616</v>
      </c>
      <c r="U135" s="330">
        <v>176.75</v>
      </c>
      <c r="V135" s="330">
        <v>1004</v>
      </c>
      <c r="W135" s="330">
        <v>218.45</v>
      </c>
      <c r="X135" s="330">
        <v>39</v>
      </c>
      <c r="Y135" s="330">
        <v>2</v>
      </c>
      <c r="Z135" s="330">
        <v>0</v>
      </c>
      <c r="AA135" s="330">
        <v>4</v>
      </c>
      <c r="AB135" s="330">
        <v>30</v>
      </c>
      <c r="AC135" s="330">
        <v>27</v>
      </c>
      <c r="AD135" s="334">
        <v>3605</v>
      </c>
      <c r="AE135" s="334">
        <v>94</v>
      </c>
      <c r="AF135" s="334">
        <v>25</v>
      </c>
      <c r="AG135" s="334">
        <v>119</v>
      </c>
    </row>
    <row r="136" spans="1:33" x14ac:dyDescent="0.35">
      <c r="A136" s="329" t="s">
        <v>328</v>
      </c>
      <c r="B136" s="335" t="s">
        <v>329</v>
      </c>
      <c r="C136" s="331">
        <v>9288</v>
      </c>
      <c r="D136" s="331">
        <v>0</v>
      </c>
      <c r="E136" s="331">
        <v>325</v>
      </c>
      <c r="F136" s="331">
        <v>1632</v>
      </c>
      <c r="G136" s="331">
        <v>848</v>
      </c>
      <c r="H136" s="331">
        <v>12093</v>
      </c>
      <c r="I136" s="330">
        <v>11245</v>
      </c>
      <c r="J136" s="330">
        <v>8</v>
      </c>
      <c r="K136" s="332">
        <v>88.27</v>
      </c>
      <c r="L136" s="332">
        <v>87.22</v>
      </c>
      <c r="M136" s="332">
        <v>4.12</v>
      </c>
      <c r="N136" s="332">
        <v>90.38</v>
      </c>
      <c r="O136" s="333">
        <v>8442</v>
      </c>
      <c r="P136" s="330">
        <v>83.37</v>
      </c>
      <c r="Q136" s="330">
        <v>81.55</v>
      </c>
      <c r="R136" s="330">
        <v>36.57</v>
      </c>
      <c r="S136" s="330">
        <v>111.28</v>
      </c>
      <c r="T136" s="330">
        <v>1883</v>
      </c>
      <c r="U136" s="330">
        <v>104.87</v>
      </c>
      <c r="V136" s="330">
        <v>797</v>
      </c>
      <c r="W136" s="330">
        <v>181.84</v>
      </c>
      <c r="X136" s="330">
        <v>20</v>
      </c>
      <c r="Y136" s="330">
        <v>0</v>
      </c>
      <c r="Z136" s="330">
        <v>62</v>
      </c>
      <c r="AA136" s="330">
        <v>21</v>
      </c>
      <c r="AB136" s="330">
        <v>34</v>
      </c>
      <c r="AC136" s="330">
        <v>7</v>
      </c>
      <c r="AD136" s="334">
        <v>9257</v>
      </c>
      <c r="AE136" s="334">
        <v>59</v>
      </c>
      <c r="AF136" s="334">
        <v>46</v>
      </c>
      <c r="AG136" s="334">
        <v>105</v>
      </c>
    </row>
    <row r="137" spans="1:33" x14ac:dyDescent="0.35">
      <c r="A137" s="329" t="s">
        <v>330</v>
      </c>
      <c r="B137" s="335" t="s">
        <v>331</v>
      </c>
      <c r="C137" s="331">
        <v>6412</v>
      </c>
      <c r="D137" s="331">
        <v>26</v>
      </c>
      <c r="E137" s="331">
        <v>151</v>
      </c>
      <c r="F137" s="331">
        <v>831</v>
      </c>
      <c r="G137" s="331">
        <v>510</v>
      </c>
      <c r="H137" s="331">
        <v>7930</v>
      </c>
      <c r="I137" s="330">
        <v>7420</v>
      </c>
      <c r="J137" s="330">
        <v>0</v>
      </c>
      <c r="K137" s="332">
        <v>118.46</v>
      </c>
      <c r="L137" s="332">
        <v>119.98</v>
      </c>
      <c r="M137" s="332">
        <v>8.3000000000000007</v>
      </c>
      <c r="N137" s="332">
        <v>122.79</v>
      </c>
      <c r="O137" s="333">
        <v>5448</v>
      </c>
      <c r="P137" s="330">
        <v>110.91</v>
      </c>
      <c r="Q137" s="330">
        <v>109.7</v>
      </c>
      <c r="R137" s="330">
        <v>31.06</v>
      </c>
      <c r="S137" s="330">
        <v>140.55000000000001</v>
      </c>
      <c r="T137" s="330">
        <v>946</v>
      </c>
      <c r="U137" s="330">
        <v>175.91</v>
      </c>
      <c r="V137" s="330">
        <v>787</v>
      </c>
      <c r="W137" s="330">
        <v>208.35</v>
      </c>
      <c r="X137" s="330">
        <v>4</v>
      </c>
      <c r="Y137" s="330">
        <v>0</v>
      </c>
      <c r="Z137" s="330">
        <v>3</v>
      </c>
      <c r="AA137" s="330">
        <v>11</v>
      </c>
      <c r="AB137" s="330">
        <v>24</v>
      </c>
      <c r="AC137" s="330">
        <v>5</v>
      </c>
      <c r="AD137" s="334">
        <v>6243</v>
      </c>
      <c r="AE137" s="334">
        <v>43</v>
      </c>
      <c r="AF137" s="334">
        <v>50</v>
      </c>
      <c r="AG137" s="334">
        <v>93</v>
      </c>
    </row>
    <row r="138" spans="1:33" x14ac:dyDescent="0.35">
      <c r="A138" s="329" t="s">
        <v>332</v>
      </c>
      <c r="B138" s="335" t="s">
        <v>333</v>
      </c>
      <c r="C138" s="331">
        <v>980</v>
      </c>
      <c r="D138" s="331">
        <v>1</v>
      </c>
      <c r="E138" s="331">
        <v>67</v>
      </c>
      <c r="F138" s="331">
        <v>337</v>
      </c>
      <c r="G138" s="331">
        <v>197</v>
      </c>
      <c r="H138" s="331">
        <v>1582</v>
      </c>
      <c r="I138" s="330">
        <v>1385</v>
      </c>
      <c r="J138" s="330">
        <v>0</v>
      </c>
      <c r="K138" s="332">
        <v>94.79</v>
      </c>
      <c r="L138" s="332">
        <v>91.99</v>
      </c>
      <c r="M138" s="332">
        <v>7.03</v>
      </c>
      <c r="N138" s="332">
        <v>98.43</v>
      </c>
      <c r="O138" s="333">
        <v>776</v>
      </c>
      <c r="P138" s="330">
        <v>89.18</v>
      </c>
      <c r="Q138" s="330">
        <v>78.849999999999994</v>
      </c>
      <c r="R138" s="330">
        <v>44.6</v>
      </c>
      <c r="S138" s="330">
        <v>133.31</v>
      </c>
      <c r="T138" s="330">
        <v>383</v>
      </c>
      <c r="U138" s="330">
        <v>107.46</v>
      </c>
      <c r="V138" s="330">
        <v>187</v>
      </c>
      <c r="W138" s="330">
        <v>0</v>
      </c>
      <c r="X138" s="330">
        <v>0</v>
      </c>
      <c r="Y138" s="330">
        <v>0</v>
      </c>
      <c r="Z138" s="330">
        <v>2</v>
      </c>
      <c r="AA138" s="330">
        <v>0</v>
      </c>
      <c r="AB138" s="330">
        <v>9</v>
      </c>
      <c r="AC138" s="330">
        <v>6</v>
      </c>
      <c r="AD138" s="334">
        <v>962</v>
      </c>
      <c r="AE138" s="334">
        <v>9</v>
      </c>
      <c r="AF138" s="334">
        <v>4</v>
      </c>
      <c r="AG138" s="334">
        <v>13</v>
      </c>
    </row>
    <row r="139" spans="1:33" x14ac:dyDescent="0.35">
      <c r="A139" s="329" t="s">
        <v>334</v>
      </c>
      <c r="B139" s="335" t="s">
        <v>335</v>
      </c>
      <c r="C139" s="331">
        <v>6523</v>
      </c>
      <c r="D139" s="331">
        <v>0</v>
      </c>
      <c r="E139" s="331">
        <v>565</v>
      </c>
      <c r="F139" s="331">
        <v>530</v>
      </c>
      <c r="G139" s="331">
        <v>1255</v>
      </c>
      <c r="H139" s="331">
        <v>8873</v>
      </c>
      <c r="I139" s="330">
        <v>7618</v>
      </c>
      <c r="J139" s="330">
        <v>62</v>
      </c>
      <c r="K139" s="332">
        <v>121.89</v>
      </c>
      <c r="L139" s="332">
        <v>121.07</v>
      </c>
      <c r="M139" s="332">
        <v>10.76</v>
      </c>
      <c r="N139" s="332">
        <v>129.27000000000001</v>
      </c>
      <c r="O139" s="333">
        <v>5400</v>
      </c>
      <c r="P139" s="330">
        <v>101.4</v>
      </c>
      <c r="Q139" s="330">
        <v>99.33</v>
      </c>
      <c r="R139" s="330">
        <v>40.880000000000003</v>
      </c>
      <c r="S139" s="330">
        <v>134.41999999999999</v>
      </c>
      <c r="T139" s="330">
        <v>832</v>
      </c>
      <c r="U139" s="330">
        <v>187.21</v>
      </c>
      <c r="V139" s="330">
        <v>874</v>
      </c>
      <c r="W139" s="330">
        <v>161.6</v>
      </c>
      <c r="X139" s="330">
        <v>51</v>
      </c>
      <c r="Y139" s="330">
        <v>0</v>
      </c>
      <c r="Z139" s="330">
        <v>2</v>
      </c>
      <c r="AA139" s="330">
        <v>2</v>
      </c>
      <c r="AB139" s="330">
        <v>40</v>
      </c>
      <c r="AC139" s="330">
        <v>33</v>
      </c>
      <c r="AD139" s="334">
        <v>6391</v>
      </c>
      <c r="AE139" s="334">
        <v>23</v>
      </c>
      <c r="AF139" s="334">
        <v>16</v>
      </c>
      <c r="AG139" s="334">
        <v>39</v>
      </c>
    </row>
    <row r="140" spans="1:33" x14ac:dyDescent="0.35">
      <c r="A140" s="329" t="s">
        <v>336</v>
      </c>
      <c r="B140" s="335" t="s">
        <v>337</v>
      </c>
      <c r="C140" s="331">
        <v>1907</v>
      </c>
      <c r="D140" s="331">
        <v>1</v>
      </c>
      <c r="E140" s="331">
        <v>124</v>
      </c>
      <c r="F140" s="331">
        <v>125</v>
      </c>
      <c r="G140" s="331">
        <v>369</v>
      </c>
      <c r="H140" s="331">
        <v>2526</v>
      </c>
      <c r="I140" s="330">
        <v>2157</v>
      </c>
      <c r="J140" s="330">
        <v>0</v>
      </c>
      <c r="K140" s="332">
        <v>89.59</v>
      </c>
      <c r="L140" s="332">
        <v>88.52</v>
      </c>
      <c r="M140" s="332">
        <v>5.85</v>
      </c>
      <c r="N140" s="332">
        <v>92.75</v>
      </c>
      <c r="O140" s="333">
        <v>1415</v>
      </c>
      <c r="P140" s="330">
        <v>99.37</v>
      </c>
      <c r="Q140" s="330">
        <v>84.79</v>
      </c>
      <c r="R140" s="330">
        <v>57.31</v>
      </c>
      <c r="S140" s="330">
        <v>156.68</v>
      </c>
      <c r="T140" s="330">
        <v>219</v>
      </c>
      <c r="U140" s="330">
        <v>104.97</v>
      </c>
      <c r="V140" s="330">
        <v>461</v>
      </c>
      <c r="W140" s="330">
        <v>0</v>
      </c>
      <c r="X140" s="330">
        <v>0</v>
      </c>
      <c r="Y140" s="330">
        <v>0</v>
      </c>
      <c r="Z140" s="330">
        <v>24</v>
      </c>
      <c r="AA140" s="330">
        <v>14</v>
      </c>
      <c r="AB140" s="330">
        <v>20</v>
      </c>
      <c r="AC140" s="330">
        <v>12</v>
      </c>
      <c r="AD140" s="334">
        <v>1907</v>
      </c>
      <c r="AE140" s="334">
        <v>40</v>
      </c>
      <c r="AF140" s="334">
        <v>9</v>
      </c>
      <c r="AG140" s="334">
        <v>49</v>
      </c>
    </row>
    <row r="141" spans="1:33" x14ac:dyDescent="0.35">
      <c r="A141" s="329" t="s">
        <v>338</v>
      </c>
      <c r="B141" s="335" t="s">
        <v>339</v>
      </c>
      <c r="C141" s="331">
        <v>6001</v>
      </c>
      <c r="D141" s="331">
        <v>0</v>
      </c>
      <c r="E141" s="331">
        <v>144</v>
      </c>
      <c r="F141" s="331">
        <v>1121</v>
      </c>
      <c r="G141" s="331">
        <v>958</v>
      </c>
      <c r="H141" s="331">
        <v>8224</v>
      </c>
      <c r="I141" s="330">
        <v>7266</v>
      </c>
      <c r="J141" s="330">
        <v>9</v>
      </c>
      <c r="K141" s="332">
        <v>109.73</v>
      </c>
      <c r="L141" s="332">
        <v>108.48</v>
      </c>
      <c r="M141" s="332">
        <v>4.4400000000000004</v>
      </c>
      <c r="N141" s="332">
        <v>112.44</v>
      </c>
      <c r="O141" s="333">
        <v>4648</v>
      </c>
      <c r="P141" s="330">
        <v>94.93</v>
      </c>
      <c r="Q141" s="330">
        <v>93.61</v>
      </c>
      <c r="R141" s="330">
        <v>27.96</v>
      </c>
      <c r="S141" s="330">
        <v>121.83</v>
      </c>
      <c r="T141" s="330">
        <v>1009</v>
      </c>
      <c r="U141" s="330">
        <v>164.89</v>
      </c>
      <c r="V141" s="330">
        <v>1300</v>
      </c>
      <c r="W141" s="330">
        <v>186.17</v>
      </c>
      <c r="X141" s="330">
        <v>163</v>
      </c>
      <c r="Y141" s="330">
        <v>31</v>
      </c>
      <c r="Z141" s="330">
        <v>6</v>
      </c>
      <c r="AA141" s="330">
        <v>10</v>
      </c>
      <c r="AB141" s="330">
        <v>175</v>
      </c>
      <c r="AC141" s="330">
        <v>23</v>
      </c>
      <c r="AD141" s="334">
        <v>5968</v>
      </c>
      <c r="AE141" s="334">
        <v>49</v>
      </c>
      <c r="AF141" s="334">
        <v>28</v>
      </c>
      <c r="AG141" s="334">
        <v>77</v>
      </c>
    </row>
    <row r="142" spans="1:33" x14ac:dyDescent="0.35">
      <c r="A142" s="329" t="s">
        <v>340</v>
      </c>
      <c r="B142" s="335" t="s">
        <v>341</v>
      </c>
      <c r="C142" s="331">
        <v>7867</v>
      </c>
      <c r="D142" s="331">
        <v>23</v>
      </c>
      <c r="E142" s="331">
        <v>513</v>
      </c>
      <c r="F142" s="331">
        <v>164</v>
      </c>
      <c r="G142" s="331">
        <v>2164</v>
      </c>
      <c r="H142" s="331">
        <v>10731</v>
      </c>
      <c r="I142" s="330">
        <v>8567</v>
      </c>
      <c r="J142" s="330">
        <v>32</v>
      </c>
      <c r="K142" s="332">
        <v>122.25</v>
      </c>
      <c r="L142" s="332">
        <v>122.76</v>
      </c>
      <c r="M142" s="332">
        <v>10.1</v>
      </c>
      <c r="N142" s="332">
        <v>130.18</v>
      </c>
      <c r="O142" s="333">
        <v>5835</v>
      </c>
      <c r="P142" s="330">
        <v>118.62</v>
      </c>
      <c r="Q142" s="330">
        <v>107.95</v>
      </c>
      <c r="R142" s="330">
        <v>93.4</v>
      </c>
      <c r="S142" s="330">
        <v>192.18</v>
      </c>
      <c r="T142" s="330">
        <v>339</v>
      </c>
      <c r="U142" s="330">
        <v>196.49</v>
      </c>
      <c r="V142" s="330">
        <v>1114</v>
      </c>
      <c r="W142" s="330">
        <v>232.56</v>
      </c>
      <c r="X142" s="330">
        <v>110</v>
      </c>
      <c r="Y142" s="330">
        <v>0</v>
      </c>
      <c r="Z142" s="330">
        <v>0</v>
      </c>
      <c r="AA142" s="330">
        <v>3</v>
      </c>
      <c r="AB142" s="330">
        <v>199</v>
      </c>
      <c r="AC142" s="330">
        <v>142</v>
      </c>
      <c r="AD142" s="334">
        <v>7290</v>
      </c>
      <c r="AE142" s="334">
        <v>23</v>
      </c>
      <c r="AF142" s="334">
        <v>67</v>
      </c>
      <c r="AG142" s="334">
        <v>90</v>
      </c>
    </row>
    <row r="143" spans="1:33" x14ac:dyDescent="0.35">
      <c r="A143" s="329" t="s">
        <v>342</v>
      </c>
      <c r="B143" s="335" t="s">
        <v>343</v>
      </c>
      <c r="C143" s="331">
        <v>8698</v>
      </c>
      <c r="D143" s="331">
        <v>19</v>
      </c>
      <c r="E143" s="331">
        <v>373</v>
      </c>
      <c r="F143" s="331">
        <v>1063</v>
      </c>
      <c r="G143" s="331">
        <v>868</v>
      </c>
      <c r="H143" s="331">
        <v>11021</v>
      </c>
      <c r="I143" s="330">
        <v>10153</v>
      </c>
      <c r="J143" s="330">
        <v>3</v>
      </c>
      <c r="K143" s="332">
        <v>93.75</v>
      </c>
      <c r="L143" s="332">
        <v>93.96</v>
      </c>
      <c r="M143" s="332">
        <v>4.6100000000000003</v>
      </c>
      <c r="N143" s="332">
        <v>95.83</v>
      </c>
      <c r="O143" s="333">
        <v>7822</v>
      </c>
      <c r="P143" s="330">
        <v>91.13</v>
      </c>
      <c r="Q143" s="330">
        <v>85.87</v>
      </c>
      <c r="R143" s="330">
        <v>46.36</v>
      </c>
      <c r="S143" s="330">
        <v>136.74</v>
      </c>
      <c r="T143" s="330">
        <v>1299</v>
      </c>
      <c r="U143" s="330">
        <v>130.71</v>
      </c>
      <c r="V143" s="330">
        <v>707</v>
      </c>
      <c r="W143" s="330">
        <v>194.16</v>
      </c>
      <c r="X143" s="330">
        <v>55</v>
      </c>
      <c r="Y143" s="330">
        <v>1</v>
      </c>
      <c r="Z143" s="330">
        <v>11</v>
      </c>
      <c r="AA143" s="330">
        <v>7</v>
      </c>
      <c r="AB143" s="330">
        <v>75</v>
      </c>
      <c r="AC143" s="330">
        <v>13</v>
      </c>
      <c r="AD143" s="334">
        <v>8698</v>
      </c>
      <c r="AE143" s="334">
        <v>64</v>
      </c>
      <c r="AF143" s="334">
        <v>57</v>
      </c>
      <c r="AG143" s="334">
        <v>121</v>
      </c>
    </row>
    <row r="144" spans="1:33" x14ac:dyDescent="0.35">
      <c r="A144" s="329" t="s">
        <v>344</v>
      </c>
      <c r="B144" s="335" t="s">
        <v>345</v>
      </c>
      <c r="C144" s="331">
        <v>3032</v>
      </c>
      <c r="D144" s="331">
        <v>0</v>
      </c>
      <c r="E144" s="331">
        <v>290</v>
      </c>
      <c r="F144" s="331">
        <v>1562</v>
      </c>
      <c r="G144" s="331">
        <v>59</v>
      </c>
      <c r="H144" s="331">
        <v>4943</v>
      </c>
      <c r="I144" s="330">
        <v>4884</v>
      </c>
      <c r="J144" s="330">
        <v>8</v>
      </c>
      <c r="K144" s="332">
        <v>75.760000000000005</v>
      </c>
      <c r="L144" s="332">
        <v>77.28</v>
      </c>
      <c r="M144" s="332">
        <v>2.2999999999999998</v>
      </c>
      <c r="N144" s="332">
        <v>76.98</v>
      </c>
      <c r="O144" s="333">
        <v>2922</v>
      </c>
      <c r="P144" s="330">
        <v>76.02</v>
      </c>
      <c r="Q144" s="330">
        <v>71.75</v>
      </c>
      <c r="R144" s="330">
        <v>22.93</v>
      </c>
      <c r="S144" s="330">
        <v>98.4</v>
      </c>
      <c r="T144" s="330">
        <v>1758</v>
      </c>
      <c r="U144" s="330">
        <v>89.82</v>
      </c>
      <c r="V144" s="330">
        <v>110</v>
      </c>
      <c r="W144" s="330">
        <v>245.64</v>
      </c>
      <c r="X144" s="330">
        <v>14</v>
      </c>
      <c r="Y144" s="330">
        <v>0</v>
      </c>
      <c r="Z144" s="330">
        <v>29</v>
      </c>
      <c r="AA144" s="330">
        <v>2</v>
      </c>
      <c r="AB144" s="330">
        <v>0</v>
      </c>
      <c r="AC144" s="330">
        <v>0</v>
      </c>
      <c r="AD144" s="334">
        <v>3032</v>
      </c>
      <c r="AE144" s="334">
        <v>26</v>
      </c>
      <c r="AF144" s="334">
        <v>3</v>
      </c>
      <c r="AG144" s="334">
        <v>29</v>
      </c>
    </row>
    <row r="145" spans="1:33" x14ac:dyDescent="0.35">
      <c r="A145" s="329" t="s">
        <v>346</v>
      </c>
      <c r="B145" s="335" t="s">
        <v>347</v>
      </c>
      <c r="C145" s="331">
        <v>3739</v>
      </c>
      <c r="D145" s="331">
        <v>0</v>
      </c>
      <c r="E145" s="331">
        <v>573</v>
      </c>
      <c r="F145" s="331">
        <v>711</v>
      </c>
      <c r="G145" s="331">
        <v>300</v>
      </c>
      <c r="H145" s="331">
        <v>5323</v>
      </c>
      <c r="I145" s="330">
        <v>5023</v>
      </c>
      <c r="J145" s="330">
        <v>0</v>
      </c>
      <c r="K145" s="332">
        <v>87.82</v>
      </c>
      <c r="L145" s="332">
        <v>88.06</v>
      </c>
      <c r="M145" s="332">
        <v>6.4</v>
      </c>
      <c r="N145" s="332">
        <v>92.67</v>
      </c>
      <c r="O145" s="333">
        <v>3011</v>
      </c>
      <c r="P145" s="330">
        <v>82.03</v>
      </c>
      <c r="Q145" s="330">
        <v>74.180000000000007</v>
      </c>
      <c r="R145" s="330">
        <v>59.17</v>
      </c>
      <c r="S145" s="330">
        <v>140.41</v>
      </c>
      <c r="T145" s="330">
        <v>1044</v>
      </c>
      <c r="U145" s="330">
        <v>98.15</v>
      </c>
      <c r="V145" s="330">
        <v>664</v>
      </c>
      <c r="W145" s="330">
        <v>100.03</v>
      </c>
      <c r="X145" s="330">
        <v>2</v>
      </c>
      <c r="Y145" s="330">
        <v>22</v>
      </c>
      <c r="Z145" s="330">
        <v>0</v>
      </c>
      <c r="AA145" s="330">
        <v>4</v>
      </c>
      <c r="AB145" s="330">
        <v>4</v>
      </c>
      <c r="AC145" s="330">
        <v>5</v>
      </c>
      <c r="AD145" s="334">
        <v>3625</v>
      </c>
      <c r="AE145" s="334">
        <v>19</v>
      </c>
      <c r="AF145" s="334">
        <v>13</v>
      </c>
      <c r="AG145" s="334">
        <v>32</v>
      </c>
    </row>
    <row r="146" spans="1:33" x14ac:dyDescent="0.35">
      <c r="A146" s="329" t="s">
        <v>348</v>
      </c>
      <c r="B146" s="335" t="s">
        <v>349</v>
      </c>
      <c r="C146" s="331">
        <v>6297</v>
      </c>
      <c r="D146" s="331">
        <v>0</v>
      </c>
      <c r="E146" s="331">
        <v>323</v>
      </c>
      <c r="F146" s="331">
        <v>638</v>
      </c>
      <c r="G146" s="331">
        <v>285</v>
      </c>
      <c r="H146" s="331">
        <v>7543</v>
      </c>
      <c r="I146" s="330">
        <v>7258</v>
      </c>
      <c r="J146" s="330">
        <v>80</v>
      </c>
      <c r="K146" s="332">
        <v>87.16</v>
      </c>
      <c r="L146" s="332">
        <v>85.33</v>
      </c>
      <c r="M146" s="332">
        <v>5.0999999999999996</v>
      </c>
      <c r="N146" s="332">
        <v>90.31</v>
      </c>
      <c r="O146" s="333">
        <v>5464</v>
      </c>
      <c r="P146" s="330">
        <v>76.760000000000005</v>
      </c>
      <c r="Q146" s="330">
        <v>76.510000000000005</v>
      </c>
      <c r="R146" s="330">
        <v>38.72</v>
      </c>
      <c r="S146" s="330">
        <v>113.45</v>
      </c>
      <c r="T146" s="330">
        <v>918</v>
      </c>
      <c r="U146" s="330">
        <v>120.29</v>
      </c>
      <c r="V146" s="330">
        <v>306</v>
      </c>
      <c r="W146" s="330">
        <v>94.74</v>
      </c>
      <c r="X146" s="330">
        <v>14</v>
      </c>
      <c r="Y146" s="330">
        <v>1</v>
      </c>
      <c r="Z146" s="330">
        <v>2</v>
      </c>
      <c r="AA146" s="330">
        <v>8</v>
      </c>
      <c r="AB146" s="330">
        <v>0</v>
      </c>
      <c r="AC146" s="330">
        <v>8</v>
      </c>
      <c r="AD146" s="334">
        <v>5848</v>
      </c>
      <c r="AE146" s="334">
        <v>12</v>
      </c>
      <c r="AF146" s="334">
        <v>17</v>
      </c>
      <c r="AG146" s="334">
        <v>29</v>
      </c>
    </row>
    <row r="147" spans="1:33" x14ac:dyDescent="0.35">
      <c r="A147" s="329" t="s">
        <v>350</v>
      </c>
      <c r="B147" s="335" t="s">
        <v>351</v>
      </c>
      <c r="C147" s="331">
        <v>54</v>
      </c>
      <c r="D147" s="331">
        <v>0</v>
      </c>
      <c r="E147" s="331">
        <v>0</v>
      </c>
      <c r="F147" s="331">
        <v>7</v>
      </c>
      <c r="G147" s="331">
        <v>0</v>
      </c>
      <c r="H147" s="331">
        <v>61</v>
      </c>
      <c r="I147" s="330">
        <v>61</v>
      </c>
      <c r="J147" s="330">
        <v>0</v>
      </c>
      <c r="K147" s="332">
        <v>98.41</v>
      </c>
      <c r="L147" s="332">
        <v>102.17</v>
      </c>
      <c r="M147" s="332">
        <v>2.8</v>
      </c>
      <c r="N147" s="332">
        <v>99.55</v>
      </c>
      <c r="O147" s="333">
        <v>27</v>
      </c>
      <c r="P147" s="330">
        <v>94.7</v>
      </c>
      <c r="Q147" s="330">
        <v>94.7</v>
      </c>
      <c r="R147" s="330">
        <v>19.010000000000002</v>
      </c>
      <c r="S147" s="330">
        <v>113.71</v>
      </c>
      <c r="T147" s="330">
        <v>7</v>
      </c>
      <c r="U147" s="330">
        <v>113.93</v>
      </c>
      <c r="V147" s="330">
        <v>2</v>
      </c>
      <c r="W147" s="330">
        <v>0</v>
      </c>
      <c r="X147" s="330">
        <v>0</v>
      </c>
      <c r="Y147" s="330">
        <v>0</v>
      </c>
      <c r="Z147" s="330">
        <v>0</v>
      </c>
      <c r="AA147" s="330">
        <v>0</v>
      </c>
      <c r="AB147" s="330">
        <v>0</v>
      </c>
      <c r="AC147" s="330">
        <v>0</v>
      </c>
      <c r="AD147" s="334">
        <v>27</v>
      </c>
      <c r="AE147" s="334">
        <v>0</v>
      </c>
      <c r="AF147" s="334">
        <v>0</v>
      </c>
      <c r="AG147" s="334">
        <v>0</v>
      </c>
    </row>
    <row r="148" spans="1:33" x14ac:dyDescent="0.35">
      <c r="A148" s="329" t="s">
        <v>352</v>
      </c>
      <c r="B148" s="335" t="s">
        <v>353</v>
      </c>
      <c r="C148" s="331">
        <v>14056</v>
      </c>
      <c r="D148" s="331">
        <v>339</v>
      </c>
      <c r="E148" s="331">
        <v>1137</v>
      </c>
      <c r="F148" s="331">
        <v>740</v>
      </c>
      <c r="G148" s="331">
        <v>1352</v>
      </c>
      <c r="H148" s="331">
        <v>17624</v>
      </c>
      <c r="I148" s="330">
        <v>16272</v>
      </c>
      <c r="J148" s="330">
        <v>99</v>
      </c>
      <c r="K148" s="332">
        <v>125.63</v>
      </c>
      <c r="L148" s="332">
        <v>133.16999999999999</v>
      </c>
      <c r="M148" s="332">
        <v>13.96</v>
      </c>
      <c r="N148" s="332">
        <v>136.61000000000001</v>
      </c>
      <c r="O148" s="333">
        <v>12264</v>
      </c>
      <c r="P148" s="330">
        <v>112.86</v>
      </c>
      <c r="Q148" s="330">
        <v>117.3</v>
      </c>
      <c r="R148" s="330">
        <v>70.489999999999995</v>
      </c>
      <c r="S148" s="330">
        <v>178.18</v>
      </c>
      <c r="T148" s="330">
        <v>1566</v>
      </c>
      <c r="U148" s="330">
        <v>185.06</v>
      </c>
      <c r="V148" s="330">
        <v>532</v>
      </c>
      <c r="W148" s="330">
        <v>177.92</v>
      </c>
      <c r="X148" s="330">
        <v>2</v>
      </c>
      <c r="Y148" s="330">
        <v>4</v>
      </c>
      <c r="Z148" s="330">
        <v>0</v>
      </c>
      <c r="AA148" s="330">
        <v>13</v>
      </c>
      <c r="AB148" s="330">
        <v>3</v>
      </c>
      <c r="AC148" s="330">
        <v>50</v>
      </c>
      <c r="AD148" s="334">
        <v>13045</v>
      </c>
      <c r="AE148" s="334">
        <v>103</v>
      </c>
      <c r="AF148" s="334">
        <v>115</v>
      </c>
      <c r="AG148" s="334">
        <v>218</v>
      </c>
    </row>
    <row r="149" spans="1:33" x14ac:dyDescent="0.35">
      <c r="A149" s="329" t="s">
        <v>354</v>
      </c>
      <c r="B149" s="335" t="s">
        <v>355</v>
      </c>
      <c r="C149" s="331">
        <v>10907</v>
      </c>
      <c r="D149" s="331">
        <v>142</v>
      </c>
      <c r="E149" s="331">
        <v>1034</v>
      </c>
      <c r="F149" s="331">
        <v>911</v>
      </c>
      <c r="G149" s="331">
        <v>570</v>
      </c>
      <c r="H149" s="331">
        <v>13564</v>
      </c>
      <c r="I149" s="330">
        <v>12994</v>
      </c>
      <c r="J149" s="330">
        <v>85</v>
      </c>
      <c r="K149" s="332">
        <v>125.09</v>
      </c>
      <c r="L149" s="332">
        <v>145.77000000000001</v>
      </c>
      <c r="M149" s="332">
        <v>12.61</v>
      </c>
      <c r="N149" s="332">
        <v>133.72</v>
      </c>
      <c r="O149" s="333">
        <v>9456</v>
      </c>
      <c r="P149" s="330">
        <v>117.18</v>
      </c>
      <c r="Q149" s="330">
        <v>122.15</v>
      </c>
      <c r="R149" s="330">
        <v>51.66</v>
      </c>
      <c r="S149" s="330">
        <v>154.18</v>
      </c>
      <c r="T149" s="330">
        <v>1532</v>
      </c>
      <c r="U149" s="330">
        <v>207.82</v>
      </c>
      <c r="V149" s="330">
        <v>619</v>
      </c>
      <c r="W149" s="330">
        <v>182.54</v>
      </c>
      <c r="X149" s="330">
        <v>32</v>
      </c>
      <c r="Y149" s="330">
        <v>0</v>
      </c>
      <c r="Z149" s="330">
        <v>0</v>
      </c>
      <c r="AA149" s="330">
        <v>13</v>
      </c>
      <c r="AB149" s="330">
        <v>0</v>
      </c>
      <c r="AC149" s="330">
        <v>19</v>
      </c>
      <c r="AD149" s="334">
        <v>10091</v>
      </c>
      <c r="AE149" s="334">
        <v>59</v>
      </c>
      <c r="AF149" s="334">
        <v>249</v>
      </c>
      <c r="AG149" s="334">
        <v>308</v>
      </c>
    </row>
    <row r="150" spans="1:33" x14ac:dyDescent="0.35">
      <c r="A150" s="329" t="s">
        <v>356</v>
      </c>
      <c r="B150" s="335" t="s">
        <v>357</v>
      </c>
      <c r="C150" s="331">
        <v>8487</v>
      </c>
      <c r="D150" s="331">
        <v>0</v>
      </c>
      <c r="E150" s="331">
        <v>277</v>
      </c>
      <c r="F150" s="331">
        <v>940</v>
      </c>
      <c r="G150" s="331">
        <v>226</v>
      </c>
      <c r="H150" s="331">
        <v>9930</v>
      </c>
      <c r="I150" s="330">
        <v>9704</v>
      </c>
      <c r="J150" s="330">
        <v>256</v>
      </c>
      <c r="K150" s="332">
        <v>82.31</v>
      </c>
      <c r="L150" s="332">
        <v>82.52</v>
      </c>
      <c r="M150" s="332">
        <v>4.3</v>
      </c>
      <c r="N150" s="332">
        <v>83.8</v>
      </c>
      <c r="O150" s="333">
        <v>7766</v>
      </c>
      <c r="P150" s="330">
        <v>85.01</v>
      </c>
      <c r="Q150" s="330">
        <v>78.459999999999994</v>
      </c>
      <c r="R150" s="330">
        <v>27.68</v>
      </c>
      <c r="S150" s="330">
        <v>110.84</v>
      </c>
      <c r="T150" s="330">
        <v>1165</v>
      </c>
      <c r="U150" s="330">
        <v>102.49</v>
      </c>
      <c r="V150" s="330">
        <v>676</v>
      </c>
      <c r="W150" s="330">
        <v>93.98</v>
      </c>
      <c r="X150" s="330">
        <v>10</v>
      </c>
      <c r="Y150" s="330">
        <v>38</v>
      </c>
      <c r="Z150" s="330">
        <v>15</v>
      </c>
      <c r="AA150" s="330">
        <v>6</v>
      </c>
      <c r="AB150" s="330">
        <v>12</v>
      </c>
      <c r="AC150" s="330">
        <v>8</v>
      </c>
      <c r="AD150" s="334">
        <v>8472</v>
      </c>
      <c r="AE150" s="334">
        <v>26</v>
      </c>
      <c r="AF150" s="334">
        <v>78</v>
      </c>
      <c r="AG150" s="334">
        <v>104</v>
      </c>
    </row>
    <row r="151" spans="1:33" x14ac:dyDescent="0.35">
      <c r="A151" s="329" t="s">
        <v>358</v>
      </c>
      <c r="B151" s="335" t="s">
        <v>359</v>
      </c>
      <c r="C151" s="331">
        <v>7324</v>
      </c>
      <c r="D151" s="331">
        <v>0</v>
      </c>
      <c r="E151" s="331">
        <v>871</v>
      </c>
      <c r="F151" s="331">
        <v>1161</v>
      </c>
      <c r="G151" s="331">
        <v>335</v>
      </c>
      <c r="H151" s="331">
        <v>9691</v>
      </c>
      <c r="I151" s="330">
        <v>9356</v>
      </c>
      <c r="J151" s="330">
        <v>4</v>
      </c>
      <c r="K151" s="332">
        <v>80.930000000000007</v>
      </c>
      <c r="L151" s="332">
        <v>79.77</v>
      </c>
      <c r="M151" s="332">
        <v>7.04</v>
      </c>
      <c r="N151" s="332">
        <v>86.51</v>
      </c>
      <c r="O151" s="333">
        <v>6177</v>
      </c>
      <c r="P151" s="330">
        <v>78.099999999999994</v>
      </c>
      <c r="Q151" s="330">
        <v>76.08</v>
      </c>
      <c r="R151" s="330">
        <v>51.76</v>
      </c>
      <c r="S151" s="330">
        <v>128.24</v>
      </c>
      <c r="T151" s="330">
        <v>1536</v>
      </c>
      <c r="U151" s="330">
        <v>94.43</v>
      </c>
      <c r="V151" s="330">
        <v>939</v>
      </c>
      <c r="W151" s="330">
        <v>231.92</v>
      </c>
      <c r="X151" s="330">
        <v>30</v>
      </c>
      <c r="Y151" s="330">
        <v>0</v>
      </c>
      <c r="Z151" s="330">
        <v>5</v>
      </c>
      <c r="AA151" s="330">
        <v>8</v>
      </c>
      <c r="AB151" s="330">
        <v>17</v>
      </c>
      <c r="AC151" s="330">
        <v>2</v>
      </c>
      <c r="AD151" s="334">
        <v>7103</v>
      </c>
      <c r="AE151" s="334">
        <v>68</v>
      </c>
      <c r="AF151" s="334">
        <v>40</v>
      </c>
      <c r="AG151" s="334">
        <v>108</v>
      </c>
    </row>
    <row r="152" spans="1:33" x14ac:dyDescent="0.35">
      <c r="A152" s="329" t="s">
        <v>360</v>
      </c>
      <c r="B152" s="335" t="s">
        <v>361</v>
      </c>
      <c r="C152" s="331">
        <v>2167</v>
      </c>
      <c r="D152" s="331">
        <v>88</v>
      </c>
      <c r="E152" s="331">
        <v>294</v>
      </c>
      <c r="F152" s="331">
        <v>218</v>
      </c>
      <c r="G152" s="331">
        <v>369</v>
      </c>
      <c r="H152" s="331">
        <v>3136</v>
      </c>
      <c r="I152" s="330">
        <v>2767</v>
      </c>
      <c r="J152" s="330">
        <v>14</v>
      </c>
      <c r="K152" s="332">
        <v>127</v>
      </c>
      <c r="L152" s="332">
        <v>128.53</v>
      </c>
      <c r="M152" s="332">
        <v>10.18</v>
      </c>
      <c r="N152" s="332">
        <v>135.81</v>
      </c>
      <c r="O152" s="333">
        <v>1561</v>
      </c>
      <c r="P152" s="330">
        <v>126.1</v>
      </c>
      <c r="Q152" s="330">
        <v>105.09</v>
      </c>
      <c r="R152" s="330">
        <v>41.99</v>
      </c>
      <c r="S152" s="330">
        <v>168.09</v>
      </c>
      <c r="T152" s="330">
        <v>323</v>
      </c>
      <c r="U152" s="330">
        <v>217.66</v>
      </c>
      <c r="V152" s="330">
        <v>335</v>
      </c>
      <c r="W152" s="330">
        <v>0</v>
      </c>
      <c r="X152" s="330">
        <v>0</v>
      </c>
      <c r="Y152" s="330">
        <v>0</v>
      </c>
      <c r="Z152" s="330">
        <v>1</v>
      </c>
      <c r="AA152" s="330">
        <v>0</v>
      </c>
      <c r="AB152" s="330">
        <v>28</v>
      </c>
      <c r="AC152" s="330">
        <v>10</v>
      </c>
      <c r="AD152" s="334">
        <v>1900</v>
      </c>
      <c r="AE152" s="334">
        <v>21</v>
      </c>
      <c r="AF152" s="334">
        <v>7</v>
      </c>
      <c r="AG152" s="334">
        <v>28</v>
      </c>
    </row>
    <row r="153" spans="1:33" x14ac:dyDescent="0.35">
      <c r="A153" s="329" t="s">
        <v>362</v>
      </c>
      <c r="B153" s="335" t="s">
        <v>363</v>
      </c>
      <c r="C153" s="331">
        <v>4251</v>
      </c>
      <c r="D153" s="331">
        <v>3</v>
      </c>
      <c r="E153" s="331">
        <v>435</v>
      </c>
      <c r="F153" s="331">
        <v>1304</v>
      </c>
      <c r="G153" s="331">
        <v>368</v>
      </c>
      <c r="H153" s="331">
        <v>6361</v>
      </c>
      <c r="I153" s="330">
        <v>5993</v>
      </c>
      <c r="J153" s="330">
        <v>6</v>
      </c>
      <c r="K153" s="332">
        <v>84.02</v>
      </c>
      <c r="L153" s="332">
        <v>81.489999999999995</v>
      </c>
      <c r="M153" s="332">
        <v>4.6100000000000003</v>
      </c>
      <c r="N153" s="332">
        <v>87.49</v>
      </c>
      <c r="O153" s="333">
        <v>3534</v>
      </c>
      <c r="P153" s="330">
        <v>79.14</v>
      </c>
      <c r="Q153" s="330">
        <v>76.14</v>
      </c>
      <c r="R153" s="330">
        <v>37.56</v>
      </c>
      <c r="S153" s="330">
        <v>116.08</v>
      </c>
      <c r="T153" s="330">
        <v>1520</v>
      </c>
      <c r="U153" s="330">
        <v>94.75</v>
      </c>
      <c r="V153" s="330">
        <v>550</v>
      </c>
      <c r="W153" s="330">
        <v>109.46</v>
      </c>
      <c r="X153" s="330">
        <v>31</v>
      </c>
      <c r="Y153" s="330">
        <v>0</v>
      </c>
      <c r="Z153" s="330">
        <v>5</v>
      </c>
      <c r="AA153" s="330">
        <v>5</v>
      </c>
      <c r="AB153" s="330">
        <v>39</v>
      </c>
      <c r="AC153" s="330">
        <v>10</v>
      </c>
      <c r="AD153" s="334">
        <v>4206</v>
      </c>
      <c r="AE153" s="334">
        <v>31</v>
      </c>
      <c r="AF153" s="334">
        <v>9</v>
      </c>
      <c r="AG153" s="334">
        <v>40</v>
      </c>
    </row>
    <row r="154" spans="1:33" x14ac:dyDescent="0.35">
      <c r="A154" s="329" t="s">
        <v>364</v>
      </c>
      <c r="B154" s="335" t="s">
        <v>365</v>
      </c>
      <c r="C154" s="331">
        <v>16143</v>
      </c>
      <c r="D154" s="331">
        <v>9</v>
      </c>
      <c r="E154" s="331">
        <v>689</v>
      </c>
      <c r="F154" s="331">
        <v>1440</v>
      </c>
      <c r="G154" s="331">
        <v>429</v>
      </c>
      <c r="H154" s="331">
        <v>18710</v>
      </c>
      <c r="I154" s="330">
        <v>18281</v>
      </c>
      <c r="J154" s="330">
        <v>2</v>
      </c>
      <c r="K154" s="332">
        <v>82.72</v>
      </c>
      <c r="L154" s="332">
        <v>82.62</v>
      </c>
      <c r="M154" s="332">
        <v>11.44</v>
      </c>
      <c r="N154" s="332">
        <v>85.44</v>
      </c>
      <c r="O154" s="333">
        <v>14666</v>
      </c>
      <c r="P154" s="330">
        <v>83.56</v>
      </c>
      <c r="Q154" s="330">
        <v>74.59</v>
      </c>
      <c r="R154" s="330">
        <v>30.09</v>
      </c>
      <c r="S154" s="330">
        <v>112.94</v>
      </c>
      <c r="T154" s="330">
        <v>1657</v>
      </c>
      <c r="U154" s="330">
        <v>104.52</v>
      </c>
      <c r="V154" s="330">
        <v>1203</v>
      </c>
      <c r="W154" s="330">
        <v>141.44999999999999</v>
      </c>
      <c r="X154" s="330">
        <v>322</v>
      </c>
      <c r="Y154" s="330">
        <v>17</v>
      </c>
      <c r="Z154" s="330">
        <v>101</v>
      </c>
      <c r="AA154" s="330">
        <v>0</v>
      </c>
      <c r="AB154" s="330">
        <v>59</v>
      </c>
      <c r="AC154" s="330">
        <v>4</v>
      </c>
      <c r="AD154" s="334">
        <v>15981</v>
      </c>
      <c r="AE154" s="334">
        <v>140</v>
      </c>
      <c r="AF154" s="334">
        <v>323</v>
      </c>
      <c r="AG154" s="334">
        <v>463</v>
      </c>
    </row>
    <row r="155" spans="1:33" x14ac:dyDescent="0.35">
      <c r="A155" s="329" t="s">
        <v>366</v>
      </c>
      <c r="B155" s="335" t="s">
        <v>367</v>
      </c>
      <c r="C155" s="331">
        <v>21339</v>
      </c>
      <c r="D155" s="331">
        <v>79</v>
      </c>
      <c r="E155" s="331">
        <v>1956</v>
      </c>
      <c r="F155" s="331">
        <v>1361</v>
      </c>
      <c r="G155" s="331">
        <v>2242</v>
      </c>
      <c r="H155" s="331">
        <v>26977</v>
      </c>
      <c r="I155" s="330">
        <v>24735</v>
      </c>
      <c r="J155" s="330">
        <v>48</v>
      </c>
      <c r="K155" s="332">
        <v>116.47</v>
      </c>
      <c r="L155" s="332">
        <v>123.53</v>
      </c>
      <c r="M155" s="332">
        <v>14.17</v>
      </c>
      <c r="N155" s="332">
        <v>128.24</v>
      </c>
      <c r="O155" s="333">
        <v>18669</v>
      </c>
      <c r="P155" s="330">
        <v>107.67</v>
      </c>
      <c r="Q155" s="330">
        <v>108.64</v>
      </c>
      <c r="R155" s="330">
        <v>49.28</v>
      </c>
      <c r="S155" s="330">
        <v>153.41999999999999</v>
      </c>
      <c r="T155" s="330">
        <v>2817</v>
      </c>
      <c r="U155" s="330">
        <v>195.59</v>
      </c>
      <c r="V155" s="330">
        <v>1316</v>
      </c>
      <c r="W155" s="330">
        <v>187.2</v>
      </c>
      <c r="X155" s="330">
        <v>67</v>
      </c>
      <c r="Y155" s="330">
        <v>45</v>
      </c>
      <c r="Z155" s="330">
        <v>4</v>
      </c>
      <c r="AA155" s="330">
        <v>28</v>
      </c>
      <c r="AB155" s="330">
        <v>109</v>
      </c>
      <c r="AC155" s="330">
        <v>80</v>
      </c>
      <c r="AD155" s="334">
        <v>20090</v>
      </c>
      <c r="AE155" s="334">
        <v>75</v>
      </c>
      <c r="AF155" s="334">
        <v>132</v>
      </c>
      <c r="AG155" s="334">
        <v>207</v>
      </c>
    </row>
    <row r="156" spans="1:33" x14ac:dyDescent="0.35">
      <c r="A156" s="329" t="s">
        <v>368</v>
      </c>
      <c r="B156" s="335" t="s">
        <v>369</v>
      </c>
      <c r="C156" s="331">
        <v>1992</v>
      </c>
      <c r="D156" s="331">
        <v>0</v>
      </c>
      <c r="E156" s="331">
        <v>383</v>
      </c>
      <c r="F156" s="331">
        <v>494</v>
      </c>
      <c r="G156" s="331">
        <v>264</v>
      </c>
      <c r="H156" s="331">
        <v>3133</v>
      </c>
      <c r="I156" s="330">
        <v>2869</v>
      </c>
      <c r="J156" s="330">
        <v>1</v>
      </c>
      <c r="K156" s="332">
        <v>82.96</v>
      </c>
      <c r="L156" s="332">
        <v>79.11</v>
      </c>
      <c r="M156" s="332">
        <v>6</v>
      </c>
      <c r="N156" s="332">
        <v>88.14</v>
      </c>
      <c r="O156" s="333">
        <v>1306</v>
      </c>
      <c r="P156" s="330">
        <v>88.74</v>
      </c>
      <c r="Q156" s="330">
        <v>73.290000000000006</v>
      </c>
      <c r="R156" s="330">
        <v>59.11</v>
      </c>
      <c r="S156" s="330">
        <v>145.93</v>
      </c>
      <c r="T156" s="330">
        <v>741</v>
      </c>
      <c r="U156" s="330">
        <v>102.31</v>
      </c>
      <c r="V156" s="330">
        <v>613</v>
      </c>
      <c r="W156" s="330">
        <v>132.01</v>
      </c>
      <c r="X156" s="330">
        <v>12</v>
      </c>
      <c r="Y156" s="330">
        <v>0</v>
      </c>
      <c r="Z156" s="330">
        <v>3</v>
      </c>
      <c r="AA156" s="330">
        <v>0</v>
      </c>
      <c r="AB156" s="330">
        <v>2</v>
      </c>
      <c r="AC156" s="330">
        <v>6</v>
      </c>
      <c r="AD156" s="334">
        <v>1946</v>
      </c>
      <c r="AE156" s="334">
        <v>14</v>
      </c>
      <c r="AF156" s="334">
        <v>13</v>
      </c>
      <c r="AG156" s="334">
        <v>27</v>
      </c>
    </row>
    <row r="157" spans="1:33" x14ac:dyDescent="0.35">
      <c r="A157" s="329" t="s">
        <v>370</v>
      </c>
      <c r="B157" s="335" t="s">
        <v>371</v>
      </c>
      <c r="C157" s="331">
        <v>13274</v>
      </c>
      <c r="D157" s="331">
        <v>8</v>
      </c>
      <c r="E157" s="331">
        <v>1310</v>
      </c>
      <c r="F157" s="331">
        <v>2728</v>
      </c>
      <c r="G157" s="331">
        <v>1426</v>
      </c>
      <c r="H157" s="331">
        <v>18746</v>
      </c>
      <c r="I157" s="330">
        <v>17320</v>
      </c>
      <c r="J157" s="330">
        <v>36</v>
      </c>
      <c r="K157" s="332">
        <v>82.44</v>
      </c>
      <c r="L157" s="332">
        <v>81.56</v>
      </c>
      <c r="M157" s="332">
        <v>7.02</v>
      </c>
      <c r="N157" s="332">
        <v>86.86</v>
      </c>
      <c r="O157" s="333">
        <v>11075</v>
      </c>
      <c r="P157" s="330">
        <v>93.37</v>
      </c>
      <c r="Q157" s="330">
        <v>76.14</v>
      </c>
      <c r="R157" s="330">
        <v>48.54</v>
      </c>
      <c r="S157" s="330">
        <v>139.9</v>
      </c>
      <c r="T157" s="330">
        <v>3196</v>
      </c>
      <c r="U157" s="330">
        <v>105.69</v>
      </c>
      <c r="V157" s="330">
        <v>1336</v>
      </c>
      <c r="W157" s="330">
        <v>109.35</v>
      </c>
      <c r="X157" s="330">
        <v>23</v>
      </c>
      <c r="Y157" s="330">
        <v>0</v>
      </c>
      <c r="Z157" s="330">
        <v>15</v>
      </c>
      <c r="AA157" s="330">
        <v>31</v>
      </c>
      <c r="AB157" s="330">
        <v>183</v>
      </c>
      <c r="AC157" s="330">
        <v>44</v>
      </c>
      <c r="AD157" s="334">
        <v>12903</v>
      </c>
      <c r="AE157" s="334">
        <v>103</v>
      </c>
      <c r="AF157" s="334">
        <v>54</v>
      </c>
      <c r="AG157" s="334">
        <v>157</v>
      </c>
    </row>
    <row r="158" spans="1:33" x14ac:dyDescent="0.35">
      <c r="A158" s="329" t="s">
        <v>372</v>
      </c>
      <c r="B158" s="335" t="s">
        <v>373</v>
      </c>
      <c r="C158" s="331">
        <v>8992</v>
      </c>
      <c r="D158" s="331">
        <v>0</v>
      </c>
      <c r="E158" s="331">
        <v>936</v>
      </c>
      <c r="F158" s="331">
        <v>972</v>
      </c>
      <c r="G158" s="331">
        <v>597</v>
      </c>
      <c r="H158" s="331">
        <v>11497</v>
      </c>
      <c r="I158" s="330">
        <v>10900</v>
      </c>
      <c r="J158" s="330">
        <v>388</v>
      </c>
      <c r="K158" s="332">
        <v>82.63</v>
      </c>
      <c r="L158" s="332">
        <v>81.290000000000006</v>
      </c>
      <c r="M158" s="332">
        <v>8.51</v>
      </c>
      <c r="N158" s="332">
        <v>88.44</v>
      </c>
      <c r="O158" s="333">
        <v>7039</v>
      </c>
      <c r="P158" s="330">
        <v>84.95</v>
      </c>
      <c r="Q158" s="330">
        <v>77.98</v>
      </c>
      <c r="R158" s="330">
        <v>66.86</v>
      </c>
      <c r="S158" s="330">
        <v>149.97999999999999</v>
      </c>
      <c r="T158" s="330">
        <v>1501</v>
      </c>
      <c r="U158" s="330">
        <v>109.19</v>
      </c>
      <c r="V158" s="330">
        <v>1067</v>
      </c>
      <c r="W158" s="330">
        <v>133.9</v>
      </c>
      <c r="X158" s="330">
        <v>86</v>
      </c>
      <c r="Y158" s="330">
        <v>1</v>
      </c>
      <c r="Z158" s="330">
        <v>146</v>
      </c>
      <c r="AA158" s="330">
        <v>23</v>
      </c>
      <c r="AB158" s="330">
        <v>86</v>
      </c>
      <c r="AC158" s="330">
        <v>9</v>
      </c>
      <c r="AD158" s="334">
        <v>8273</v>
      </c>
      <c r="AE158" s="334">
        <v>58</v>
      </c>
      <c r="AF158" s="334">
        <v>28</v>
      </c>
      <c r="AG158" s="334">
        <v>86</v>
      </c>
    </row>
    <row r="159" spans="1:33" x14ac:dyDescent="0.35">
      <c r="A159" s="329" t="s">
        <v>374</v>
      </c>
      <c r="B159" s="335" t="s">
        <v>375</v>
      </c>
      <c r="C159" s="331">
        <v>1047</v>
      </c>
      <c r="D159" s="331">
        <v>0</v>
      </c>
      <c r="E159" s="331">
        <v>164</v>
      </c>
      <c r="F159" s="331">
        <v>427</v>
      </c>
      <c r="G159" s="331">
        <v>301</v>
      </c>
      <c r="H159" s="331">
        <v>1939</v>
      </c>
      <c r="I159" s="330">
        <v>1638</v>
      </c>
      <c r="J159" s="330">
        <v>1</v>
      </c>
      <c r="K159" s="332">
        <v>92.61</v>
      </c>
      <c r="L159" s="332">
        <v>91.5</v>
      </c>
      <c r="M159" s="332">
        <v>8.1</v>
      </c>
      <c r="N159" s="332">
        <v>99.68</v>
      </c>
      <c r="O159" s="333">
        <v>862</v>
      </c>
      <c r="P159" s="330">
        <v>79.22</v>
      </c>
      <c r="Q159" s="330">
        <v>77.63</v>
      </c>
      <c r="R159" s="330">
        <v>54.53</v>
      </c>
      <c r="S159" s="330">
        <v>133.38</v>
      </c>
      <c r="T159" s="330">
        <v>300</v>
      </c>
      <c r="U159" s="330">
        <v>159.05000000000001</v>
      </c>
      <c r="V159" s="330">
        <v>160</v>
      </c>
      <c r="W159" s="330">
        <v>149.07</v>
      </c>
      <c r="X159" s="330">
        <v>9</v>
      </c>
      <c r="Y159" s="330">
        <v>0</v>
      </c>
      <c r="Z159" s="330">
        <v>0</v>
      </c>
      <c r="AA159" s="330">
        <v>2</v>
      </c>
      <c r="AB159" s="330">
        <v>15</v>
      </c>
      <c r="AC159" s="330">
        <v>7</v>
      </c>
      <c r="AD159" s="334">
        <v>1033</v>
      </c>
      <c r="AE159" s="334">
        <v>14</v>
      </c>
      <c r="AF159" s="334">
        <v>6</v>
      </c>
      <c r="AG159" s="334">
        <v>20</v>
      </c>
    </row>
    <row r="160" spans="1:33" x14ac:dyDescent="0.35">
      <c r="A160" s="329" t="s">
        <v>376</v>
      </c>
      <c r="B160" s="335" t="s">
        <v>377</v>
      </c>
      <c r="C160" s="331">
        <v>21108</v>
      </c>
      <c r="D160" s="331">
        <v>228</v>
      </c>
      <c r="E160" s="331">
        <v>1355</v>
      </c>
      <c r="F160" s="331">
        <v>631</v>
      </c>
      <c r="G160" s="331">
        <v>1856</v>
      </c>
      <c r="H160" s="331">
        <v>25178</v>
      </c>
      <c r="I160" s="330">
        <v>23322</v>
      </c>
      <c r="J160" s="330">
        <v>34</v>
      </c>
      <c r="K160" s="332">
        <v>107.96</v>
      </c>
      <c r="L160" s="332">
        <v>110.36</v>
      </c>
      <c r="M160" s="332">
        <v>11.77</v>
      </c>
      <c r="N160" s="332">
        <v>114.88</v>
      </c>
      <c r="O160" s="333">
        <v>18433</v>
      </c>
      <c r="P160" s="330">
        <v>104.31</v>
      </c>
      <c r="Q160" s="330">
        <v>102.15</v>
      </c>
      <c r="R160" s="330">
        <v>67.2</v>
      </c>
      <c r="S160" s="330">
        <v>165.76</v>
      </c>
      <c r="T160" s="330">
        <v>1612</v>
      </c>
      <c r="U160" s="330">
        <v>177.52</v>
      </c>
      <c r="V160" s="330">
        <v>1545</v>
      </c>
      <c r="W160" s="330">
        <v>261.63</v>
      </c>
      <c r="X160" s="330">
        <v>128</v>
      </c>
      <c r="Y160" s="330">
        <v>33</v>
      </c>
      <c r="Z160" s="330">
        <v>24</v>
      </c>
      <c r="AA160" s="330">
        <v>24</v>
      </c>
      <c r="AB160" s="330">
        <v>82</v>
      </c>
      <c r="AC160" s="330">
        <v>74</v>
      </c>
      <c r="AD160" s="334">
        <v>20108</v>
      </c>
      <c r="AE160" s="334">
        <v>196</v>
      </c>
      <c r="AF160" s="334">
        <v>94</v>
      </c>
      <c r="AG160" s="334">
        <v>290</v>
      </c>
    </row>
    <row r="161" spans="1:33" x14ac:dyDescent="0.35">
      <c r="A161" s="329" t="s">
        <v>378</v>
      </c>
      <c r="B161" s="335" t="s">
        <v>379</v>
      </c>
      <c r="C161" s="331">
        <v>5503</v>
      </c>
      <c r="D161" s="331">
        <v>15</v>
      </c>
      <c r="E161" s="331">
        <v>127</v>
      </c>
      <c r="F161" s="331">
        <v>269</v>
      </c>
      <c r="G161" s="331">
        <v>379</v>
      </c>
      <c r="H161" s="331">
        <v>6293</v>
      </c>
      <c r="I161" s="330">
        <v>5914</v>
      </c>
      <c r="J161" s="330">
        <v>1</v>
      </c>
      <c r="K161" s="332">
        <v>87.09</v>
      </c>
      <c r="L161" s="332">
        <v>83.55</v>
      </c>
      <c r="M161" s="332">
        <v>3.11</v>
      </c>
      <c r="N161" s="332">
        <v>89.36</v>
      </c>
      <c r="O161" s="333">
        <v>4997</v>
      </c>
      <c r="P161" s="330">
        <v>97.86</v>
      </c>
      <c r="Q161" s="330">
        <v>88.91</v>
      </c>
      <c r="R161" s="330">
        <v>35.31</v>
      </c>
      <c r="S161" s="330">
        <v>131.56</v>
      </c>
      <c r="T161" s="330">
        <v>396</v>
      </c>
      <c r="U161" s="330">
        <v>108.98</v>
      </c>
      <c r="V161" s="330">
        <v>496</v>
      </c>
      <c r="W161" s="330">
        <v>0</v>
      </c>
      <c r="X161" s="330">
        <v>0</v>
      </c>
      <c r="Y161" s="330">
        <v>0</v>
      </c>
      <c r="Z161" s="330">
        <v>26</v>
      </c>
      <c r="AA161" s="330">
        <v>3</v>
      </c>
      <c r="AB161" s="330">
        <v>42</v>
      </c>
      <c r="AC161" s="330">
        <v>8</v>
      </c>
      <c r="AD161" s="334">
        <v>5501</v>
      </c>
      <c r="AE161" s="334">
        <v>25</v>
      </c>
      <c r="AF161" s="334">
        <v>37</v>
      </c>
      <c r="AG161" s="334">
        <v>62</v>
      </c>
    </row>
    <row r="162" spans="1:33" x14ac:dyDescent="0.35">
      <c r="A162" s="329" t="s">
        <v>380</v>
      </c>
      <c r="B162" s="335" t="s">
        <v>381</v>
      </c>
      <c r="C162" s="331">
        <v>1331</v>
      </c>
      <c r="D162" s="331">
        <v>0</v>
      </c>
      <c r="E162" s="331">
        <v>478</v>
      </c>
      <c r="F162" s="331">
        <v>148</v>
      </c>
      <c r="G162" s="331">
        <v>264</v>
      </c>
      <c r="H162" s="331">
        <v>2221</v>
      </c>
      <c r="I162" s="330">
        <v>1957</v>
      </c>
      <c r="J162" s="330">
        <v>12</v>
      </c>
      <c r="K162" s="332">
        <v>79.400000000000006</v>
      </c>
      <c r="L162" s="332">
        <v>78.16</v>
      </c>
      <c r="M162" s="332">
        <v>8.76</v>
      </c>
      <c r="N162" s="332">
        <v>86.02</v>
      </c>
      <c r="O162" s="333">
        <v>1016</v>
      </c>
      <c r="P162" s="330">
        <v>90.02</v>
      </c>
      <c r="Q162" s="330">
        <v>79.989999999999995</v>
      </c>
      <c r="R162" s="330">
        <v>106.13</v>
      </c>
      <c r="S162" s="330">
        <v>196.16</v>
      </c>
      <c r="T162" s="330">
        <v>292</v>
      </c>
      <c r="U162" s="330">
        <v>96.72</v>
      </c>
      <c r="V162" s="330">
        <v>200</v>
      </c>
      <c r="W162" s="330">
        <v>280</v>
      </c>
      <c r="X162" s="330">
        <v>31</v>
      </c>
      <c r="Y162" s="330">
        <v>0</v>
      </c>
      <c r="Z162" s="330">
        <v>2</v>
      </c>
      <c r="AA162" s="330">
        <v>0</v>
      </c>
      <c r="AB162" s="330">
        <v>7</v>
      </c>
      <c r="AC162" s="330">
        <v>2</v>
      </c>
      <c r="AD162" s="334">
        <v>1298</v>
      </c>
      <c r="AE162" s="334">
        <v>9</v>
      </c>
      <c r="AF162" s="334">
        <v>6</v>
      </c>
      <c r="AG162" s="334">
        <v>15</v>
      </c>
    </row>
    <row r="163" spans="1:33" x14ac:dyDescent="0.35">
      <c r="A163" s="329" t="s">
        <v>382</v>
      </c>
      <c r="B163" s="335" t="s">
        <v>383</v>
      </c>
      <c r="C163" s="331">
        <v>52235</v>
      </c>
      <c r="D163" s="331">
        <v>24</v>
      </c>
      <c r="E163" s="331">
        <v>2500</v>
      </c>
      <c r="F163" s="331">
        <v>3780</v>
      </c>
      <c r="G163" s="331">
        <v>814</v>
      </c>
      <c r="H163" s="331">
        <v>59353</v>
      </c>
      <c r="I163" s="330">
        <v>58539</v>
      </c>
      <c r="J163" s="330">
        <v>100</v>
      </c>
      <c r="K163" s="332">
        <v>82.33</v>
      </c>
      <c r="L163" s="332">
        <v>81.760000000000005</v>
      </c>
      <c r="M163" s="332">
        <v>8.81</v>
      </c>
      <c r="N163" s="332">
        <v>84.71</v>
      </c>
      <c r="O163" s="333">
        <v>43764</v>
      </c>
      <c r="P163" s="330">
        <v>84.33</v>
      </c>
      <c r="Q163" s="330">
        <v>77.290000000000006</v>
      </c>
      <c r="R163" s="330">
        <v>46.45</v>
      </c>
      <c r="S163" s="330">
        <v>130.07</v>
      </c>
      <c r="T163" s="330">
        <v>4910</v>
      </c>
      <c r="U163" s="330">
        <v>100.4</v>
      </c>
      <c r="V163" s="330">
        <v>5737</v>
      </c>
      <c r="W163" s="330">
        <v>141.71</v>
      </c>
      <c r="X163" s="330">
        <v>111</v>
      </c>
      <c r="Y163" s="330">
        <v>8</v>
      </c>
      <c r="Z163" s="330">
        <v>194</v>
      </c>
      <c r="AA163" s="330">
        <v>45</v>
      </c>
      <c r="AB163" s="330">
        <v>95</v>
      </c>
      <c r="AC163" s="330">
        <v>20</v>
      </c>
      <c r="AD163" s="334">
        <v>49612</v>
      </c>
      <c r="AE163" s="334">
        <v>341</v>
      </c>
      <c r="AF163" s="334">
        <v>308</v>
      </c>
      <c r="AG163" s="334">
        <v>649</v>
      </c>
    </row>
    <row r="164" spans="1:33" x14ac:dyDescent="0.35">
      <c r="A164" s="329" t="s">
        <v>384</v>
      </c>
      <c r="B164" s="335" t="s">
        <v>385</v>
      </c>
      <c r="C164" s="331">
        <v>3847</v>
      </c>
      <c r="D164" s="331">
        <v>171</v>
      </c>
      <c r="E164" s="331">
        <v>343</v>
      </c>
      <c r="F164" s="331">
        <v>390</v>
      </c>
      <c r="G164" s="331">
        <v>246</v>
      </c>
      <c r="H164" s="331">
        <v>4997</v>
      </c>
      <c r="I164" s="330">
        <v>4751</v>
      </c>
      <c r="J164" s="330">
        <v>26</v>
      </c>
      <c r="K164" s="332">
        <v>99.37</v>
      </c>
      <c r="L164" s="332">
        <v>98.93</v>
      </c>
      <c r="M164" s="332">
        <v>5.85</v>
      </c>
      <c r="N164" s="332">
        <v>103.73</v>
      </c>
      <c r="O164" s="333">
        <v>2800</v>
      </c>
      <c r="P164" s="330">
        <v>99.01</v>
      </c>
      <c r="Q164" s="330">
        <v>97.71</v>
      </c>
      <c r="R164" s="330">
        <v>45.98</v>
      </c>
      <c r="S164" s="330">
        <v>143.07</v>
      </c>
      <c r="T164" s="330">
        <v>430</v>
      </c>
      <c r="U164" s="330">
        <v>138.68</v>
      </c>
      <c r="V164" s="330">
        <v>532</v>
      </c>
      <c r="W164" s="330">
        <v>171.7</v>
      </c>
      <c r="X164" s="330">
        <v>8</v>
      </c>
      <c r="Y164" s="330">
        <v>0</v>
      </c>
      <c r="Z164" s="330">
        <v>3</v>
      </c>
      <c r="AA164" s="330">
        <v>1</v>
      </c>
      <c r="AB164" s="330">
        <v>40</v>
      </c>
      <c r="AC164" s="330">
        <v>5</v>
      </c>
      <c r="AD164" s="334">
        <v>3464</v>
      </c>
      <c r="AE164" s="334">
        <v>22</v>
      </c>
      <c r="AF164" s="334">
        <v>8</v>
      </c>
      <c r="AG164" s="334">
        <v>30</v>
      </c>
    </row>
    <row r="165" spans="1:33" x14ac:dyDescent="0.35">
      <c r="A165" s="329" t="s">
        <v>386</v>
      </c>
      <c r="B165" s="335" t="s">
        <v>387</v>
      </c>
      <c r="C165" s="331">
        <v>7954</v>
      </c>
      <c r="D165" s="331">
        <v>0</v>
      </c>
      <c r="E165" s="331">
        <v>349</v>
      </c>
      <c r="F165" s="331">
        <v>1149</v>
      </c>
      <c r="G165" s="331">
        <v>1010</v>
      </c>
      <c r="H165" s="331">
        <v>10462</v>
      </c>
      <c r="I165" s="330">
        <v>9452</v>
      </c>
      <c r="J165" s="330">
        <v>1134</v>
      </c>
      <c r="K165" s="332">
        <v>94.84</v>
      </c>
      <c r="L165" s="332">
        <v>93.82</v>
      </c>
      <c r="M165" s="332">
        <v>5.86</v>
      </c>
      <c r="N165" s="332">
        <v>99.32</v>
      </c>
      <c r="O165" s="333">
        <v>6023</v>
      </c>
      <c r="P165" s="330">
        <v>87.64</v>
      </c>
      <c r="Q165" s="330">
        <v>85.22</v>
      </c>
      <c r="R165" s="330">
        <v>23.95</v>
      </c>
      <c r="S165" s="330">
        <v>109.56</v>
      </c>
      <c r="T165" s="330">
        <v>1307</v>
      </c>
      <c r="U165" s="330">
        <v>155.66</v>
      </c>
      <c r="V165" s="330">
        <v>1580</v>
      </c>
      <c r="W165" s="330">
        <v>199.48</v>
      </c>
      <c r="X165" s="330">
        <v>70</v>
      </c>
      <c r="Y165" s="330">
        <v>118</v>
      </c>
      <c r="Z165" s="330">
        <v>13</v>
      </c>
      <c r="AA165" s="330">
        <v>0</v>
      </c>
      <c r="AB165" s="330">
        <v>92</v>
      </c>
      <c r="AC165" s="330">
        <v>12</v>
      </c>
      <c r="AD165" s="334">
        <v>7508</v>
      </c>
      <c r="AE165" s="334">
        <v>79</v>
      </c>
      <c r="AF165" s="334">
        <v>16</v>
      </c>
      <c r="AG165" s="334">
        <v>95</v>
      </c>
    </row>
    <row r="166" spans="1:33" x14ac:dyDescent="0.35">
      <c r="A166" s="329" t="s">
        <v>388</v>
      </c>
      <c r="B166" s="335" t="s">
        <v>389</v>
      </c>
      <c r="C166" s="331">
        <v>2299</v>
      </c>
      <c r="D166" s="331">
        <v>0</v>
      </c>
      <c r="E166" s="331">
        <v>32</v>
      </c>
      <c r="F166" s="331">
        <v>810</v>
      </c>
      <c r="G166" s="331">
        <v>144</v>
      </c>
      <c r="H166" s="331">
        <v>3285</v>
      </c>
      <c r="I166" s="330">
        <v>3141</v>
      </c>
      <c r="J166" s="330">
        <v>0</v>
      </c>
      <c r="K166" s="332">
        <v>101.49</v>
      </c>
      <c r="L166" s="332">
        <v>100.72</v>
      </c>
      <c r="M166" s="332">
        <v>4.1500000000000004</v>
      </c>
      <c r="N166" s="332">
        <v>104.15</v>
      </c>
      <c r="O166" s="333">
        <v>1921</v>
      </c>
      <c r="P166" s="330">
        <v>85.92</v>
      </c>
      <c r="Q166" s="330">
        <v>85.26</v>
      </c>
      <c r="R166" s="330">
        <v>15.33</v>
      </c>
      <c r="S166" s="330">
        <v>101.03</v>
      </c>
      <c r="T166" s="330">
        <v>764</v>
      </c>
      <c r="U166" s="330">
        <v>138.02000000000001</v>
      </c>
      <c r="V166" s="330">
        <v>365</v>
      </c>
      <c r="W166" s="330">
        <v>111.65</v>
      </c>
      <c r="X166" s="330">
        <v>1</v>
      </c>
      <c r="Y166" s="330">
        <v>0</v>
      </c>
      <c r="Z166" s="330">
        <v>0</v>
      </c>
      <c r="AA166" s="330">
        <v>3</v>
      </c>
      <c r="AB166" s="330">
        <v>46</v>
      </c>
      <c r="AC166" s="330">
        <v>0</v>
      </c>
      <c r="AD166" s="334">
        <v>2299</v>
      </c>
      <c r="AE166" s="334">
        <v>20</v>
      </c>
      <c r="AF166" s="334">
        <v>9</v>
      </c>
      <c r="AG166" s="334">
        <v>29</v>
      </c>
    </row>
    <row r="167" spans="1:33" x14ac:dyDescent="0.35">
      <c r="A167" s="329" t="s">
        <v>390</v>
      </c>
      <c r="B167" s="335" t="s">
        <v>391</v>
      </c>
      <c r="C167" s="331">
        <v>4341</v>
      </c>
      <c r="D167" s="331">
        <v>0</v>
      </c>
      <c r="E167" s="331">
        <v>64</v>
      </c>
      <c r="F167" s="331">
        <v>594</v>
      </c>
      <c r="G167" s="331">
        <v>397</v>
      </c>
      <c r="H167" s="331">
        <v>5396</v>
      </c>
      <c r="I167" s="330">
        <v>4999</v>
      </c>
      <c r="J167" s="330">
        <v>3</v>
      </c>
      <c r="K167" s="332">
        <v>94.68</v>
      </c>
      <c r="L167" s="332">
        <v>94.46</v>
      </c>
      <c r="M167" s="332">
        <v>4</v>
      </c>
      <c r="N167" s="332">
        <v>98.33</v>
      </c>
      <c r="O167" s="333">
        <v>3952</v>
      </c>
      <c r="P167" s="330">
        <v>88.83</v>
      </c>
      <c r="Q167" s="330">
        <v>89.39</v>
      </c>
      <c r="R167" s="330">
        <v>28.63</v>
      </c>
      <c r="S167" s="330">
        <v>117.31</v>
      </c>
      <c r="T167" s="330">
        <v>598</v>
      </c>
      <c r="U167" s="330">
        <v>111.39</v>
      </c>
      <c r="V167" s="330">
        <v>318</v>
      </c>
      <c r="W167" s="330">
        <v>186.03</v>
      </c>
      <c r="X167" s="330">
        <v>60</v>
      </c>
      <c r="Y167" s="330">
        <v>0</v>
      </c>
      <c r="Z167" s="330">
        <v>19</v>
      </c>
      <c r="AA167" s="330">
        <v>0</v>
      </c>
      <c r="AB167" s="330">
        <v>10</v>
      </c>
      <c r="AC167" s="330">
        <v>1</v>
      </c>
      <c r="AD167" s="334">
        <v>4340</v>
      </c>
      <c r="AE167" s="334">
        <v>22</v>
      </c>
      <c r="AF167" s="334">
        <v>9</v>
      </c>
      <c r="AG167" s="334">
        <v>31</v>
      </c>
    </row>
    <row r="168" spans="1:33" x14ac:dyDescent="0.35">
      <c r="A168" s="329" t="s">
        <v>392</v>
      </c>
      <c r="B168" s="335" t="s">
        <v>393</v>
      </c>
      <c r="C168" s="331">
        <v>46193</v>
      </c>
      <c r="D168" s="331">
        <v>158</v>
      </c>
      <c r="E168" s="331">
        <v>1706</v>
      </c>
      <c r="F168" s="331">
        <v>3165</v>
      </c>
      <c r="G168" s="331">
        <v>1417</v>
      </c>
      <c r="H168" s="331">
        <v>52639</v>
      </c>
      <c r="I168" s="330">
        <v>51222</v>
      </c>
      <c r="J168" s="330">
        <v>29</v>
      </c>
      <c r="K168" s="332">
        <v>80.02</v>
      </c>
      <c r="L168" s="332">
        <v>80.83</v>
      </c>
      <c r="M168" s="332">
        <v>4.9800000000000004</v>
      </c>
      <c r="N168" s="332">
        <v>81.95</v>
      </c>
      <c r="O168" s="333">
        <v>42297</v>
      </c>
      <c r="P168" s="330">
        <v>78.760000000000005</v>
      </c>
      <c r="Q168" s="330">
        <v>73.13</v>
      </c>
      <c r="R168" s="330">
        <v>43.62</v>
      </c>
      <c r="S168" s="330">
        <v>119.83</v>
      </c>
      <c r="T168" s="330">
        <v>4511</v>
      </c>
      <c r="U168" s="330">
        <v>108.85</v>
      </c>
      <c r="V168" s="330">
        <v>3086</v>
      </c>
      <c r="W168" s="330">
        <v>118.58</v>
      </c>
      <c r="X168" s="330">
        <v>21</v>
      </c>
      <c r="Y168" s="330">
        <v>25</v>
      </c>
      <c r="Z168" s="330">
        <v>228</v>
      </c>
      <c r="AA168" s="330">
        <v>3</v>
      </c>
      <c r="AB168" s="330">
        <v>158</v>
      </c>
      <c r="AC168" s="330">
        <v>39</v>
      </c>
      <c r="AD168" s="334">
        <v>45675</v>
      </c>
      <c r="AE168" s="334">
        <v>375</v>
      </c>
      <c r="AF168" s="334">
        <v>141</v>
      </c>
      <c r="AG168" s="334">
        <v>516</v>
      </c>
    </row>
    <row r="169" spans="1:33" x14ac:dyDescent="0.35">
      <c r="A169" s="329" t="s">
        <v>394</v>
      </c>
      <c r="B169" s="335" t="s">
        <v>395</v>
      </c>
      <c r="C169" s="331">
        <v>1722</v>
      </c>
      <c r="D169" s="331">
        <v>0</v>
      </c>
      <c r="E169" s="331">
        <v>365</v>
      </c>
      <c r="F169" s="331">
        <v>232</v>
      </c>
      <c r="G169" s="331">
        <v>126</v>
      </c>
      <c r="H169" s="331">
        <v>2445</v>
      </c>
      <c r="I169" s="330">
        <v>2319</v>
      </c>
      <c r="J169" s="330">
        <v>1</v>
      </c>
      <c r="K169" s="332">
        <v>80.459999999999994</v>
      </c>
      <c r="L169" s="332">
        <v>79.540000000000006</v>
      </c>
      <c r="M169" s="332">
        <v>5.82</v>
      </c>
      <c r="N169" s="332">
        <v>83.34</v>
      </c>
      <c r="O169" s="333">
        <v>1629</v>
      </c>
      <c r="P169" s="330">
        <v>106.24</v>
      </c>
      <c r="Q169" s="330">
        <v>77.59</v>
      </c>
      <c r="R169" s="330">
        <v>91.88</v>
      </c>
      <c r="S169" s="330">
        <v>192.27</v>
      </c>
      <c r="T169" s="330">
        <v>408</v>
      </c>
      <c r="U169" s="330">
        <v>94.37</v>
      </c>
      <c r="V169" s="330">
        <v>88</v>
      </c>
      <c r="W169" s="330">
        <v>0</v>
      </c>
      <c r="X169" s="330">
        <v>0</v>
      </c>
      <c r="Y169" s="330">
        <v>0</v>
      </c>
      <c r="Z169" s="330">
        <v>5</v>
      </c>
      <c r="AA169" s="330">
        <v>17</v>
      </c>
      <c r="AB169" s="330">
        <v>6</v>
      </c>
      <c r="AC169" s="330">
        <v>2</v>
      </c>
      <c r="AD169" s="334">
        <v>1708</v>
      </c>
      <c r="AE169" s="334">
        <v>11</v>
      </c>
      <c r="AF169" s="334">
        <v>9</v>
      </c>
      <c r="AG169" s="334">
        <v>20</v>
      </c>
    </row>
    <row r="170" spans="1:33" x14ac:dyDescent="0.35">
      <c r="A170" s="329" t="s">
        <v>396</v>
      </c>
      <c r="B170" s="335" t="s">
        <v>397</v>
      </c>
      <c r="C170" s="331">
        <v>3942</v>
      </c>
      <c r="D170" s="331">
        <v>0</v>
      </c>
      <c r="E170" s="331">
        <v>365</v>
      </c>
      <c r="F170" s="331">
        <v>896</v>
      </c>
      <c r="G170" s="331">
        <v>1344</v>
      </c>
      <c r="H170" s="331">
        <v>6547</v>
      </c>
      <c r="I170" s="330">
        <v>5203</v>
      </c>
      <c r="J170" s="330">
        <v>30</v>
      </c>
      <c r="K170" s="332">
        <v>98.59</v>
      </c>
      <c r="L170" s="332">
        <v>96.24</v>
      </c>
      <c r="M170" s="332">
        <v>8.15</v>
      </c>
      <c r="N170" s="332">
        <v>105.23</v>
      </c>
      <c r="O170" s="333">
        <v>2845</v>
      </c>
      <c r="P170" s="330">
        <v>91.07</v>
      </c>
      <c r="Q170" s="330">
        <v>86.43</v>
      </c>
      <c r="R170" s="330">
        <v>38.04</v>
      </c>
      <c r="S170" s="330">
        <v>128.81</v>
      </c>
      <c r="T170" s="330">
        <v>1012</v>
      </c>
      <c r="U170" s="330">
        <v>128.72999999999999</v>
      </c>
      <c r="V170" s="330">
        <v>741</v>
      </c>
      <c r="W170" s="330">
        <v>180.2</v>
      </c>
      <c r="X170" s="330">
        <v>61</v>
      </c>
      <c r="Y170" s="330">
        <v>47</v>
      </c>
      <c r="Z170" s="330">
        <v>1</v>
      </c>
      <c r="AA170" s="330">
        <v>7</v>
      </c>
      <c r="AB170" s="330">
        <v>120</v>
      </c>
      <c r="AC170" s="330">
        <v>45</v>
      </c>
      <c r="AD170" s="334">
        <v>3558</v>
      </c>
      <c r="AE170" s="334">
        <v>38</v>
      </c>
      <c r="AF170" s="334">
        <v>22</v>
      </c>
      <c r="AG170" s="334">
        <v>60</v>
      </c>
    </row>
    <row r="171" spans="1:33" x14ac:dyDescent="0.35">
      <c r="A171" s="329" t="s">
        <v>398</v>
      </c>
      <c r="B171" s="335" t="s">
        <v>399</v>
      </c>
      <c r="C171" s="331">
        <v>598</v>
      </c>
      <c r="D171" s="331">
        <v>0</v>
      </c>
      <c r="E171" s="331">
        <v>39</v>
      </c>
      <c r="F171" s="331">
        <v>76</v>
      </c>
      <c r="G171" s="331">
        <v>202</v>
      </c>
      <c r="H171" s="331">
        <v>915</v>
      </c>
      <c r="I171" s="330">
        <v>713</v>
      </c>
      <c r="J171" s="330">
        <v>0</v>
      </c>
      <c r="K171" s="332">
        <v>90.32</v>
      </c>
      <c r="L171" s="332">
        <v>87.76</v>
      </c>
      <c r="M171" s="332">
        <v>3.06</v>
      </c>
      <c r="N171" s="332">
        <v>92.69</v>
      </c>
      <c r="O171" s="333">
        <v>413</v>
      </c>
      <c r="P171" s="330">
        <v>90.41</v>
      </c>
      <c r="Q171" s="330">
        <v>83.55</v>
      </c>
      <c r="R171" s="330">
        <v>73.790000000000006</v>
      </c>
      <c r="S171" s="330">
        <v>162.91999999999999</v>
      </c>
      <c r="T171" s="330">
        <v>115</v>
      </c>
      <c r="U171" s="330">
        <v>106.07</v>
      </c>
      <c r="V171" s="330">
        <v>167</v>
      </c>
      <c r="W171" s="330">
        <v>0</v>
      </c>
      <c r="X171" s="330">
        <v>0</v>
      </c>
      <c r="Y171" s="330">
        <v>0</v>
      </c>
      <c r="Z171" s="330">
        <v>3</v>
      </c>
      <c r="AA171" s="330">
        <v>0</v>
      </c>
      <c r="AB171" s="330">
        <v>12</v>
      </c>
      <c r="AC171" s="330">
        <v>3</v>
      </c>
      <c r="AD171" s="334">
        <v>597</v>
      </c>
      <c r="AE171" s="334">
        <v>35</v>
      </c>
      <c r="AF171" s="334">
        <v>2</v>
      </c>
      <c r="AG171" s="334">
        <v>37</v>
      </c>
    </row>
    <row r="172" spans="1:33" x14ac:dyDescent="0.35">
      <c r="A172" s="329" t="s">
        <v>400</v>
      </c>
      <c r="B172" s="335" t="s">
        <v>401</v>
      </c>
      <c r="C172" s="331">
        <v>5175</v>
      </c>
      <c r="D172" s="331">
        <v>0</v>
      </c>
      <c r="E172" s="331">
        <v>246</v>
      </c>
      <c r="F172" s="331">
        <v>1011</v>
      </c>
      <c r="G172" s="331">
        <v>527</v>
      </c>
      <c r="H172" s="331">
        <v>6959</v>
      </c>
      <c r="I172" s="330">
        <v>6432</v>
      </c>
      <c r="J172" s="330">
        <v>1</v>
      </c>
      <c r="K172" s="332">
        <v>90.58</v>
      </c>
      <c r="L172" s="332">
        <v>89.85</v>
      </c>
      <c r="M172" s="332">
        <v>4.3899999999999997</v>
      </c>
      <c r="N172" s="332">
        <v>92.79</v>
      </c>
      <c r="O172" s="333">
        <v>4325</v>
      </c>
      <c r="P172" s="330">
        <v>82.1</v>
      </c>
      <c r="Q172" s="330">
        <v>81.91</v>
      </c>
      <c r="R172" s="330">
        <v>29.57</v>
      </c>
      <c r="S172" s="330">
        <v>111.41</v>
      </c>
      <c r="T172" s="330">
        <v>1071</v>
      </c>
      <c r="U172" s="330">
        <v>113.41</v>
      </c>
      <c r="V172" s="330">
        <v>751</v>
      </c>
      <c r="W172" s="330">
        <v>112.53</v>
      </c>
      <c r="X172" s="330">
        <v>48</v>
      </c>
      <c r="Y172" s="330">
        <v>69</v>
      </c>
      <c r="Z172" s="330">
        <v>4</v>
      </c>
      <c r="AA172" s="330">
        <v>28</v>
      </c>
      <c r="AB172" s="330">
        <v>43</v>
      </c>
      <c r="AC172" s="330">
        <v>5</v>
      </c>
      <c r="AD172" s="334">
        <v>5081</v>
      </c>
      <c r="AE172" s="334">
        <v>15</v>
      </c>
      <c r="AF172" s="334">
        <v>31</v>
      </c>
      <c r="AG172" s="334">
        <v>46</v>
      </c>
    </row>
    <row r="173" spans="1:33" x14ac:dyDescent="0.35">
      <c r="A173" s="329" t="s">
        <v>402</v>
      </c>
      <c r="B173" s="335" t="s">
        <v>403</v>
      </c>
      <c r="C173" s="331">
        <v>10301</v>
      </c>
      <c r="D173" s="331">
        <v>11</v>
      </c>
      <c r="E173" s="331">
        <v>407</v>
      </c>
      <c r="F173" s="331">
        <v>796</v>
      </c>
      <c r="G173" s="331">
        <v>712</v>
      </c>
      <c r="H173" s="331">
        <v>12227</v>
      </c>
      <c r="I173" s="330">
        <v>11515</v>
      </c>
      <c r="J173" s="330">
        <v>51</v>
      </c>
      <c r="K173" s="332">
        <v>114.3</v>
      </c>
      <c r="L173" s="332">
        <v>112.66</v>
      </c>
      <c r="M173" s="332">
        <v>8.25</v>
      </c>
      <c r="N173" s="332">
        <v>119.53</v>
      </c>
      <c r="O173" s="333">
        <v>9092</v>
      </c>
      <c r="P173" s="330">
        <v>108.33</v>
      </c>
      <c r="Q173" s="330">
        <v>106.46</v>
      </c>
      <c r="R173" s="330">
        <v>37.86</v>
      </c>
      <c r="S173" s="330">
        <v>139.36000000000001</v>
      </c>
      <c r="T173" s="330">
        <v>903</v>
      </c>
      <c r="U173" s="330">
        <v>162.21</v>
      </c>
      <c r="V173" s="330">
        <v>1045</v>
      </c>
      <c r="W173" s="330">
        <v>254.61</v>
      </c>
      <c r="X173" s="330">
        <v>35</v>
      </c>
      <c r="Y173" s="330">
        <v>8</v>
      </c>
      <c r="Z173" s="330">
        <v>16</v>
      </c>
      <c r="AA173" s="330">
        <v>4</v>
      </c>
      <c r="AB173" s="330">
        <v>48</v>
      </c>
      <c r="AC173" s="330">
        <v>23</v>
      </c>
      <c r="AD173" s="334">
        <v>10212</v>
      </c>
      <c r="AE173" s="334">
        <v>31</v>
      </c>
      <c r="AF173" s="334">
        <v>75</v>
      </c>
      <c r="AG173" s="334">
        <v>106</v>
      </c>
    </row>
    <row r="174" spans="1:33" x14ac:dyDescent="0.35">
      <c r="A174" s="329" t="s">
        <v>404</v>
      </c>
      <c r="B174" s="335" t="s">
        <v>405</v>
      </c>
      <c r="C174" s="331">
        <v>1196</v>
      </c>
      <c r="D174" s="331">
        <v>0</v>
      </c>
      <c r="E174" s="331">
        <v>54</v>
      </c>
      <c r="F174" s="331">
        <v>283</v>
      </c>
      <c r="G174" s="331">
        <v>276</v>
      </c>
      <c r="H174" s="331">
        <v>1809</v>
      </c>
      <c r="I174" s="330">
        <v>1533</v>
      </c>
      <c r="J174" s="330">
        <v>1</v>
      </c>
      <c r="K174" s="332">
        <v>87.38</v>
      </c>
      <c r="L174" s="332">
        <v>84.47</v>
      </c>
      <c r="M174" s="332">
        <v>4.62</v>
      </c>
      <c r="N174" s="332">
        <v>91.34</v>
      </c>
      <c r="O174" s="333">
        <v>811</v>
      </c>
      <c r="P174" s="330">
        <v>77.709999999999994</v>
      </c>
      <c r="Q174" s="330">
        <v>75.61</v>
      </c>
      <c r="R174" s="330">
        <v>17.809999999999999</v>
      </c>
      <c r="S174" s="330">
        <v>94.92</v>
      </c>
      <c r="T174" s="330">
        <v>149</v>
      </c>
      <c r="U174" s="330">
        <v>123.57</v>
      </c>
      <c r="V174" s="330">
        <v>274</v>
      </c>
      <c r="W174" s="330">
        <v>0</v>
      </c>
      <c r="X174" s="330">
        <v>0</v>
      </c>
      <c r="Y174" s="330">
        <v>0</v>
      </c>
      <c r="Z174" s="330">
        <v>0</v>
      </c>
      <c r="AA174" s="330">
        <v>1</v>
      </c>
      <c r="AB174" s="330">
        <v>43</v>
      </c>
      <c r="AC174" s="330">
        <v>7</v>
      </c>
      <c r="AD174" s="334">
        <v>1078</v>
      </c>
      <c r="AE174" s="334">
        <v>16</v>
      </c>
      <c r="AF174" s="334">
        <v>0</v>
      </c>
      <c r="AG174" s="334">
        <v>16</v>
      </c>
    </row>
    <row r="175" spans="1:33" x14ac:dyDescent="0.35">
      <c r="A175" s="329" t="s">
        <v>406</v>
      </c>
      <c r="B175" s="335" t="s">
        <v>407</v>
      </c>
      <c r="C175" s="331">
        <v>1465</v>
      </c>
      <c r="D175" s="331">
        <v>0</v>
      </c>
      <c r="E175" s="331">
        <v>107</v>
      </c>
      <c r="F175" s="331">
        <v>210</v>
      </c>
      <c r="G175" s="331">
        <v>353</v>
      </c>
      <c r="H175" s="331">
        <v>2135</v>
      </c>
      <c r="I175" s="330">
        <v>1782</v>
      </c>
      <c r="J175" s="330">
        <v>3</v>
      </c>
      <c r="K175" s="332">
        <v>92.23</v>
      </c>
      <c r="L175" s="332">
        <v>91.99</v>
      </c>
      <c r="M175" s="332">
        <v>3.94</v>
      </c>
      <c r="N175" s="332">
        <v>95.09</v>
      </c>
      <c r="O175" s="333">
        <v>904</v>
      </c>
      <c r="P175" s="330">
        <v>85.3</v>
      </c>
      <c r="Q175" s="330">
        <v>79.27</v>
      </c>
      <c r="R175" s="330">
        <v>35.86</v>
      </c>
      <c r="S175" s="330">
        <v>120.91</v>
      </c>
      <c r="T175" s="330">
        <v>291</v>
      </c>
      <c r="U175" s="330">
        <v>111.34</v>
      </c>
      <c r="V175" s="330">
        <v>506</v>
      </c>
      <c r="W175" s="330">
        <v>113.33</v>
      </c>
      <c r="X175" s="330">
        <v>1</v>
      </c>
      <c r="Y175" s="330">
        <v>0</v>
      </c>
      <c r="Z175" s="330">
        <v>0</v>
      </c>
      <c r="AA175" s="330">
        <v>0</v>
      </c>
      <c r="AB175" s="330">
        <v>18</v>
      </c>
      <c r="AC175" s="330">
        <v>3</v>
      </c>
      <c r="AD175" s="334">
        <v>1465</v>
      </c>
      <c r="AE175" s="334">
        <v>8</v>
      </c>
      <c r="AF175" s="334">
        <v>3</v>
      </c>
      <c r="AG175" s="334">
        <v>11</v>
      </c>
    </row>
    <row r="176" spans="1:33" x14ac:dyDescent="0.35">
      <c r="A176" s="329" t="s">
        <v>408</v>
      </c>
      <c r="B176" s="335" t="s">
        <v>409</v>
      </c>
      <c r="C176" s="331">
        <v>5947</v>
      </c>
      <c r="D176" s="331">
        <v>3</v>
      </c>
      <c r="E176" s="331">
        <v>137</v>
      </c>
      <c r="F176" s="331">
        <v>809</v>
      </c>
      <c r="G176" s="331">
        <v>728</v>
      </c>
      <c r="H176" s="331">
        <v>7624</v>
      </c>
      <c r="I176" s="330">
        <v>6896</v>
      </c>
      <c r="J176" s="330">
        <v>2</v>
      </c>
      <c r="K176" s="332">
        <v>114.62</v>
      </c>
      <c r="L176" s="332">
        <v>109.68</v>
      </c>
      <c r="M176" s="332">
        <v>5.93</v>
      </c>
      <c r="N176" s="332">
        <v>119.01</v>
      </c>
      <c r="O176" s="333">
        <v>4123</v>
      </c>
      <c r="P176" s="330">
        <v>100.81</v>
      </c>
      <c r="Q176" s="330">
        <v>99.63</v>
      </c>
      <c r="R176" s="330">
        <v>50.13</v>
      </c>
      <c r="S176" s="330">
        <v>149.56</v>
      </c>
      <c r="T176" s="330">
        <v>797</v>
      </c>
      <c r="U176" s="330">
        <v>164.83</v>
      </c>
      <c r="V176" s="330">
        <v>1475</v>
      </c>
      <c r="W176" s="330">
        <v>174.45</v>
      </c>
      <c r="X176" s="330">
        <v>9</v>
      </c>
      <c r="Y176" s="330">
        <v>73</v>
      </c>
      <c r="Z176" s="330">
        <v>3</v>
      </c>
      <c r="AA176" s="330">
        <v>2</v>
      </c>
      <c r="AB176" s="330">
        <v>52</v>
      </c>
      <c r="AC176" s="330">
        <v>10</v>
      </c>
      <c r="AD176" s="334">
        <v>5646</v>
      </c>
      <c r="AE176" s="334">
        <v>67</v>
      </c>
      <c r="AF176" s="334">
        <v>18</v>
      </c>
      <c r="AG176" s="334">
        <v>85</v>
      </c>
    </row>
    <row r="177" spans="1:33" x14ac:dyDescent="0.35">
      <c r="A177" s="329" t="s">
        <v>410</v>
      </c>
      <c r="B177" s="335" t="s">
        <v>411</v>
      </c>
      <c r="C177" s="331">
        <v>13142</v>
      </c>
      <c r="D177" s="331">
        <v>2</v>
      </c>
      <c r="E177" s="331">
        <v>548</v>
      </c>
      <c r="F177" s="331">
        <v>1440</v>
      </c>
      <c r="G177" s="331">
        <v>266</v>
      </c>
      <c r="H177" s="331">
        <v>15398</v>
      </c>
      <c r="I177" s="330">
        <v>15132</v>
      </c>
      <c r="J177" s="330">
        <v>11</v>
      </c>
      <c r="K177" s="332">
        <v>84.36</v>
      </c>
      <c r="L177" s="332">
        <v>81.16</v>
      </c>
      <c r="M177" s="332">
        <v>9.3800000000000008</v>
      </c>
      <c r="N177" s="332">
        <v>87.17</v>
      </c>
      <c r="O177" s="333">
        <v>12381</v>
      </c>
      <c r="P177" s="330">
        <v>86.17</v>
      </c>
      <c r="Q177" s="330">
        <v>78.45</v>
      </c>
      <c r="R177" s="330">
        <v>57.55</v>
      </c>
      <c r="S177" s="330">
        <v>130.66999999999999</v>
      </c>
      <c r="T177" s="330">
        <v>1870</v>
      </c>
      <c r="U177" s="330">
        <v>94.43</v>
      </c>
      <c r="V177" s="330">
        <v>639</v>
      </c>
      <c r="W177" s="330">
        <v>155.27000000000001</v>
      </c>
      <c r="X177" s="330">
        <v>101</v>
      </c>
      <c r="Y177" s="330">
        <v>0</v>
      </c>
      <c r="Z177" s="330">
        <v>61</v>
      </c>
      <c r="AA177" s="330">
        <v>1</v>
      </c>
      <c r="AB177" s="330">
        <v>17</v>
      </c>
      <c r="AC177" s="330">
        <v>2</v>
      </c>
      <c r="AD177" s="334">
        <v>13112</v>
      </c>
      <c r="AE177" s="334">
        <v>188</v>
      </c>
      <c r="AF177" s="334">
        <v>253</v>
      </c>
      <c r="AG177" s="334">
        <v>441</v>
      </c>
    </row>
    <row r="178" spans="1:33" x14ac:dyDescent="0.35">
      <c r="A178" s="329" t="s">
        <v>412</v>
      </c>
      <c r="B178" s="335" t="s">
        <v>413</v>
      </c>
      <c r="C178" s="331">
        <v>8510</v>
      </c>
      <c r="D178" s="331">
        <v>81</v>
      </c>
      <c r="E178" s="331">
        <v>480</v>
      </c>
      <c r="F178" s="331">
        <v>585</v>
      </c>
      <c r="G178" s="331">
        <v>5605</v>
      </c>
      <c r="H178" s="331">
        <v>15261</v>
      </c>
      <c r="I178" s="330">
        <v>9656</v>
      </c>
      <c r="J178" s="330">
        <v>16</v>
      </c>
      <c r="K178" s="332">
        <v>97.84</v>
      </c>
      <c r="L178" s="332">
        <v>95.01</v>
      </c>
      <c r="M178" s="332">
        <v>6.84</v>
      </c>
      <c r="N178" s="332">
        <v>102.36</v>
      </c>
      <c r="O178" s="333">
        <v>6429</v>
      </c>
      <c r="P178" s="330">
        <v>103.38</v>
      </c>
      <c r="Q178" s="330">
        <v>98.24</v>
      </c>
      <c r="R178" s="330">
        <v>44.25</v>
      </c>
      <c r="S178" s="330">
        <v>146.21</v>
      </c>
      <c r="T178" s="330">
        <v>867</v>
      </c>
      <c r="U178" s="330">
        <v>138.19999999999999</v>
      </c>
      <c r="V178" s="330">
        <v>1370</v>
      </c>
      <c r="W178" s="330">
        <v>129.15</v>
      </c>
      <c r="X178" s="330">
        <v>4</v>
      </c>
      <c r="Y178" s="330">
        <v>0</v>
      </c>
      <c r="Z178" s="330">
        <v>1</v>
      </c>
      <c r="AA178" s="330">
        <v>3</v>
      </c>
      <c r="AB178" s="330">
        <v>178</v>
      </c>
      <c r="AC178" s="330">
        <v>54</v>
      </c>
      <c r="AD178" s="334">
        <v>8191</v>
      </c>
      <c r="AE178" s="334">
        <v>56</v>
      </c>
      <c r="AF178" s="334">
        <v>39</v>
      </c>
      <c r="AG178" s="334">
        <v>95</v>
      </c>
    </row>
    <row r="179" spans="1:33" x14ac:dyDescent="0.35">
      <c r="A179" s="329" t="s">
        <v>414</v>
      </c>
      <c r="B179" s="335" t="s">
        <v>415</v>
      </c>
      <c r="C179" s="331">
        <v>3491</v>
      </c>
      <c r="D179" s="331">
        <v>11</v>
      </c>
      <c r="E179" s="331">
        <v>219</v>
      </c>
      <c r="F179" s="331">
        <v>682</v>
      </c>
      <c r="G179" s="331">
        <v>298</v>
      </c>
      <c r="H179" s="331">
        <v>4701</v>
      </c>
      <c r="I179" s="330">
        <v>4403</v>
      </c>
      <c r="J179" s="330">
        <v>0</v>
      </c>
      <c r="K179" s="332">
        <v>110.92</v>
      </c>
      <c r="L179" s="332">
        <v>112.43</v>
      </c>
      <c r="M179" s="332">
        <v>4.66</v>
      </c>
      <c r="N179" s="332">
        <v>114.18</v>
      </c>
      <c r="O179" s="333">
        <v>2996</v>
      </c>
      <c r="P179" s="330">
        <v>99.06</v>
      </c>
      <c r="Q179" s="330">
        <v>99.67</v>
      </c>
      <c r="R179" s="330">
        <v>40.21</v>
      </c>
      <c r="S179" s="330">
        <v>138.11000000000001</v>
      </c>
      <c r="T179" s="330">
        <v>726</v>
      </c>
      <c r="U179" s="330">
        <v>155.9</v>
      </c>
      <c r="V179" s="330">
        <v>470</v>
      </c>
      <c r="W179" s="330">
        <v>0</v>
      </c>
      <c r="X179" s="330">
        <v>0</v>
      </c>
      <c r="Y179" s="330">
        <v>0</v>
      </c>
      <c r="Z179" s="330">
        <v>2</v>
      </c>
      <c r="AA179" s="330">
        <v>1</v>
      </c>
      <c r="AB179" s="330">
        <v>3</v>
      </c>
      <c r="AC179" s="330">
        <v>5</v>
      </c>
      <c r="AD179" s="334">
        <v>3488</v>
      </c>
      <c r="AE179" s="334">
        <v>36</v>
      </c>
      <c r="AF179" s="334">
        <v>43</v>
      </c>
      <c r="AG179" s="334">
        <v>79</v>
      </c>
    </row>
    <row r="180" spans="1:33" x14ac:dyDescent="0.35">
      <c r="A180" s="329" t="s">
        <v>416</v>
      </c>
      <c r="B180" s="335" t="s">
        <v>417</v>
      </c>
      <c r="C180" s="331">
        <v>2812</v>
      </c>
      <c r="D180" s="331">
        <v>8</v>
      </c>
      <c r="E180" s="331">
        <v>290</v>
      </c>
      <c r="F180" s="331">
        <v>323</v>
      </c>
      <c r="G180" s="331">
        <v>371</v>
      </c>
      <c r="H180" s="331">
        <v>3804</v>
      </c>
      <c r="I180" s="330">
        <v>3433</v>
      </c>
      <c r="J180" s="330">
        <v>0</v>
      </c>
      <c r="K180" s="332">
        <v>110.73</v>
      </c>
      <c r="L180" s="332">
        <v>108.61</v>
      </c>
      <c r="M180" s="332">
        <v>4.1100000000000003</v>
      </c>
      <c r="N180" s="332">
        <v>113.96</v>
      </c>
      <c r="O180" s="333">
        <v>2377</v>
      </c>
      <c r="P180" s="330">
        <v>100.92</v>
      </c>
      <c r="Q180" s="330">
        <v>92.62</v>
      </c>
      <c r="R180" s="330">
        <v>31.16</v>
      </c>
      <c r="S180" s="330">
        <v>130.35</v>
      </c>
      <c r="T180" s="330">
        <v>485</v>
      </c>
      <c r="U180" s="330">
        <v>141.09</v>
      </c>
      <c r="V180" s="330">
        <v>269</v>
      </c>
      <c r="W180" s="330">
        <v>138.77000000000001</v>
      </c>
      <c r="X180" s="330">
        <v>4</v>
      </c>
      <c r="Y180" s="330">
        <v>6</v>
      </c>
      <c r="Z180" s="330">
        <v>0</v>
      </c>
      <c r="AA180" s="330">
        <v>2</v>
      </c>
      <c r="AB180" s="330">
        <v>12</v>
      </c>
      <c r="AC180" s="330">
        <v>7</v>
      </c>
      <c r="AD180" s="334">
        <v>2720</v>
      </c>
      <c r="AE180" s="334">
        <v>8</v>
      </c>
      <c r="AF180" s="334">
        <v>6</v>
      </c>
      <c r="AG180" s="334">
        <v>14</v>
      </c>
    </row>
    <row r="181" spans="1:33" x14ac:dyDescent="0.35">
      <c r="A181" s="329" t="s">
        <v>418</v>
      </c>
      <c r="B181" s="335" t="s">
        <v>419</v>
      </c>
      <c r="C181" s="331">
        <v>1952</v>
      </c>
      <c r="D181" s="331">
        <v>0</v>
      </c>
      <c r="E181" s="331">
        <v>317</v>
      </c>
      <c r="F181" s="331">
        <v>263</v>
      </c>
      <c r="G181" s="331">
        <v>334</v>
      </c>
      <c r="H181" s="331">
        <v>2866</v>
      </c>
      <c r="I181" s="330">
        <v>2532</v>
      </c>
      <c r="J181" s="330">
        <v>0</v>
      </c>
      <c r="K181" s="332">
        <v>85.74</v>
      </c>
      <c r="L181" s="332">
        <v>82.69</v>
      </c>
      <c r="M181" s="332">
        <v>4.04</v>
      </c>
      <c r="N181" s="332">
        <v>88.02</v>
      </c>
      <c r="O181" s="333">
        <v>1571</v>
      </c>
      <c r="P181" s="330">
        <v>105.19</v>
      </c>
      <c r="Q181" s="330">
        <v>77.73</v>
      </c>
      <c r="R181" s="330">
        <v>69.67</v>
      </c>
      <c r="S181" s="330">
        <v>174.86</v>
      </c>
      <c r="T181" s="330">
        <v>435</v>
      </c>
      <c r="U181" s="330">
        <v>93.6</v>
      </c>
      <c r="V181" s="330">
        <v>310</v>
      </c>
      <c r="W181" s="330">
        <v>0</v>
      </c>
      <c r="X181" s="330">
        <v>0</v>
      </c>
      <c r="Y181" s="330">
        <v>0</v>
      </c>
      <c r="Z181" s="330">
        <v>7</v>
      </c>
      <c r="AA181" s="330">
        <v>13</v>
      </c>
      <c r="AB181" s="330">
        <v>52</v>
      </c>
      <c r="AC181" s="330">
        <v>6</v>
      </c>
      <c r="AD181" s="334">
        <v>1952</v>
      </c>
      <c r="AE181" s="334">
        <v>12</v>
      </c>
      <c r="AF181" s="334">
        <v>67</v>
      </c>
      <c r="AG181" s="334">
        <v>79</v>
      </c>
    </row>
    <row r="182" spans="1:33" x14ac:dyDescent="0.35">
      <c r="A182" s="329" t="s">
        <v>420</v>
      </c>
      <c r="B182" s="335" t="s">
        <v>421</v>
      </c>
      <c r="C182" s="331">
        <v>7324</v>
      </c>
      <c r="D182" s="331">
        <v>137</v>
      </c>
      <c r="E182" s="331">
        <v>1397</v>
      </c>
      <c r="F182" s="331">
        <v>1515</v>
      </c>
      <c r="G182" s="331">
        <v>331</v>
      </c>
      <c r="H182" s="331">
        <v>10704</v>
      </c>
      <c r="I182" s="330">
        <v>10373</v>
      </c>
      <c r="J182" s="330">
        <v>39</v>
      </c>
      <c r="K182" s="332">
        <v>76.77</v>
      </c>
      <c r="L182" s="332">
        <v>74.83</v>
      </c>
      <c r="M182" s="332">
        <v>9.6199999999999992</v>
      </c>
      <c r="N182" s="332">
        <v>84.83</v>
      </c>
      <c r="O182" s="333">
        <v>5748</v>
      </c>
      <c r="P182" s="330">
        <v>83.52</v>
      </c>
      <c r="Q182" s="330">
        <v>72.67</v>
      </c>
      <c r="R182" s="330">
        <v>64.3</v>
      </c>
      <c r="S182" s="330">
        <v>145.76</v>
      </c>
      <c r="T182" s="330">
        <v>2157</v>
      </c>
      <c r="U182" s="330">
        <v>98.92</v>
      </c>
      <c r="V182" s="330">
        <v>1175</v>
      </c>
      <c r="W182" s="330">
        <v>186.62</v>
      </c>
      <c r="X182" s="330">
        <v>363</v>
      </c>
      <c r="Y182" s="330">
        <v>248</v>
      </c>
      <c r="Z182" s="330">
        <v>9</v>
      </c>
      <c r="AA182" s="330">
        <v>4</v>
      </c>
      <c r="AB182" s="330">
        <v>4</v>
      </c>
      <c r="AC182" s="330">
        <v>8</v>
      </c>
      <c r="AD182" s="334">
        <v>6752</v>
      </c>
      <c r="AE182" s="334">
        <v>66</v>
      </c>
      <c r="AF182" s="334">
        <v>62</v>
      </c>
      <c r="AG182" s="334">
        <v>128</v>
      </c>
    </row>
    <row r="183" spans="1:33" x14ac:dyDescent="0.35">
      <c r="A183" s="329" t="s">
        <v>422</v>
      </c>
      <c r="B183" s="335" t="s">
        <v>423</v>
      </c>
      <c r="C183" s="331">
        <v>8777</v>
      </c>
      <c r="D183" s="331">
        <v>9</v>
      </c>
      <c r="E183" s="331">
        <v>122</v>
      </c>
      <c r="F183" s="331">
        <v>876</v>
      </c>
      <c r="G183" s="331">
        <v>232</v>
      </c>
      <c r="H183" s="331">
        <v>10016</v>
      </c>
      <c r="I183" s="330">
        <v>9784</v>
      </c>
      <c r="J183" s="330">
        <v>15</v>
      </c>
      <c r="K183" s="332">
        <v>76.25</v>
      </c>
      <c r="L183" s="332">
        <v>78.56</v>
      </c>
      <c r="M183" s="332">
        <v>4.17</v>
      </c>
      <c r="N183" s="332">
        <v>80.180000000000007</v>
      </c>
      <c r="O183" s="333">
        <v>8195</v>
      </c>
      <c r="P183" s="330">
        <v>75.180000000000007</v>
      </c>
      <c r="Q183" s="330">
        <v>77.61</v>
      </c>
      <c r="R183" s="330">
        <v>26.39</v>
      </c>
      <c r="S183" s="330">
        <v>101.57</v>
      </c>
      <c r="T183" s="330">
        <v>815</v>
      </c>
      <c r="U183" s="330">
        <v>96.06</v>
      </c>
      <c r="V183" s="330">
        <v>544</v>
      </c>
      <c r="W183" s="330">
        <v>223.73</v>
      </c>
      <c r="X183" s="330">
        <v>98</v>
      </c>
      <c r="Y183" s="330">
        <v>26</v>
      </c>
      <c r="Z183" s="330">
        <v>53</v>
      </c>
      <c r="AA183" s="330">
        <v>41</v>
      </c>
      <c r="AB183" s="330">
        <v>9</v>
      </c>
      <c r="AC183" s="330">
        <v>7</v>
      </c>
      <c r="AD183" s="334">
        <v>8777</v>
      </c>
      <c r="AE183" s="334">
        <v>34</v>
      </c>
      <c r="AF183" s="334">
        <v>180</v>
      </c>
      <c r="AG183" s="334">
        <v>214</v>
      </c>
    </row>
    <row r="184" spans="1:33" x14ac:dyDescent="0.35">
      <c r="A184" s="329" t="s">
        <v>424</v>
      </c>
      <c r="B184" s="335" t="s">
        <v>425</v>
      </c>
      <c r="C184" s="331">
        <v>12341</v>
      </c>
      <c r="D184" s="331">
        <v>22</v>
      </c>
      <c r="E184" s="331">
        <v>797</v>
      </c>
      <c r="F184" s="331">
        <v>950</v>
      </c>
      <c r="G184" s="331">
        <v>2483</v>
      </c>
      <c r="H184" s="331">
        <v>16593</v>
      </c>
      <c r="I184" s="330">
        <v>14110</v>
      </c>
      <c r="J184" s="330">
        <v>53</v>
      </c>
      <c r="K184" s="332">
        <v>121.7</v>
      </c>
      <c r="L184" s="332">
        <v>115.4</v>
      </c>
      <c r="M184" s="332">
        <v>11.85</v>
      </c>
      <c r="N184" s="332">
        <v>128.1</v>
      </c>
      <c r="O184" s="333">
        <v>9527</v>
      </c>
      <c r="P184" s="330">
        <v>102.78</v>
      </c>
      <c r="Q184" s="330">
        <v>98.08</v>
      </c>
      <c r="R184" s="330">
        <v>41.73</v>
      </c>
      <c r="S184" s="330">
        <v>141.44</v>
      </c>
      <c r="T184" s="330">
        <v>1559</v>
      </c>
      <c r="U184" s="330">
        <v>198.86</v>
      </c>
      <c r="V184" s="330">
        <v>1167</v>
      </c>
      <c r="W184" s="330">
        <v>175.92</v>
      </c>
      <c r="X184" s="330">
        <v>12</v>
      </c>
      <c r="Y184" s="330">
        <v>4</v>
      </c>
      <c r="Z184" s="330">
        <v>0</v>
      </c>
      <c r="AA184" s="330">
        <v>27</v>
      </c>
      <c r="AB184" s="330">
        <v>173</v>
      </c>
      <c r="AC184" s="330">
        <v>92</v>
      </c>
      <c r="AD184" s="334">
        <v>11571</v>
      </c>
      <c r="AE184" s="334">
        <v>140</v>
      </c>
      <c r="AF184" s="334">
        <v>35</v>
      </c>
      <c r="AG184" s="334">
        <v>175</v>
      </c>
    </row>
    <row r="185" spans="1:33" x14ac:dyDescent="0.35">
      <c r="A185" s="329" t="s">
        <v>426</v>
      </c>
      <c r="B185" s="335" t="s">
        <v>427</v>
      </c>
      <c r="C185" s="331">
        <v>3938</v>
      </c>
      <c r="D185" s="331">
        <v>0</v>
      </c>
      <c r="E185" s="331">
        <v>75</v>
      </c>
      <c r="F185" s="331">
        <v>799</v>
      </c>
      <c r="G185" s="331">
        <v>392</v>
      </c>
      <c r="H185" s="331">
        <v>5204</v>
      </c>
      <c r="I185" s="330">
        <v>4812</v>
      </c>
      <c r="J185" s="330">
        <v>18</v>
      </c>
      <c r="K185" s="332">
        <v>83.54</v>
      </c>
      <c r="L185" s="332">
        <v>82.84</v>
      </c>
      <c r="M185" s="332">
        <v>4.0199999999999996</v>
      </c>
      <c r="N185" s="332">
        <v>86.14</v>
      </c>
      <c r="O185" s="333">
        <v>3413</v>
      </c>
      <c r="P185" s="330">
        <v>74.87</v>
      </c>
      <c r="Q185" s="330">
        <v>73.67</v>
      </c>
      <c r="R185" s="330">
        <v>19.59</v>
      </c>
      <c r="S185" s="330">
        <v>93.99</v>
      </c>
      <c r="T185" s="330">
        <v>757</v>
      </c>
      <c r="U185" s="330">
        <v>113.68</v>
      </c>
      <c r="V185" s="330">
        <v>493</v>
      </c>
      <c r="W185" s="330">
        <v>132.93</v>
      </c>
      <c r="X185" s="330">
        <v>28</v>
      </c>
      <c r="Y185" s="330">
        <v>0</v>
      </c>
      <c r="Z185" s="330">
        <v>10</v>
      </c>
      <c r="AA185" s="330">
        <v>14</v>
      </c>
      <c r="AB185" s="330">
        <v>32</v>
      </c>
      <c r="AC185" s="330">
        <v>4</v>
      </c>
      <c r="AD185" s="334">
        <v>3938</v>
      </c>
      <c r="AE185" s="334">
        <v>5</v>
      </c>
      <c r="AF185" s="334">
        <v>20</v>
      </c>
      <c r="AG185" s="334">
        <v>25</v>
      </c>
    </row>
    <row r="186" spans="1:33" x14ac:dyDescent="0.35">
      <c r="A186" s="329" t="s">
        <v>428</v>
      </c>
      <c r="B186" s="335" t="s">
        <v>429</v>
      </c>
      <c r="C186" s="331">
        <v>892</v>
      </c>
      <c r="D186" s="331">
        <v>0</v>
      </c>
      <c r="E186" s="331">
        <v>84</v>
      </c>
      <c r="F186" s="331">
        <v>119</v>
      </c>
      <c r="G186" s="331">
        <v>138</v>
      </c>
      <c r="H186" s="331">
        <v>1233</v>
      </c>
      <c r="I186" s="330">
        <v>1095</v>
      </c>
      <c r="J186" s="330">
        <v>1</v>
      </c>
      <c r="K186" s="332">
        <v>88.62</v>
      </c>
      <c r="L186" s="332">
        <v>86.6</v>
      </c>
      <c r="M186" s="332">
        <v>3.78</v>
      </c>
      <c r="N186" s="332">
        <v>90.33</v>
      </c>
      <c r="O186" s="333">
        <v>531</v>
      </c>
      <c r="P186" s="330">
        <v>100.28</v>
      </c>
      <c r="Q186" s="330">
        <v>87.6</v>
      </c>
      <c r="R186" s="330">
        <v>38.799999999999997</v>
      </c>
      <c r="S186" s="330">
        <v>135.99</v>
      </c>
      <c r="T186" s="330">
        <v>201</v>
      </c>
      <c r="U186" s="330">
        <v>96.52</v>
      </c>
      <c r="V186" s="330">
        <v>336</v>
      </c>
      <c r="W186" s="330">
        <v>0</v>
      </c>
      <c r="X186" s="330">
        <v>0</v>
      </c>
      <c r="Y186" s="330">
        <v>77</v>
      </c>
      <c r="Z186" s="330">
        <v>4</v>
      </c>
      <c r="AA186" s="330">
        <v>1</v>
      </c>
      <c r="AB186" s="330">
        <v>10</v>
      </c>
      <c r="AC186" s="330">
        <v>6</v>
      </c>
      <c r="AD186" s="334">
        <v>697</v>
      </c>
      <c r="AE186" s="334">
        <v>4</v>
      </c>
      <c r="AF186" s="334">
        <v>3</v>
      </c>
      <c r="AG186" s="334">
        <v>7</v>
      </c>
    </row>
    <row r="187" spans="1:33" x14ac:dyDescent="0.35">
      <c r="A187" s="329" t="s">
        <v>430</v>
      </c>
      <c r="B187" s="335" t="s">
        <v>431</v>
      </c>
      <c r="C187" s="331">
        <v>7960</v>
      </c>
      <c r="D187" s="331">
        <v>0</v>
      </c>
      <c r="E187" s="331">
        <v>373</v>
      </c>
      <c r="F187" s="331">
        <v>1143</v>
      </c>
      <c r="G187" s="331">
        <v>249</v>
      </c>
      <c r="H187" s="331">
        <v>9725</v>
      </c>
      <c r="I187" s="330">
        <v>9476</v>
      </c>
      <c r="J187" s="330">
        <v>0</v>
      </c>
      <c r="K187" s="332">
        <v>76.94</v>
      </c>
      <c r="L187" s="332">
        <v>76.95</v>
      </c>
      <c r="M187" s="332">
        <v>2.5</v>
      </c>
      <c r="N187" s="332">
        <v>79.28</v>
      </c>
      <c r="O187" s="333">
        <v>7891</v>
      </c>
      <c r="P187" s="330">
        <v>90.99</v>
      </c>
      <c r="Q187" s="330">
        <v>74.34</v>
      </c>
      <c r="R187" s="330">
        <v>31.84</v>
      </c>
      <c r="S187" s="330">
        <v>122.81</v>
      </c>
      <c r="T187" s="330">
        <v>1387</v>
      </c>
      <c r="U187" s="330">
        <v>90.86</v>
      </c>
      <c r="V187" s="330">
        <v>53</v>
      </c>
      <c r="W187" s="330">
        <v>0</v>
      </c>
      <c r="X187" s="330">
        <v>0</v>
      </c>
      <c r="Y187" s="330">
        <v>0</v>
      </c>
      <c r="Z187" s="330">
        <v>22</v>
      </c>
      <c r="AA187" s="330">
        <v>21</v>
      </c>
      <c r="AB187" s="330">
        <v>24</v>
      </c>
      <c r="AC187" s="330">
        <v>3</v>
      </c>
      <c r="AD187" s="334">
        <v>7958</v>
      </c>
      <c r="AE187" s="334">
        <v>72</v>
      </c>
      <c r="AF187" s="334">
        <v>126</v>
      </c>
      <c r="AG187" s="334">
        <v>198</v>
      </c>
    </row>
    <row r="188" spans="1:33" x14ac:dyDescent="0.35">
      <c r="A188" s="329" t="s">
        <v>432</v>
      </c>
      <c r="B188" s="335" t="s">
        <v>433</v>
      </c>
      <c r="C188" s="331">
        <v>9395</v>
      </c>
      <c r="D188" s="331">
        <v>0</v>
      </c>
      <c r="E188" s="331">
        <v>250</v>
      </c>
      <c r="F188" s="331">
        <v>964</v>
      </c>
      <c r="G188" s="331">
        <v>564</v>
      </c>
      <c r="H188" s="331">
        <v>11173</v>
      </c>
      <c r="I188" s="330">
        <v>10609</v>
      </c>
      <c r="J188" s="330">
        <v>464</v>
      </c>
      <c r="K188" s="332">
        <v>107.26</v>
      </c>
      <c r="L188" s="332">
        <v>113.64</v>
      </c>
      <c r="M188" s="332">
        <v>4.83</v>
      </c>
      <c r="N188" s="332">
        <v>108.79</v>
      </c>
      <c r="O188" s="333">
        <v>9085</v>
      </c>
      <c r="P188" s="330">
        <v>95.55</v>
      </c>
      <c r="Q188" s="330">
        <v>95.89</v>
      </c>
      <c r="R188" s="330">
        <v>19.45</v>
      </c>
      <c r="S188" s="330">
        <v>114.66</v>
      </c>
      <c r="T188" s="330">
        <v>1192</v>
      </c>
      <c r="U188" s="330">
        <v>136.49</v>
      </c>
      <c r="V188" s="330">
        <v>237</v>
      </c>
      <c r="W188" s="330">
        <v>0</v>
      </c>
      <c r="X188" s="330">
        <v>0</v>
      </c>
      <c r="Y188" s="330">
        <v>0</v>
      </c>
      <c r="Z188" s="330">
        <v>20</v>
      </c>
      <c r="AA188" s="330">
        <v>0</v>
      </c>
      <c r="AB188" s="330">
        <v>12</v>
      </c>
      <c r="AC188" s="330">
        <v>8</v>
      </c>
      <c r="AD188" s="334">
        <v>9343</v>
      </c>
      <c r="AE188" s="334">
        <v>29</v>
      </c>
      <c r="AF188" s="334">
        <v>20</v>
      </c>
      <c r="AG188" s="334">
        <v>49</v>
      </c>
    </row>
    <row r="189" spans="1:33" x14ac:dyDescent="0.35">
      <c r="A189" s="329" t="s">
        <v>434</v>
      </c>
      <c r="B189" s="335" t="s">
        <v>435</v>
      </c>
      <c r="C189" s="331">
        <v>1157</v>
      </c>
      <c r="D189" s="331">
        <v>0</v>
      </c>
      <c r="E189" s="331">
        <v>126</v>
      </c>
      <c r="F189" s="331">
        <v>98</v>
      </c>
      <c r="G189" s="331">
        <v>449</v>
      </c>
      <c r="H189" s="331">
        <v>1830</v>
      </c>
      <c r="I189" s="330">
        <v>1381</v>
      </c>
      <c r="J189" s="330">
        <v>0</v>
      </c>
      <c r="K189" s="332">
        <v>86.54</v>
      </c>
      <c r="L189" s="332">
        <v>85.86</v>
      </c>
      <c r="M189" s="332">
        <v>4.41</v>
      </c>
      <c r="N189" s="332">
        <v>90.11</v>
      </c>
      <c r="O189" s="333">
        <v>772</v>
      </c>
      <c r="P189" s="330">
        <v>105.95</v>
      </c>
      <c r="Q189" s="330">
        <v>84.1</v>
      </c>
      <c r="R189" s="330">
        <v>69.06</v>
      </c>
      <c r="S189" s="330">
        <v>175.01</v>
      </c>
      <c r="T189" s="330">
        <v>210</v>
      </c>
      <c r="U189" s="330">
        <v>99.81</v>
      </c>
      <c r="V189" s="330">
        <v>274</v>
      </c>
      <c r="W189" s="330">
        <v>114.26</v>
      </c>
      <c r="X189" s="330">
        <v>1</v>
      </c>
      <c r="Y189" s="330">
        <v>0</v>
      </c>
      <c r="Z189" s="330">
        <v>3</v>
      </c>
      <c r="AA189" s="330">
        <v>1</v>
      </c>
      <c r="AB189" s="330">
        <v>76</v>
      </c>
      <c r="AC189" s="330">
        <v>8</v>
      </c>
      <c r="AD189" s="334">
        <v>1074</v>
      </c>
      <c r="AE189" s="334">
        <v>6</v>
      </c>
      <c r="AF189" s="334">
        <v>0</v>
      </c>
      <c r="AG189" s="334">
        <v>6</v>
      </c>
    </row>
    <row r="190" spans="1:33" x14ac:dyDescent="0.35">
      <c r="A190" s="329" t="s">
        <v>436</v>
      </c>
      <c r="B190" s="335" t="s">
        <v>437</v>
      </c>
      <c r="C190" s="331">
        <v>10848</v>
      </c>
      <c r="D190" s="331">
        <v>2</v>
      </c>
      <c r="E190" s="331">
        <v>237</v>
      </c>
      <c r="F190" s="331">
        <v>317</v>
      </c>
      <c r="G190" s="331">
        <v>80</v>
      </c>
      <c r="H190" s="331">
        <v>11484</v>
      </c>
      <c r="I190" s="330">
        <v>11404</v>
      </c>
      <c r="J190" s="330">
        <v>4</v>
      </c>
      <c r="K190" s="332">
        <v>78.41</v>
      </c>
      <c r="L190" s="332">
        <v>78.319999999999993</v>
      </c>
      <c r="M190" s="332">
        <v>3.14</v>
      </c>
      <c r="N190" s="332">
        <v>79.98</v>
      </c>
      <c r="O190" s="333">
        <v>10354</v>
      </c>
      <c r="P190" s="330">
        <v>99</v>
      </c>
      <c r="Q190" s="330">
        <v>81.19</v>
      </c>
      <c r="R190" s="330">
        <v>59.69</v>
      </c>
      <c r="S190" s="330">
        <v>154.72</v>
      </c>
      <c r="T190" s="330">
        <v>496</v>
      </c>
      <c r="U190" s="330">
        <v>95.18</v>
      </c>
      <c r="V190" s="330">
        <v>451</v>
      </c>
      <c r="W190" s="330">
        <v>203.18</v>
      </c>
      <c r="X190" s="330">
        <v>50</v>
      </c>
      <c r="Y190" s="330">
        <v>0</v>
      </c>
      <c r="Z190" s="330">
        <v>44</v>
      </c>
      <c r="AA190" s="330">
        <v>0</v>
      </c>
      <c r="AB190" s="330">
        <v>3</v>
      </c>
      <c r="AC190" s="330">
        <v>1</v>
      </c>
      <c r="AD190" s="334">
        <v>10809</v>
      </c>
      <c r="AE190" s="334">
        <v>123</v>
      </c>
      <c r="AF190" s="334">
        <v>20</v>
      </c>
      <c r="AG190" s="334">
        <v>143</v>
      </c>
    </row>
    <row r="191" spans="1:33" x14ac:dyDescent="0.35">
      <c r="A191" s="329" t="s">
        <v>438</v>
      </c>
      <c r="B191" s="335" t="s">
        <v>439</v>
      </c>
      <c r="C191" s="331">
        <v>5475</v>
      </c>
      <c r="D191" s="331">
        <v>0</v>
      </c>
      <c r="E191" s="331">
        <v>156</v>
      </c>
      <c r="F191" s="331">
        <v>654</v>
      </c>
      <c r="G191" s="331">
        <v>201</v>
      </c>
      <c r="H191" s="331">
        <v>6486</v>
      </c>
      <c r="I191" s="330">
        <v>6285</v>
      </c>
      <c r="J191" s="330">
        <v>2</v>
      </c>
      <c r="K191" s="332">
        <v>87.03</v>
      </c>
      <c r="L191" s="332">
        <v>86.25</v>
      </c>
      <c r="M191" s="332">
        <v>2.37</v>
      </c>
      <c r="N191" s="332">
        <v>88.7</v>
      </c>
      <c r="O191" s="333">
        <v>4806</v>
      </c>
      <c r="P191" s="330">
        <v>83</v>
      </c>
      <c r="Q191" s="330">
        <v>74.27</v>
      </c>
      <c r="R191" s="330">
        <v>22.25</v>
      </c>
      <c r="S191" s="330">
        <v>103.95</v>
      </c>
      <c r="T191" s="330">
        <v>775</v>
      </c>
      <c r="U191" s="330">
        <v>103.99</v>
      </c>
      <c r="V191" s="330">
        <v>652</v>
      </c>
      <c r="W191" s="330">
        <v>155.12</v>
      </c>
      <c r="X191" s="330">
        <v>30</v>
      </c>
      <c r="Y191" s="330">
        <v>0</v>
      </c>
      <c r="Z191" s="330">
        <v>7</v>
      </c>
      <c r="AA191" s="330">
        <v>45</v>
      </c>
      <c r="AB191" s="330">
        <v>12</v>
      </c>
      <c r="AC191" s="330">
        <v>3</v>
      </c>
      <c r="AD191" s="334">
        <v>5464</v>
      </c>
      <c r="AE191" s="334">
        <v>17</v>
      </c>
      <c r="AF191" s="334">
        <v>40</v>
      </c>
      <c r="AG191" s="334">
        <v>57</v>
      </c>
    </row>
    <row r="192" spans="1:33" x14ac:dyDescent="0.35">
      <c r="A192" s="336" t="s">
        <v>799</v>
      </c>
      <c r="B192" s="336" t="s">
        <v>797</v>
      </c>
      <c r="C192" s="330">
        <v>13718</v>
      </c>
      <c r="D192" s="330">
        <v>198</v>
      </c>
      <c r="E192" s="330">
        <v>744</v>
      </c>
      <c r="F192" s="330">
        <v>1003</v>
      </c>
      <c r="G192" s="330">
        <v>1546</v>
      </c>
      <c r="H192" s="330">
        <v>17209</v>
      </c>
      <c r="I192" s="330">
        <v>15663</v>
      </c>
      <c r="J192" s="330">
        <v>2</v>
      </c>
      <c r="K192" s="330">
        <v>88.22</v>
      </c>
      <c r="L192" s="330">
        <v>88.45</v>
      </c>
      <c r="M192" s="330">
        <v>6.49</v>
      </c>
      <c r="N192" s="330">
        <v>91.18</v>
      </c>
      <c r="O192" s="330">
        <v>11789</v>
      </c>
      <c r="P192" s="330">
        <v>89.48</v>
      </c>
      <c r="Q192" s="330">
        <v>81.239999999999995</v>
      </c>
      <c r="R192" s="330">
        <v>48.39</v>
      </c>
      <c r="S192" s="330">
        <v>135.53</v>
      </c>
      <c r="T192" s="330">
        <v>1629</v>
      </c>
      <c r="U192" s="330">
        <v>104.06</v>
      </c>
      <c r="V192" s="330">
        <v>1542</v>
      </c>
      <c r="W192" s="330">
        <v>158.22</v>
      </c>
      <c r="X192" s="330">
        <v>7</v>
      </c>
      <c r="Y192" s="330">
        <v>0</v>
      </c>
      <c r="Z192" s="330">
        <v>56</v>
      </c>
      <c r="AA192" s="330">
        <v>15</v>
      </c>
      <c r="AB192" s="330">
        <v>106</v>
      </c>
      <c r="AC192" s="330">
        <v>15</v>
      </c>
      <c r="AD192" s="330">
        <v>13634</v>
      </c>
      <c r="AE192" s="330">
        <v>95</v>
      </c>
      <c r="AF192" s="330">
        <v>73</v>
      </c>
      <c r="AG192" s="330">
        <v>168</v>
      </c>
    </row>
    <row r="193" spans="1:33" x14ac:dyDescent="0.35">
      <c r="A193" s="329" t="s">
        <v>440</v>
      </c>
      <c r="B193" s="335" t="s">
        <v>441</v>
      </c>
      <c r="C193" s="331">
        <v>8372</v>
      </c>
      <c r="D193" s="331">
        <v>66</v>
      </c>
      <c r="E193" s="331">
        <v>350</v>
      </c>
      <c r="F193" s="331">
        <v>632</v>
      </c>
      <c r="G193" s="331">
        <v>553</v>
      </c>
      <c r="H193" s="331">
        <v>9973</v>
      </c>
      <c r="I193" s="330">
        <v>9420</v>
      </c>
      <c r="J193" s="330">
        <v>13</v>
      </c>
      <c r="K193" s="332">
        <v>92.59</v>
      </c>
      <c r="L193" s="332">
        <v>92.26</v>
      </c>
      <c r="M193" s="332">
        <v>5.75</v>
      </c>
      <c r="N193" s="332">
        <v>98.16</v>
      </c>
      <c r="O193" s="333">
        <v>7340</v>
      </c>
      <c r="P193" s="330">
        <v>99.01</v>
      </c>
      <c r="Q193" s="330">
        <v>90.77</v>
      </c>
      <c r="R193" s="330">
        <v>66.87</v>
      </c>
      <c r="S193" s="330">
        <v>165.54</v>
      </c>
      <c r="T193" s="330">
        <v>800</v>
      </c>
      <c r="U193" s="330">
        <v>124.11</v>
      </c>
      <c r="V193" s="330">
        <v>907</v>
      </c>
      <c r="W193" s="330">
        <v>179.77</v>
      </c>
      <c r="X193" s="330">
        <v>48</v>
      </c>
      <c r="Y193" s="330">
        <v>0</v>
      </c>
      <c r="Z193" s="330">
        <v>21</v>
      </c>
      <c r="AA193" s="330">
        <v>3</v>
      </c>
      <c r="AB193" s="330">
        <v>41</v>
      </c>
      <c r="AC193" s="330">
        <v>9</v>
      </c>
      <c r="AD193" s="334">
        <v>8255</v>
      </c>
      <c r="AE193" s="334">
        <v>39</v>
      </c>
      <c r="AF193" s="334">
        <v>76</v>
      </c>
      <c r="AG193" s="334">
        <v>115</v>
      </c>
    </row>
    <row r="194" spans="1:33" x14ac:dyDescent="0.35">
      <c r="A194" s="329" t="s">
        <v>442</v>
      </c>
      <c r="B194" s="335" t="s">
        <v>443</v>
      </c>
      <c r="C194" s="331">
        <v>4343</v>
      </c>
      <c r="D194" s="331">
        <v>0</v>
      </c>
      <c r="E194" s="331">
        <v>523</v>
      </c>
      <c r="F194" s="331">
        <v>1279</v>
      </c>
      <c r="G194" s="331">
        <v>374</v>
      </c>
      <c r="H194" s="331">
        <v>6519</v>
      </c>
      <c r="I194" s="330">
        <v>6145</v>
      </c>
      <c r="J194" s="330">
        <v>0</v>
      </c>
      <c r="K194" s="332">
        <v>80.400000000000006</v>
      </c>
      <c r="L194" s="332">
        <v>76.98</v>
      </c>
      <c r="M194" s="332">
        <v>8.0399999999999991</v>
      </c>
      <c r="N194" s="332">
        <v>86.81</v>
      </c>
      <c r="O194" s="333">
        <v>3242</v>
      </c>
      <c r="P194" s="330">
        <v>90.77</v>
      </c>
      <c r="Q194" s="330">
        <v>75.239999999999995</v>
      </c>
      <c r="R194" s="330">
        <v>50.91</v>
      </c>
      <c r="S194" s="330">
        <v>141.11000000000001</v>
      </c>
      <c r="T194" s="330">
        <v>1540</v>
      </c>
      <c r="U194" s="330">
        <v>99.26</v>
      </c>
      <c r="V194" s="330">
        <v>900</v>
      </c>
      <c r="W194" s="330">
        <v>158.26</v>
      </c>
      <c r="X194" s="330">
        <v>131</v>
      </c>
      <c r="Y194" s="330">
        <v>0</v>
      </c>
      <c r="Z194" s="330">
        <v>0</v>
      </c>
      <c r="AA194" s="330">
        <v>2</v>
      </c>
      <c r="AB194" s="330">
        <v>48</v>
      </c>
      <c r="AC194" s="330">
        <v>4</v>
      </c>
      <c r="AD194" s="334">
        <v>4163</v>
      </c>
      <c r="AE194" s="334">
        <v>53</v>
      </c>
      <c r="AF194" s="334">
        <v>20</v>
      </c>
      <c r="AG194" s="334">
        <v>73</v>
      </c>
    </row>
    <row r="195" spans="1:33" x14ac:dyDescent="0.35">
      <c r="A195" s="329" t="s">
        <v>444</v>
      </c>
      <c r="B195" s="335" t="s">
        <v>445</v>
      </c>
      <c r="C195" s="331">
        <v>1076</v>
      </c>
      <c r="D195" s="331">
        <v>0</v>
      </c>
      <c r="E195" s="331">
        <v>13</v>
      </c>
      <c r="F195" s="331">
        <v>46</v>
      </c>
      <c r="G195" s="331">
        <v>235</v>
      </c>
      <c r="H195" s="331">
        <v>1370</v>
      </c>
      <c r="I195" s="330">
        <v>1135</v>
      </c>
      <c r="J195" s="330">
        <v>0</v>
      </c>
      <c r="K195" s="332">
        <v>96.13</v>
      </c>
      <c r="L195" s="332">
        <v>94.31</v>
      </c>
      <c r="M195" s="332">
        <v>5.59</v>
      </c>
      <c r="N195" s="332">
        <v>99.31</v>
      </c>
      <c r="O195" s="333">
        <v>846</v>
      </c>
      <c r="P195" s="330">
        <v>86.8</v>
      </c>
      <c r="Q195" s="330">
        <v>85.87</v>
      </c>
      <c r="R195" s="330">
        <v>28.05</v>
      </c>
      <c r="S195" s="330">
        <v>111.61</v>
      </c>
      <c r="T195" s="330">
        <v>52</v>
      </c>
      <c r="U195" s="330">
        <v>110.45</v>
      </c>
      <c r="V195" s="330">
        <v>227</v>
      </c>
      <c r="W195" s="330">
        <v>0</v>
      </c>
      <c r="X195" s="330">
        <v>0</v>
      </c>
      <c r="Y195" s="330">
        <v>0</v>
      </c>
      <c r="Z195" s="330">
        <v>3</v>
      </c>
      <c r="AA195" s="330">
        <v>0</v>
      </c>
      <c r="AB195" s="330">
        <v>3</v>
      </c>
      <c r="AC195" s="330">
        <v>3</v>
      </c>
      <c r="AD195" s="334">
        <v>1072</v>
      </c>
      <c r="AE195" s="334">
        <v>6</v>
      </c>
      <c r="AF195" s="334">
        <v>1</v>
      </c>
      <c r="AG195" s="334">
        <v>7</v>
      </c>
    </row>
    <row r="196" spans="1:33" x14ac:dyDescent="0.35">
      <c r="A196" s="329" t="s">
        <v>446</v>
      </c>
      <c r="B196" s="335" t="s">
        <v>447</v>
      </c>
      <c r="C196" s="331">
        <v>1989</v>
      </c>
      <c r="D196" s="331">
        <v>2</v>
      </c>
      <c r="E196" s="331">
        <v>61</v>
      </c>
      <c r="F196" s="331">
        <v>113</v>
      </c>
      <c r="G196" s="331">
        <v>447</v>
      </c>
      <c r="H196" s="331">
        <v>2612</v>
      </c>
      <c r="I196" s="330">
        <v>2165</v>
      </c>
      <c r="J196" s="330">
        <v>0</v>
      </c>
      <c r="K196" s="332">
        <v>86.08</v>
      </c>
      <c r="L196" s="332">
        <v>85.72</v>
      </c>
      <c r="M196" s="332">
        <v>6.42</v>
      </c>
      <c r="N196" s="332">
        <v>91.47</v>
      </c>
      <c r="O196" s="333">
        <v>1420</v>
      </c>
      <c r="P196" s="330">
        <v>88.18</v>
      </c>
      <c r="Q196" s="330">
        <v>95.24</v>
      </c>
      <c r="R196" s="330">
        <v>59.21</v>
      </c>
      <c r="S196" s="330">
        <v>145.08000000000001</v>
      </c>
      <c r="T196" s="330">
        <v>154</v>
      </c>
      <c r="U196" s="330">
        <v>101.39</v>
      </c>
      <c r="V196" s="330">
        <v>550</v>
      </c>
      <c r="W196" s="330">
        <v>0</v>
      </c>
      <c r="X196" s="330">
        <v>0</v>
      </c>
      <c r="Y196" s="330">
        <v>0</v>
      </c>
      <c r="Z196" s="330">
        <v>1</v>
      </c>
      <c r="AA196" s="330">
        <v>0</v>
      </c>
      <c r="AB196" s="330">
        <v>5</v>
      </c>
      <c r="AC196" s="330">
        <v>7</v>
      </c>
      <c r="AD196" s="334">
        <v>1989</v>
      </c>
      <c r="AE196" s="334">
        <v>21</v>
      </c>
      <c r="AF196" s="334">
        <v>11</v>
      </c>
      <c r="AG196" s="334">
        <v>32</v>
      </c>
    </row>
    <row r="197" spans="1:33" x14ac:dyDescent="0.35">
      <c r="A197" s="329" t="s">
        <v>448</v>
      </c>
      <c r="B197" s="335" t="s">
        <v>449</v>
      </c>
      <c r="C197" s="331">
        <v>14608</v>
      </c>
      <c r="D197" s="331">
        <v>8</v>
      </c>
      <c r="E197" s="331">
        <v>402</v>
      </c>
      <c r="F197" s="331">
        <v>2870</v>
      </c>
      <c r="G197" s="331">
        <v>528</v>
      </c>
      <c r="H197" s="331">
        <v>18416</v>
      </c>
      <c r="I197" s="330">
        <v>17888</v>
      </c>
      <c r="J197" s="330">
        <v>0</v>
      </c>
      <c r="K197" s="332">
        <v>73.97</v>
      </c>
      <c r="L197" s="332">
        <v>71.400000000000006</v>
      </c>
      <c r="M197" s="332">
        <v>2.37</v>
      </c>
      <c r="N197" s="332">
        <v>75.14</v>
      </c>
      <c r="O197" s="333">
        <v>13057</v>
      </c>
      <c r="P197" s="330">
        <v>75.08</v>
      </c>
      <c r="Q197" s="330">
        <v>66.540000000000006</v>
      </c>
      <c r="R197" s="330">
        <v>27.16</v>
      </c>
      <c r="S197" s="330">
        <v>98.35</v>
      </c>
      <c r="T197" s="330">
        <v>3126</v>
      </c>
      <c r="U197" s="330">
        <v>96.99</v>
      </c>
      <c r="V197" s="330">
        <v>1292</v>
      </c>
      <c r="W197" s="330">
        <v>135.13999999999999</v>
      </c>
      <c r="X197" s="330">
        <v>80</v>
      </c>
      <c r="Y197" s="330">
        <v>0</v>
      </c>
      <c r="Z197" s="330">
        <v>47</v>
      </c>
      <c r="AA197" s="330">
        <v>1</v>
      </c>
      <c r="AB197" s="330">
        <v>71</v>
      </c>
      <c r="AC197" s="330">
        <v>6</v>
      </c>
      <c r="AD197" s="334">
        <v>14350</v>
      </c>
      <c r="AE197" s="334">
        <v>209</v>
      </c>
      <c r="AF197" s="334">
        <v>96</v>
      </c>
      <c r="AG197" s="334">
        <v>305</v>
      </c>
    </row>
    <row r="198" spans="1:33" x14ac:dyDescent="0.35">
      <c r="A198" s="329" t="s">
        <v>450</v>
      </c>
      <c r="B198" s="335" t="s">
        <v>451</v>
      </c>
      <c r="C198" s="331">
        <v>4052</v>
      </c>
      <c r="D198" s="331">
        <v>0</v>
      </c>
      <c r="E198" s="331">
        <v>519</v>
      </c>
      <c r="F198" s="331">
        <v>1172</v>
      </c>
      <c r="G198" s="331">
        <v>275</v>
      </c>
      <c r="H198" s="331">
        <v>6018</v>
      </c>
      <c r="I198" s="330">
        <v>5743</v>
      </c>
      <c r="J198" s="330">
        <v>0</v>
      </c>
      <c r="K198" s="332">
        <v>87.2</v>
      </c>
      <c r="L198" s="332">
        <v>86.85</v>
      </c>
      <c r="M198" s="332">
        <v>6.61</v>
      </c>
      <c r="N198" s="332">
        <v>92.52</v>
      </c>
      <c r="O198" s="333">
        <v>3486</v>
      </c>
      <c r="P198" s="330">
        <v>89.15</v>
      </c>
      <c r="Q198" s="330">
        <v>80.56</v>
      </c>
      <c r="R198" s="330">
        <v>43.84</v>
      </c>
      <c r="S198" s="330">
        <v>131.36000000000001</v>
      </c>
      <c r="T198" s="330">
        <v>996</v>
      </c>
      <c r="U198" s="330">
        <v>105.89</v>
      </c>
      <c r="V198" s="330">
        <v>471</v>
      </c>
      <c r="W198" s="330">
        <v>227.05</v>
      </c>
      <c r="X198" s="330">
        <v>2</v>
      </c>
      <c r="Y198" s="330">
        <v>42</v>
      </c>
      <c r="Z198" s="330">
        <v>0</v>
      </c>
      <c r="AA198" s="330">
        <v>3</v>
      </c>
      <c r="AB198" s="330">
        <v>11</v>
      </c>
      <c r="AC198" s="330">
        <v>8</v>
      </c>
      <c r="AD198" s="334">
        <v>4037</v>
      </c>
      <c r="AE198" s="334">
        <v>25</v>
      </c>
      <c r="AF198" s="334">
        <v>60</v>
      </c>
      <c r="AG198" s="334">
        <v>85</v>
      </c>
    </row>
    <row r="199" spans="1:33" x14ac:dyDescent="0.35">
      <c r="A199" s="329" t="s">
        <v>452</v>
      </c>
      <c r="B199" s="335" t="s">
        <v>453</v>
      </c>
      <c r="C199" s="331">
        <v>6684</v>
      </c>
      <c r="D199" s="331">
        <v>150</v>
      </c>
      <c r="E199" s="331">
        <v>1266</v>
      </c>
      <c r="F199" s="331">
        <v>2245</v>
      </c>
      <c r="G199" s="331">
        <v>301</v>
      </c>
      <c r="H199" s="331">
        <v>10646</v>
      </c>
      <c r="I199" s="330">
        <v>10345</v>
      </c>
      <c r="J199" s="330">
        <v>25</v>
      </c>
      <c r="K199" s="332">
        <v>83.68</v>
      </c>
      <c r="L199" s="332">
        <v>80.87</v>
      </c>
      <c r="M199" s="332">
        <v>6.54</v>
      </c>
      <c r="N199" s="332">
        <v>87.96</v>
      </c>
      <c r="O199" s="333">
        <v>5756</v>
      </c>
      <c r="P199" s="330">
        <v>83.51</v>
      </c>
      <c r="Q199" s="330">
        <v>77.02</v>
      </c>
      <c r="R199" s="330">
        <v>77.290000000000006</v>
      </c>
      <c r="S199" s="330">
        <v>158.88999999999999</v>
      </c>
      <c r="T199" s="330">
        <v>2874</v>
      </c>
      <c r="U199" s="330">
        <v>101.93</v>
      </c>
      <c r="V199" s="330">
        <v>488</v>
      </c>
      <c r="W199" s="330">
        <v>188.44</v>
      </c>
      <c r="X199" s="330">
        <v>178</v>
      </c>
      <c r="Y199" s="330">
        <v>0</v>
      </c>
      <c r="Z199" s="330">
        <v>62</v>
      </c>
      <c r="AA199" s="330">
        <v>29</v>
      </c>
      <c r="AB199" s="330">
        <v>0</v>
      </c>
      <c r="AC199" s="330">
        <v>13</v>
      </c>
      <c r="AD199" s="334">
        <v>6612</v>
      </c>
      <c r="AE199" s="334">
        <v>39</v>
      </c>
      <c r="AF199" s="334">
        <v>34</v>
      </c>
      <c r="AG199" s="334">
        <v>73</v>
      </c>
    </row>
    <row r="200" spans="1:33" x14ac:dyDescent="0.35">
      <c r="A200" s="329" t="s">
        <v>454</v>
      </c>
      <c r="B200" s="335" t="s">
        <v>455</v>
      </c>
      <c r="C200" s="331">
        <v>2252</v>
      </c>
      <c r="D200" s="331">
        <v>0</v>
      </c>
      <c r="E200" s="331">
        <v>230</v>
      </c>
      <c r="F200" s="331">
        <v>332</v>
      </c>
      <c r="G200" s="331">
        <v>387</v>
      </c>
      <c r="H200" s="331">
        <v>3201</v>
      </c>
      <c r="I200" s="330">
        <v>2814</v>
      </c>
      <c r="J200" s="330">
        <v>10</v>
      </c>
      <c r="K200" s="332">
        <v>94.45</v>
      </c>
      <c r="L200" s="332">
        <v>92.29</v>
      </c>
      <c r="M200" s="332">
        <v>7.4</v>
      </c>
      <c r="N200" s="332">
        <v>100.6</v>
      </c>
      <c r="O200" s="333">
        <v>1668</v>
      </c>
      <c r="P200" s="330">
        <v>113.09</v>
      </c>
      <c r="Q200" s="330">
        <v>85.89</v>
      </c>
      <c r="R200" s="330">
        <v>55.67</v>
      </c>
      <c r="S200" s="330">
        <v>167.2</v>
      </c>
      <c r="T200" s="330">
        <v>429</v>
      </c>
      <c r="U200" s="330">
        <v>113.95</v>
      </c>
      <c r="V200" s="330">
        <v>566</v>
      </c>
      <c r="W200" s="330">
        <v>181.03</v>
      </c>
      <c r="X200" s="330">
        <v>60</v>
      </c>
      <c r="Y200" s="330">
        <v>0</v>
      </c>
      <c r="Z200" s="330">
        <v>12</v>
      </c>
      <c r="AA200" s="330">
        <v>0</v>
      </c>
      <c r="AB200" s="330">
        <v>39</v>
      </c>
      <c r="AC200" s="330">
        <v>13</v>
      </c>
      <c r="AD200" s="334">
        <v>2252</v>
      </c>
      <c r="AE200" s="334">
        <v>24</v>
      </c>
      <c r="AF200" s="334">
        <v>13</v>
      </c>
      <c r="AG200" s="334">
        <v>37</v>
      </c>
    </row>
    <row r="201" spans="1:33" x14ac:dyDescent="0.35">
      <c r="A201" s="329" t="s">
        <v>456</v>
      </c>
      <c r="B201" s="335" t="s">
        <v>457</v>
      </c>
      <c r="C201" s="331">
        <v>516</v>
      </c>
      <c r="D201" s="331">
        <v>0</v>
      </c>
      <c r="E201" s="331">
        <v>64</v>
      </c>
      <c r="F201" s="331">
        <v>95</v>
      </c>
      <c r="G201" s="331">
        <v>117</v>
      </c>
      <c r="H201" s="331">
        <v>792</v>
      </c>
      <c r="I201" s="330">
        <v>675</v>
      </c>
      <c r="J201" s="330">
        <v>1</v>
      </c>
      <c r="K201" s="332">
        <v>90.2</v>
      </c>
      <c r="L201" s="332">
        <v>88.66</v>
      </c>
      <c r="M201" s="332">
        <v>5.18</v>
      </c>
      <c r="N201" s="332">
        <v>93.08</v>
      </c>
      <c r="O201" s="333">
        <v>281</v>
      </c>
      <c r="P201" s="330">
        <v>109.73</v>
      </c>
      <c r="Q201" s="330">
        <v>84.65</v>
      </c>
      <c r="R201" s="330">
        <v>46.12</v>
      </c>
      <c r="S201" s="330">
        <v>155.85</v>
      </c>
      <c r="T201" s="330">
        <v>141</v>
      </c>
      <c r="U201" s="330">
        <v>108.07</v>
      </c>
      <c r="V201" s="330">
        <v>142</v>
      </c>
      <c r="W201" s="330">
        <v>0</v>
      </c>
      <c r="X201" s="330">
        <v>0</v>
      </c>
      <c r="Y201" s="330">
        <v>0</v>
      </c>
      <c r="Z201" s="330">
        <v>1</v>
      </c>
      <c r="AA201" s="330">
        <v>0</v>
      </c>
      <c r="AB201" s="330">
        <v>5</v>
      </c>
      <c r="AC201" s="330">
        <v>2</v>
      </c>
      <c r="AD201" s="334">
        <v>481</v>
      </c>
      <c r="AE201" s="334">
        <v>4</v>
      </c>
      <c r="AF201" s="334">
        <v>2</v>
      </c>
      <c r="AG201" s="334">
        <v>6</v>
      </c>
    </row>
    <row r="202" spans="1:33" x14ac:dyDescent="0.35">
      <c r="A202" s="329" t="s">
        <v>458</v>
      </c>
      <c r="B202" s="335" t="s">
        <v>459</v>
      </c>
      <c r="C202" s="331">
        <v>17187</v>
      </c>
      <c r="D202" s="331">
        <v>2</v>
      </c>
      <c r="E202" s="331">
        <v>568</v>
      </c>
      <c r="F202" s="331">
        <v>749</v>
      </c>
      <c r="G202" s="331">
        <v>269</v>
      </c>
      <c r="H202" s="331">
        <v>18775</v>
      </c>
      <c r="I202" s="330">
        <v>18506</v>
      </c>
      <c r="J202" s="330">
        <v>106</v>
      </c>
      <c r="K202" s="332">
        <v>76.099999999999994</v>
      </c>
      <c r="L202" s="332">
        <v>75.989999999999995</v>
      </c>
      <c r="M202" s="332">
        <v>4.54</v>
      </c>
      <c r="N202" s="332">
        <v>78.45</v>
      </c>
      <c r="O202" s="333">
        <v>15183</v>
      </c>
      <c r="P202" s="330">
        <v>77.02</v>
      </c>
      <c r="Q202" s="330">
        <v>75.23</v>
      </c>
      <c r="R202" s="330">
        <v>28.94</v>
      </c>
      <c r="S202" s="330">
        <v>103.32</v>
      </c>
      <c r="T202" s="330">
        <v>1260</v>
      </c>
      <c r="U202" s="330">
        <v>96.69</v>
      </c>
      <c r="V202" s="330">
        <v>1403</v>
      </c>
      <c r="W202" s="330">
        <v>0</v>
      </c>
      <c r="X202" s="330">
        <v>0</v>
      </c>
      <c r="Y202" s="330">
        <v>0</v>
      </c>
      <c r="Z202" s="330">
        <v>86</v>
      </c>
      <c r="AA202" s="330">
        <v>4</v>
      </c>
      <c r="AB202" s="330">
        <v>31</v>
      </c>
      <c r="AC202" s="330">
        <v>2</v>
      </c>
      <c r="AD202" s="334">
        <v>16536</v>
      </c>
      <c r="AE202" s="334">
        <v>47</v>
      </c>
      <c r="AF202" s="334">
        <v>101</v>
      </c>
      <c r="AG202" s="334">
        <v>148</v>
      </c>
    </row>
    <row r="203" spans="1:33" x14ac:dyDescent="0.35">
      <c r="A203" s="329" t="s">
        <v>460</v>
      </c>
      <c r="B203" s="335" t="s">
        <v>461</v>
      </c>
      <c r="C203" s="331">
        <v>3093</v>
      </c>
      <c r="D203" s="331">
        <v>2</v>
      </c>
      <c r="E203" s="331">
        <v>459</v>
      </c>
      <c r="F203" s="331">
        <v>858</v>
      </c>
      <c r="G203" s="331">
        <v>682</v>
      </c>
      <c r="H203" s="331">
        <v>5094</v>
      </c>
      <c r="I203" s="330">
        <v>4412</v>
      </c>
      <c r="J203" s="330">
        <v>7</v>
      </c>
      <c r="K203" s="332">
        <v>112.45</v>
      </c>
      <c r="L203" s="332">
        <v>107.93</v>
      </c>
      <c r="M203" s="332">
        <v>7</v>
      </c>
      <c r="N203" s="332">
        <v>117.84</v>
      </c>
      <c r="O203" s="333">
        <v>2932</v>
      </c>
      <c r="P203" s="330">
        <v>103.96</v>
      </c>
      <c r="Q203" s="330">
        <v>93.42</v>
      </c>
      <c r="R203" s="330">
        <v>48.12</v>
      </c>
      <c r="S203" s="330">
        <v>151.22999999999999</v>
      </c>
      <c r="T203" s="330">
        <v>1262</v>
      </c>
      <c r="U203" s="330">
        <v>165.92</v>
      </c>
      <c r="V203" s="330">
        <v>76</v>
      </c>
      <c r="W203" s="330">
        <v>0</v>
      </c>
      <c r="X203" s="330">
        <v>0</v>
      </c>
      <c r="Y203" s="330">
        <v>0</v>
      </c>
      <c r="Z203" s="330">
        <v>1</v>
      </c>
      <c r="AA203" s="330">
        <v>97</v>
      </c>
      <c r="AB203" s="330">
        <v>20</v>
      </c>
      <c r="AC203" s="330">
        <v>11</v>
      </c>
      <c r="AD203" s="334">
        <v>3021</v>
      </c>
      <c r="AE203" s="334">
        <v>16</v>
      </c>
      <c r="AF203" s="334">
        <v>57</v>
      </c>
      <c r="AG203" s="334">
        <v>73</v>
      </c>
    </row>
    <row r="204" spans="1:33" x14ac:dyDescent="0.35">
      <c r="A204" s="329" t="s">
        <v>462</v>
      </c>
      <c r="B204" s="335" t="s">
        <v>463</v>
      </c>
      <c r="C204" s="331">
        <v>4224</v>
      </c>
      <c r="D204" s="331">
        <v>0</v>
      </c>
      <c r="E204" s="331">
        <v>237</v>
      </c>
      <c r="F204" s="331">
        <v>198</v>
      </c>
      <c r="G204" s="331">
        <v>12</v>
      </c>
      <c r="H204" s="331">
        <v>4671</v>
      </c>
      <c r="I204" s="330">
        <v>4659</v>
      </c>
      <c r="J204" s="330">
        <v>5</v>
      </c>
      <c r="K204" s="332">
        <v>72.459999999999994</v>
      </c>
      <c r="L204" s="332">
        <v>69.77</v>
      </c>
      <c r="M204" s="332">
        <v>1.79</v>
      </c>
      <c r="N204" s="332">
        <v>74.069999999999993</v>
      </c>
      <c r="O204" s="333">
        <v>3742</v>
      </c>
      <c r="P204" s="330">
        <v>94.82</v>
      </c>
      <c r="Q204" s="330">
        <v>75.849999999999994</v>
      </c>
      <c r="R204" s="330">
        <v>48.05</v>
      </c>
      <c r="S204" s="330">
        <v>142.56</v>
      </c>
      <c r="T204" s="330">
        <v>311</v>
      </c>
      <c r="U204" s="330">
        <v>92.68</v>
      </c>
      <c r="V204" s="330">
        <v>467</v>
      </c>
      <c r="W204" s="330">
        <v>179.9</v>
      </c>
      <c r="X204" s="330">
        <v>24</v>
      </c>
      <c r="Y204" s="330">
        <v>0</v>
      </c>
      <c r="Z204" s="330">
        <v>17</v>
      </c>
      <c r="AA204" s="330">
        <v>10</v>
      </c>
      <c r="AB204" s="330">
        <v>5</v>
      </c>
      <c r="AC204" s="330">
        <v>0</v>
      </c>
      <c r="AD204" s="334">
        <v>4220</v>
      </c>
      <c r="AE204" s="334">
        <v>47</v>
      </c>
      <c r="AF204" s="334">
        <v>21</v>
      </c>
      <c r="AG204" s="334">
        <v>68</v>
      </c>
    </row>
    <row r="205" spans="1:33" x14ac:dyDescent="0.35">
      <c r="A205" s="329" t="s">
        <v>464</v>
      </c>
      <c r="B205" s="335" t="s">
        <v>465</v>
      </c>
      <c r="C205" s="331">
        <v>13094</v>
      </c>
      <c r="D205" s="331">
        <v>29</v>
      </c>
      <c r="E205" s="331">
        <v>595</v>
      </c>
      <c r="F205" s="331">
        <v>2293</v>
      </c>
      <c r="G205" s="331">
        <v>1016</v>
      </c>
      <c r="H205" s="331">
        <v>17027</v>
      </c>
      <c r="I205" s="330">
        <v>16011</v>
      </c>
      <c r="J205" s="330">
        <v>8</v>
      </c>
      <c r="K205" s="332">
        <v>85.02</v>
      </c>
      <c r="L205" s="332">
        <v>85.33</v>
      </c>
      <c r="M205" s="332">
        <v>6.09</v>
      </c>
      <c r="N205" s="332">
        <v>88.08</v>
      </c>
      <c r="O205" s="333">
        <v>11204</v>
      </c>
      <c r="P205" s="330">
        <v>90.92</v>
      </c>
      <c r="Q205" s="330">
        <v>85.36</v>
      </c>
      <c r="R205" s="330">
        <v>36.44</v>
      </c>
      <c r="S205" s="330">
        <v>125.78</v>
      </c>
      <c r="T205" s="330">
        <v>2557</v>
      </c>
      <c r="U205" s="330">
        <v>105.73</v>
      </c>
      <c r="V205" s="330">
        <v>1616</v>
      </c>
      <c r="W205" s="330">
        <v>199.76</v>
      </c>
      <c r="X205" s="330">
        <v>87</v>
      </c>
      <c r="Y205" s="330">
        <v>0</v>
      </c>
      <c r="Z205" s="330">
        <v>50</v>
      </c>
      <c r="AA205" s="330">
        <v>2</v>
      </c>
      <c r="AB205" s="330">
        <v>75</v>
      </c>
      <c r="AC205" s="330">
        <v>23</v>
      </c>
      <c r="AD205" s="334">
        <v>13094</v>
      </c>
      <c r="AE205" s="334">
        <v>79</v>
      </c>
      <c r="AF205" s="334">
        <v>37</v>
      </c>
      <c r="AG205" s="334">
        <v>116</v>
      </c>
    </row>
    <row r="206" spans="1:33" x14ac:dyDescent="0.35">
      <c r="A206" s="329" t="s">
        <v>466</v>
      </c>
      <c r="B206" s="335" t="s">
        <v>467</v>
      </c>
      <c r="C206" s="331">
        <v>19323</v>
      </c>
      <c r="D206" s="331">
        <v>0</v>
      </c>
      <c r="E206" s="331">
        <v>2442</v>
      </c>
      <c r="F206" s="331">
        <v>1063</v>
      </c>
      <c r="G206" s="331">
        <v>1207</v>
      </c>
      <c r="H206" s="331">
        <v>24035</v>
      </c>
      <c r="I206" s="330">
        <v>22828</v>
      </c>
      <c r="J206" s="330">
        <v>231</v>
      </c>
      <c r="K206" s="332">
        <v>74.33</v>
      </c>
      <c r="L206" s="332">
        <v>73.87</v>
      </c>
      <c r="M206" s="332">
        <v>6.79</v>
      </c>
      <c r="N206" s="332">
        <v>78.569999999999993</v>
      </c>
      <c r="O206" s="333">
        <v>14550</v>
      </c>
      <c r="P206" s="330">
        <v>70.88</v>
      </c>
      <c r="Q206" s="330">
        <v>69.16</v>
      </c>
      <c r="R206" s="330">
        <v>27.77</v>
      </c>
      <c r="S206" s="330">
        <v>96.51</v>
      </c>
      <c r="T206" s="330">
        <v>2967</v>
      </c>
      <c r="U206" s="330">
        <v>105.35</v>
      </c>
      <c r="V206" s="330">
        <v>4134</v>
      </c>
      <c r="W206" s="330">
        <v>101.28</v>
      </c>
      <c r="X206" s="330">
        <v>435</v>
      </c>
      <c r="Y206" s="330">
        <v>0</v>
      </c>
      <c r="Z206" s="330">
        <v>59</v>
      </c>
      <c r="AA206" s="330">
        <v>41</v>
      </c>
      <c r="AB206" s="330">
        <v>78</v>
      </c>
      <c r="AC206" s="330">
        <v>36</v>
      </c>
      <c r="AD206" s="334">
        <v>18743</v>
      </c>
      <c r="AE206" s="334">
        <v>143</v>
      </c>
      <c r="AF206" s="334">
        <v>407</v>
      </c>
      <c r="AG206" s="334">
        <v>550</v>
      </c>
    </row>
    <row r="207" spans="1:33" x14ac:dyDescent="0.35">
      <c r="A207" s="329" t="s">
        <v>468</v>
      </c>
      <c r="B207" s="335" t="s">
        <v>469</v>
      </c>
      <c r="C207" s="331">
        <v>4854</v>
      </c>
      <c r="D207" s="331">
        <v>36</v>
      </c>
      <c r="E207" s="331">
        <v>445</v>
      </c>
      <c r="F207" s="331">
        <v>1062</v>
      </c>
      <c r="G207" s="331">
        <v>650</v>
      </c>
      <c r="H207" s="331">
        <v>7047</v>
      </c>
      <c r="I207" s="330">
        <v>6397</v>
      </c>
      <c r="J207" s="330">
        <v>8</v>
      </c>
      <c r="K207" s="332">
        <v>97.53</v>
      </c>
      <c r="L207" s="332">
        <v>94.16</v>
      </c>
      <c r="M207" s="332">
        <v>9.2799999999999994</v>
      </c>
      <c r="N207" s="332">
        <v>104.82</v>
      </c>
      <c r="O207" s="333">
        <v>3746</v>
      </c>
      <c r="P207" s="330">
        <v>86.12</v>
      </c>
      <c r="Q207" s="330">
        <v>76.61</v>
      </c>
      <c r="R207" s="330">
        <v>28.58</v>
      </c>
      <c r="S207" s="330">
        <v>114</v>
      </c>
      <c r="T207" s="330">
        <v>570</v>
      </c>
      <c r="U207" s="330">
        <v>128.24</v>
      </c>
      <c r="V207" s="330">
        <v>823</v>
      </c>
      <c r="W207" s="330">
        <v>176.02</v>
      </c>
      <c r="X207" s="330">
        <v>275</v>
      </c>
      <c r="Y207" s="330">
        <v>2</v>
      </c>
      <c r="Z207" s="330">
        <v>2</v>
      </c>
      <c r="AA207" s="330">
        <v>1</v>
      </c>
      <c r="AB207" s="330">
        <v>15</v>
      </c>
      <c r="AC207" s="330">
        <v>27</v>
      </c>
      <c r="AD207" s="334">
        <v>4762</v>
      </c>
      <c r="AE207" s="334">
        <v>33</v>
      </c>
      <c r="AF207" s="334">
        <v>15</v>
      </c>
      <c r="AG207" s="334">
        <v>48</v>
      </c>
    </row>
    <row r="208" spans="1:33" x14ac:dyDescent="0.35">
      <c r="A208" s="329" t="s">
        <v>470</v>
      </c>
      <c r="B208" s="335" t="s">
        <v>471</v>
      </c>
      <c r="C208" s="331">
        <v>10203</v>
      </c>
      <c r="D208" s="331">
        <v>6</v>
      </c>
      <c r="E208" s="331">
        <v>585</v>
      </c>
      <c r="F208" s="331">
        <v>911</v>
      </c>
      <c r="G208" s="331">
        <v>515</v>
      </c>
      <c r="H208" s="331">
        <v>12220</v>
      </c>
      <c r="I208" s="330">
        <v>11705</v>
      </c>
      <c r="J208" s="330">
        <v>28</v>
      </c>
      <c r="K208" s="332">
        <v>77.489999999999995</v>
      </c>
      <c r="L208" s="332">
        <v>77.02</v>
      </c>
      <c r="M208" s="332">
        <v>6.63</v>
      </c>
      <c r="N208" s="332">
        <v>81.05</v>
      </c>
      <c r="O208" s="333">
        <v>9103</v>
      </c>
      <c r="P208" s="330">
        <v>80.290000000000006</v>
      </c>
      <c r="Q208" s="330">
        <v>70.69</v>
      </c>
      <c r="R208" s="330">
        <v>50.44</v>
      </c>
      <c r="S208" s="330">
        <v>125.04</v>
      </c>
      <c r="T208" s="330">
        <v>1411</v>
      </c>
      <c r="U208" s="330">
        <v>101.14</v>
      </c>
      <c r="V208" s="330">
        <v>1069</v>
      </c>
      <c r="W208" s="330">
        <v>0</v>
      </c>
      <c r="X208" s="330">
        <v>0</v>
      </c>
      <c r="Y208" s="330">
        <v>0</v>
      </c>
      <c r="Z208" s="330">
        <v>43</v>
      </c>
      <c r="AA208" s="330">
        <v>32</v>
      </c>
      <c r="AB208" s="330">
        <v>14</v>
      </c>
      <c r="AC208" s="330">
        <v>7</v>
      </c>
      <c r="AD208" s="334">
        <v>10181</v>
      </c>
      <c r="AE208" s="334">
        <v>70</v>
      </c>
      <c r="AF208" s="334">
        <v>131</v>
      </c>
      <c r="AG208" s="334">
        <v>201</v>
      </c>
    </row>
    <row r="209" spans="1:33" x14ac:dyDescent="0.35">
      <c r="A209" s="329" t="s">
        <v>472</v>
      </c>
      <c r="B209" s="335" t="s">
        <v>473</v>
      </c>
      <c r="C209" s="331">
        <v>3698</v>
      </c>
      <c r="D209" s="331">
        <v>47</v>
      </c>
      <c r="E209" s="331">
        <v>309</v>
      </c>
      <c r="F209" s="331">
        <v>493</v>
      </c>
      <c r="G209" s="331">
        <v>937</v>
      </c>
      <c r="H209" s="331">
        <v>5484</v>
      </c>
      <c r="I209" s="330">
        <v>4547</v>
      </c>
      <c r="J209" s="330">
        <v>13</v>
      </c>
      <c r="K209" s="332">
        <v>116.31</v>
      </c>
      <c r="L209" s="332">
        <v>113.99</v>
      </c>
      <c r="M209" s="332">
        <v>9.56</v>
      </c>
      <c r="N209" s="332">
        <v>125.33</v>
      </c>
      <c r="O209" s="333">
        <v>2857</v>
      </c>
      <c r="P209" s="330">
        <v>107.27</v>
      </c>
      <c r="Q209" s="330">
        <v>99.65</v>
      </c>
      <c r="R209" s="330">
        <v>76.78</v>
      </c>
      <c r="S209" s="330">
        <v>180.7</v>
      </c>
      <c r="T209" s="330">
        <v>641</v>
      </c>
      <c r="U209" s="330">
        <v>176.25</v>
      </c>
      <c r="V209" s="330">
        <v>490</v>
      </c>
      <c r="W209" s="330">
        <v>145.15</v>
      </c>
      <c r="X209" s="330">
        <v>33</v>
      </c>
      <c r="Y209" s="330">
        <v>0</v>
      </c>
      <c r="Z209" s="330">
        <v>1</v>
      </c>
      <c r="AA209" s="330">
        <v>9</v>
      </c>
      <c r="AB209" s="330">
        <v>19</v>
      </c>
      <c r="AC209" s="330">
        <v>42</v>
      </c>
      <c r="AD209" s="334">
        <v>3574</v>
      </c>
      <c r="AE209" s="334">
        <v>24</v>
      </c>
      <c r="AF209" s="334">
        <v>11</v>
      </c>
      <c r="AG209" s="334">
        <v>35</v>
      </c>
    </row>
    <row r="210" spans="1:33" x14ac:dyDescent="0.35">
      <c r="A210" s="329" t="s">
        <v>474</v>
      </c>
      <c r="B210" s="335" t="s">
        <v>475</v>
      </c>
      <c r="C210" s="331">
        <v>3493</v>
      </c>
      <c r="D210" s="331">
        <v>0</v>
      </c>
      <c r="E210" s="331">
        <v>332</v>
      </c>
      <c r="F210" s="331">
        <v>1096</v>
      </c>
      <c r="G210" s="331">
        <v>824</v>
      </c>
      <c r="H210" s="331">
        <v>5745</v>
      </c>
      <c r="I210" s="330">
        <v>4921</v>
      </c>
      <c r="J210" s="330">
        <v>1</v>
      </c>
      <c r="K210" s="332">
        <v>122.43</v>
      </c>
      <c r="L210" s="332">
        <v>120.73</v>
      </c>
      <c r="M210" s="332">
        <v>11.52</v>
      </c>
      <c r="N210" s="332">
        <v>129.11000000000001</v>
      </c>
      <c r="O210" s="333">
        <v>2860</v>
      </c>
      <c r="P210" s="330">
        <v>103.02</v>
      </c>
      <c r="Q210" s="330">
        <v>99.71</v>
      </c>
      <c r="R210" s="330">
        <v>39.25</v>
      </c>
      <c r="S210" s="330">
        <v>141.13</v>
      </c>
      <c r="T210" s="330">
        <v>1243</v>
      </c>
      <c r="U210" s="330">
        <v>186.69</v>
      </c>
      <c r="V210" s="330">
        <v>360</v>
      </c>
      <c r="W210" s="330">
        <v>95.98</v>
      </c>
      <c r="X210" s="330">
        <v>53</v>
      </c>
      <c r="Y210" s="330">
        <v>12</v>
      </c>
      <c r="Z210" s="330">
        <v>1</v>
      </c>
      <c r="AA210" s="330">
        <v>1</v>
      </c>
      <c r="AB210" s="330">
        <v>146</v>
      </c>
      <c r="AC210" s="330">
        <v>21</v>
      </c>
      <c r="AD210" s="334">
        <v>3370</v>
      </c>
      <c r="AE210" s="334">
        <v>23</v>
      </c>
      <c r="AF210" s="334">
        <v>8</v>
      </c>
      <c r="AG210" s="334">
        <v>31</v>
      </c>
    </row>
    <row r="211" spans="1:33" x14ac:dyDescent="0.35">
      <c r="A211" s="329" t="s">
        <v>476</v>
      </c>
      <c r="B211" s="335" t="s">
        <v>477</v>
      </c>
      <c r="C211" s="331">
        <v>11388</v>
      </c>
      <c r="D211" s="331">
        <v>0</v>
      </c>
      <c r="E211" s="331">
        <v>214</v>
      </c>
      <c r="F211" s="331">
        <v>629</v>
      </c>
      <c r="G211" s="331">
        <v>292</v>
      </c>
      <c r="H211" s="331">
        <v>12523</v>
      </c>
      <c r="I211" s="330">
        <v>12231</v>
      </c>
      <c r="J211" s="330">
        <v>71</v>
      </c>
      <c r="K211" s="332">
        <v>85.8</v>
      </c>
      <c r="L211" s="332">
        <v>85.98</v>
      </c>
      <c r="M211" s="332">
        <v>5.21</v>
      </c>
      <c r="N211" s="332">
        <v>88.46</v>
      </c>
      <c r="O211" s="333">
        <v>10840</v>
      </c>
      <c r="P211" s="330">
        <v>83.88</v>
      </c>
      <c r="Q211" s="330">
        <v>76.650000000000006</v>
      </c>
      <c r="R211" s="330">
        <v>51.55</v>
      </c>
      <c r="S211" s="330">
        <v>135.34</v>
      </c>
      <c r="T211" s="330">
        <v>642</v>
      </c>
      <c r="U211" s="330">
        <v>103.48</v>
      </c>
      <c r="V211" s="330">
        <v>347</v>
      </c>
      <c r="W211" s="330">
        <v>137.53</v>
      </c>
      <c r="X211" s="330">
        <v>153</v>
      </c>
      <c r="Y211" s="330">
        <v>0</v>
      </c>
      <c r="Z211" s="330">
        <v>45</v>
      </c>
      <c r="AA211" s="330">
        <v>0</v>
      </c>
      <c r="AB211" s="330">
        <v>42</v>
      </c>
      <c r="AC211" s="330">
        <v>6</v>
      </c>
      <c r="AD211" s="334">
        <v>11385</v>
      </c>
      <c r="AE211" s="334">
        <v>95</v>
      </c>
      <c r="AF211" s="334">
        <v>90</v>
      </c>
      <c r="AG211" s="334">
        <v>185</v>
      </c>
    </row>
    <row r="212" spans="1:33" x14ac:dyDescent="0.35">
      <c r="A212" s="329" t="s">
        <v>478</v>
      </c>
      <c r="B212" s="335" t="s">
        <v>479</v>
      </c>
      <c r="C212" s="331">
        <v>1871</v>
      </c>
      <c r="D212" s="331">
        <v>0</v>
      </c>
      <c r="E212" s="331">
        <v>158</v>
      </c>
      <c r="F212" s="331">
        <v>181</v>
      </c>
      <c r="G212" s="331">
        <v>244</v>
      </c>
      <c r="H212" s="331">
        <v>2454</v>
      </c>
      <c r="I212" s="330">
        <v>2210</v>
      </c>
      <c r="J212" s="330">
        <v>0</v>
      </c>
      <c r="K212" s="332">
        <v>89.38</v>
      </c>
      <c r="L212" s="332">
        <v>87.84</v>
      </c>
      <c r="M212" s="332">
        <v>4.8600000000000003</v>
      </c>
      <c r="N212" s="332">
        <v>93.51</v>
      </c>
      <c r="O212" s="333">
        <v>1465</v>
      </c>
      <c r="P212" s="330">
        <v>102.67</v>
      </c>
      <c r="Q212" s="330">
        <v>98.38</v>
      </c>
      <c r="R212" s="330">
        <v>60.22</v>
      </c>
      <c r="S212" s="330">
        <v>161.88999999999999</v>
      </c>
      <c r="T212" s="330">
        <v>242</v>
      </c>
      <c r="U212" s="330">
        <v>117.71</v>
      </c>
      <c r="V212" s="330">
        <v>197</v>
      </c>
      <c r="W212" s="330">
        <v>209.51</v>
      </c>
      <c r="X212" s="330">
        <v>44</v>
      </c>
      <c r="Y212" s="330">
        <v>0</v>
      </c>
      <c r="Z212" s="330">
        <v>5</v>
      </c>
      <c r="AA212" s="330">
        <v>1</v>
      </c>
      <c r="AB212" s="330">
        <v>23</v>
      </c>
      <c r="AC212" s="330">
        <v>3</v>
      </c>
      <c r="AD212" s="334">
        <v>1706</v>
      </c>
      <c r="AE212" s="334">
        <v>11</v>
      </c>
      <c r="AF212" s="334">
        <v>1</v>
      </c>
      <c r="AG212" s="334">
        <v>12</v>
      </c>
    </row>
    <row r="213" spans="1:33" x14ac:dyDescent="0.35">
      <c r="A213" s="329" t="s">
        <v>480</v>
      </c>
      <c r="B213" s="335" t="s">
        <v>481</v>
      </c>
      <c r="C213" s="331">
        <v>6168</v>
      </c>
      <c r="D213" s="331">
        <v>0</v>
      </c>
      <c r="E213" s="331">
        <v>390</v>
      </c>
      <c r="F213" s="331">
        <v>532</v>
      </c>
      <c r="G213" s="331">
        <v>828</v>
      </c>
      <c r="H213" s="331">
        <v>7918</v>
      </c>
      <c r="I213" s="330">
        <v>7090</v>
      </c>
      <c r="J213" s="330">
        <v>5</v>
      </c>
      <c r="K213" s="332">
        <v>116.83</v>
      </c>
      <c r="L213" s="332">
        <v>117</v>
      </c>
      <c r="M213" s="332">
        <v>4.67</v>
      </c>
      <c r="N213" s="332">
        <v>121.26</v>
      </c>
      <c r="O213" s="333">
        <v>5145</v>
      </c>
      <c r="P213" s="330">
        <v>112.27</v>
      </c>
      <c r="Q213" s="330">
        <v>99.91</v>
      </c>
      <c r="R213" s="330">
        <v>31.05</v>
      </c>
      <c r="S213" s="330">
        <v>142.21</v>
      </c>
      <c r="T213" s="330">
        <v>643</v>
      </c>
      <c r="U213" s="330">
        <v>150.65</v>
      </c>
      <c r="V213" s="330">
        <v>907</v>
      </c>
      <c r="W213" s="330">
        <v>213.4</v>
      </c>
      <c r="X213" s="330">
        <v>63</v>
      </c>
      <c r="Y213" s="330">
        <v>10</v>
      </c>
      <c r="Z213" s="330">
        <v>14</v>
      </c>
      <c r="AA213" s="330">
        <v>2</v>
      </c>
      <c r="AB213" s="330">
        <v>36</v>
      </c>
      <c r="AC213" s="330">
        <v>28</v>
      </c>
      <c r="AD213" s="334">
        <v>6168</v>
      </c>
      <c r="AE213" s="334">
        <v>20</v>
      </c>
      <c r="AF213" s="334">
        <v>34</v>
      </c>
      <c r="AG213" s="334">
        <v>54</v>
      </c>
    </row>
    <row r="214" spans="1:33" x14ac:dyDescent="0.35">
      <c r="A214" s="329" t="s">
        <v>482</v>
      </c>
      <c r="B214" s="335" t="s">
        <v>483</v>
      </c>
      <c r="C214" s="331">
        <v>1303</v>
      </c>
      <c r="D214" s="331">
        <v>0</v>
      </c>
      <c r="E214" s="331">
        <v>87</v>
      </c>
      <c r="F214" s="331">
        <v>749</v>
      </c>
      <c r="G214" s="331">
        <v>377</v>
      </c>
      <c r="H214" s="331">
        <v>2516</v>
      </c>
      <c r="I214" s="330">
        <v>2139</v>
      </c>
      <c r="J214" s="330">
        <v>35</v>
      </c>
      <c r="K214" s="332">
        <v>83.87</v>
      </c>
      <c r="L214" s="332">
        <v>83.44</v>
      </c>
      <c r="M214" s="332">
        <v>3.65</v>
      </c>
      <c r="N214" s="332">
        <v>86.39</v>
      </c>
      <c r="O214" s="333">
        <v>957</v>
      </c>
      <c r="P214" s="330">
        <v>72.87</v>
      </c>
      <c r="Q214" s="330">
        <v>69.41</v>
      </c>
      <c r="R214" s="330">
        <v>19.03</v>
      </c>
      <c r="S214" s="330">
        <v>91.31</v>
      </c>
      <c r="T214" s="330">
        <v>777</v>
      </c>
      <c r="U214" s="330">
        <v>102.28</v>
      </c>
      <c r="V214" s="330">
        <v>342</v>
      </c>
      <c r="W214" s="330">
        <v>132.18</v>
      </c>
      <c r="X214" s="330">
        <v>12</v>
      </c>
      <c r="Y214" s="330">
        <v>10</v>
      </c>
      <c r="Z214" s="330">
        <v>6</v>
      </c>
      <c r="AA214" s="330">
        <v>0</v>
      </c>
      <c r="AB214" s="330">
        <v>13</v>
      </c>
      <c r="AC214" s="330">
        <v>11</v>
      </c>
      <c r="AD214" s="334">
        <v>1303</v>
      </c>
      <c r="AE214" s="334">
        <v>18</v>
      </c>
      <c r="AF214" s="334">
        <v>13</v>
      </c>
      <c r="AG214" s="334">
        <v>31</v>
      </c>
    </row>
    <row r="215" spans="1:33" x14ac:dyDescent="0.35">
      <c r="A215" s="329" t="s">
        <v>484</v>
      </c>
      <c r="B215" s="335" t="s">
        <v>485</v>
      </c>
      <c r="C215" s="331">
        <v>8784</v>
      </c>
      <c r="D215" s="331">
        <v>5</v>
      </c>
      <c r="E215" s="331">
        <v>310</v>
      </c>
      <c r="F215" s="331">
        <v>820</v>
      </c>
      <c r="G215" s="331">
        <v>465</v>
      </c>
      <c r="H215" s="331">
        <v>10384</v>
      </c>
      <c r="I215" s="330">
        <v>9919</v>
      </c>
      <c r="J215" s="330">
        <v>7</v>
      </c>
      <c r="K215" s="332">
        <v>120.06</v>
      </c>
      <c r="L215" s="332">
        <v>131.77000000000001</v>
      </c>
      <c r="M215" s="332">
        <v>10.42</v>
      </c>
      <c r="N215" s="332">
        <v>127.31</v>
      </c>
      <c r="O215" s="333">
        <v>7831</v>
      </c>
      <c r="P215" s="330">
        <v>118.45</v>
      </c>
      <c r="Q215" s="330">
        <v>117.59</v>
      </c>
      <c r="R215" s="330">
        <v>50.92</v>
      </c>
      <c r="S215" s="330">
        <v>165.42</v>
      </c>
      <c r="T215" s="330">
        <v>1047</v>
      </c>
      <c r="U215" s="330">
        <v>195.26</v>
      </c>
      <c r="V215" s="330">
        <v>831</v>
      </c>
      <c r="W215" s="330">
        <v>0</v>
      </c>
      <c r="X215" s="330">
        <v>0</v>
      </c>
      <c r="Y215" s="330">
        <v>0</v>
      </c>
      <c r="Z215" s="330">
        <v>6</v>
      </c>
      <c r="AA215" s="330">
        <v>13</v>
      </c>
      <c r="AB215" s="330">
        <v>7</v>
      </c>
      <c r="AC215" s="330">
        <v>16</v>
      </c>
      <c r="AD215" s="334">
        <v>8755</v>
      </c>
      <c r="AE215" s="334">
        <v>21</v>
      </c>
      <c r="AF215" s="334">
        <v>43</v>
      </c>
      <c r="AG215" s="334">
        <v>64</v>
      </c>
    </row>
    <row r="216" spans="1:33" x14ac:dyDescent="0.35">
      <c r="A216" s="329" t="s">
        <v>486</v>
      </c>
      <c r="B216" s="335" t="s">
        <v>487</v>
      </c>
      <c r="C216" s="331">
        <v>733</v>
      </c>
      <c r="D216" s="331">
        <v>0</v>
      </c>
      <c r="E216" s="331">
        <v>118</v>
      </c>
      <c r="F216" s="331">
        <v>96</v>
      </c>
      <c r="G216" s="331">
        <v>57</v>
      </c>
      <c r="H216" s="331">
        <v>1004</v>
      </c>
      <c r="I216" s="330">
        <v>947</v>
      </c>
      <c r="J216" s="330">
        <v>3</v>
      </c>
      <c r="K216" s="332">
        <v>89.91</v>
      </c>
      <c r="L216" s="332">
        <v>86.11</v>
      </c>
      <c r="M216" s="332">
        <v>3.85</v>
      </c>
      <c r="N216" s="332">
        <v>92.83</v>
      </c>
      <c r="O216" s="333">
        <v>531</v>
      </c>
      <c r="P216" s="330">
        <v>98.37</v>
      </c>
      <c r="Q216" s="330">
        <v>93.63</v>
      </c>
      <c r="R216" s="330">
        <v>111.09</v>
      </c>
      <c r="S216" s="330">
        <v>209.46</v>
      </c>
      <c r="T216" s="330">
        <v>85</v>
      </c>
      <c r="U216" s="330">
        <v>104.2</v>
      </c>
      <c r="V216" s="330">
        <v>175</v>
      </c>
      <c r="W216" s="330">
        <v>206.48</v>
      </c>
      <c r="X216" s="330">
        <v>119</v>
      </c>
      <c r="Y216" s="330">
        <v>0</v>
      </c>
      <c r="Z216" s="330">
        <v>0</v>
      </c>
      <c r="AA216" s="330">
        <v>0</v>
      </c>
      <c r="AB216" s="330">
        <v>2</v>
      </c>
      <c r="AC216" s="330">
        <v>0</v>
      </c>
      <c r="AD216" s="334">
        <v>733</v>
      </c>
      <c r="AE216" s="334">
        <v>2</v>
      </c>
      <c r="AF216" s="334">
        <v>8</v>
      </c>
      <c r="AG216" s="334">
        <v>10</v>
      </c>
    </row>
    <row r="217" spans="1:33" x14ac:dyDescent="0.35">
      <c r="A217" s="329" t="s">
        <v>488</v>
      </c>
      <c r="B217" s="335" t="s">
        <v>489</v>
      </c>
      <c r="C217" s="331">
        <v>18096</v>
      </c>
      <c r="D217" s="331">
        <v>0</v>
      </c>
      <c r="E217" s="331">
        <v>623</v>
      </c>
      <c r="F217" s="331">
        <v>2018</v>
      </c>
      <c r="G217" s="331">
        <v>220</v>
      </c>
      <c r="H217" s="331">
        <v>20957</v>
      </c>
      <c r="I217" s="330">
        <v>20737</v>
      </c>
      <c r="J217" s="330">
        <v>8</v>
      </c>
      <c r="K217" s="332">
        <v>74.36</v>
      </c>
      <c r="L217" s="332">
        <v>74.64</v>
      </c>
      <c r="M217" s="332">
        <v>10.45</v>
      </c>
      <c r="N217" s="332">
        <v>83.79</v>
      </c>
      <c r="O217" s="333">
        <v>16040</v>
      </c>
      <c r="P217" s="330">
        <v>74.739999999999995</v>
      </c>
      <c r="Q217" s="330">
        <v>71.099999999999994</v>
      </c>
      <c r="R217" s="330">
        <v>42.17</v>
      </c>
      <c r="S217" s="330">
        <v>115.14</v>
      </c>
      <c r="T217" s="330">
        <v>2458</v>
      </c>
      <c r="U217" s="330">
        <v>95.83</v>
      </c>
      <c r="V217" s="330">
        <v>1875</v>
      </c>
      <c r="W217" s="330">
        <v>0</v>
      </c>
      <c r="X217" s="330">
        <v>0</v>
      </c>
      <c r="Y217" s="330">
        <v>1</v>
      </c>
      <c r="Z217" s="330">
        <v>154</v>
      </c>
      <c r="AA217" s="330">
        <v>10</v>
      </c>
      <c r="AB217" s="330">
        <v>5</v>
      </c>
      <c r="AC217" s="330">
        <v>5</v>
      </c>
      <c r="AD217" s="334">
        <v>17935</v>
      </c>
      <c r="AE217" s="334">
        <v>86</v>
      </c>
      <c r="AF217" s="334">
        <v>166</v>
      </c>
      <c r="AG217" s="334">
        <v>252</v>
      </c>
    </row>
    <row r="218" spans="1:33" x14ac:dyDescent="0.35">
      <c r="A218" s="329" t="s">
        <v>490</v>
      </c>
      <c r="B218" s="335" t="s">
        <v>491</v>
      </c>
      <c r="C218" s="331">
        <v>2259</v>
      </c>
      <c r="D218" s="331">
        <v>0</v>
      </c>
      <c r="E218" s="331">
        <v>63</v>
      </c>
      <c r="F218" s="331">
        <v>698</v>
      </c>
      <c r="G218" s="331">
        <v>151</v>
      </c>
      <c r="H218" s="331">
        <v>3171</v>
      </c>
      <c r="I218" s="330">
        <v>3020</v>
      </c>
      <c r="J218" s="330">
        <v>2</v>
      </c>
      <c r="K218" s="332">
        <v>98.3</v>
      </c>
      <c r="L218" s="332">
        <v>98.32</v>
      </c>
      <c r="M218" s="332">
        <v>7.52</v>
      </c>
      <c r="N218" s="332">
        <v>102.71</v>
      </c>
      <c r="O218" s="333">
        <v>1763</v>
      </c>
      <c r="P218" s="330">
        <v>86.05</v>
      </c>
      <c r="Q218" s="330">
        <v>86.31</v>
      </c>
      <c r="R218" s="330">
        <v>29.26</v>
      </c>
      <c r="S218" s="330">
        <v>115.15</v>
      </c>
      <c r="T218" s="330">
        <v>755</v>
      </c>
      <c r="U218" s="330">
        <v>142.32</v>
      </c>
      <c r="V218" s="330">
        <v>494</v>
      </c>
      <c r="W218" s="330">
        <v>0</v>
      </c>
      <c r="X218" s="330">
        <v>0</v>
      </c>
      <c r="Y218" s="330">
        <v>0</v>
      </c>
      <c r="Z218" s="330">
        <v>1</v>
      </c>
      <c r="AA218" s="330">
        <v>2</v>
      </c>
      <c r="AB218" s="330">
        <v>9</v>
      </c>
      <c r="AC218" s="330">
        <v>1</v>
      </c>
      <c r="AD218" s="334">
        <v>2259</v>
      </c>
      <c r="AE218" s="334">
        <v>14</v>
      </c>
      <c r="AF218" s="334">
        <v>13</v>
      </c>
      <c r="AG218" s="334">
        <v>27</v>
      </c>
    </row>
    <row r="219" spans="1:33" x14ac:dyDescent="0.35">
      <c r="A219" s="329" t="s">
        <v>492</v>
      </c>
      <c r="B219" s="335" t="s">
        <v>493</v>
      </c>
      <c r="C219" s="331">
        <v>4212</v>
      </c>
      <c r="D219" s="331">
        <v>0</v>
      </c>
      <c r="E219" s="331">
        <v>92</v>
      </c>
      <c r="F219" s="331">
        <v>344</v>
      </c>
      <c r="G219" s="331">
        <v>43</v>
      </c>
      <c r="H219" s="331">
        <v>4691</v>
      </c>
      <c r="I219" s="330">
        <v>4648</v>
      </c>
      <c r="J219" s="330">
        <v>1</v>
      </c>
      <c r="K219" s="332">
        <v>72.709999999999994</v>
      </c>
      <c r="L219" s="332">
        <v>70.42</v>
      </c>
      <c r="M219" s="332">
        <v>4.3499999999999996</v>
      </c>
      <c r="N219" s="332">
        <v>73.209999999999994</v>
      </c>
      <c r="O219" s="333">
        <v>3681</v>
      </c>
      <c r="P219" s="330">
        <v>86.51</v>
      </c>
      <c r="Q219" s="330">
        <v>82</v>
      </c>
      <c r="R219" s="330">
        <v>43.27</v>
      </c>
      <c r="S219" s="330">
        <v>127.11</v>
      </c>
      <c r="T219" s="330">
        <v>389</v>
      </c>
      <c r="U219" s="330">
        <v>89.57</v>
      </c>
      <c r="V219" s="330">
        <v>525</v>
      </c>
      <c r="W219" s="330">
        <v>0</v>
      </c>
      <c r="X219" s="330">
        <v>0</v>
      </c>
      <c r="Y219" s="330">
        <v>0</v>
      </c>
      <c r="Z219" s="330">
        <v>19</v>
      </c>
      <c r="AA219" s="330">
        <v>1</v>
      </c>
      <c r="AB219" s="330">
        <v>0</v>
      </c>
      <c r="AC219" s="330">
        <v>4</v>
      </c>
      <c r="AD219" s="334">
        <v>4211</v>
      </c>
      <c r="AE219" s="334">
        <v>20</v>
      </c>
      <c r="AF219" s="334">
        <v>10</v>
      </c>
      <c r="AG219" s="334">
        <v>30</v>
      </c>
    </row>
    <row r="220" spans="1:33" x14ac:dyDescent="0.35">
      <c r="A220" s="329" t="s">
        <v>494</v>
      </c>
      <c r="B220" s="335" t="s">
        <v>495</v>
      </c>
      <c r="C220" s="331">
        <v>3716</v>
      </c>
      <c r="D220" s="331">
        <v>0</v>
      </c>
      <c r="E220" s="331">
        <v>77</v>
      </c>
      <c r="F220" s="331">
        <v>684</v>
      </c>
      <c r="G220" s="331">
        <v>281</v>
      </c>
      <c r="H220" s="331">
        <v>4758</v>
      </c>
      <c r="I220" s="330">
        <v>4477</v>
      </c>
      <c r="J220" s="330">
        <v>0</v>
      </c>
      <c r="K220" s="332">
        <v>95.11</v>
      </c>
      <c r="L220" s="332">
        <v>94.76</v>
      </c>
      <c r="M220" s="332">
        <v>3.48</v>
      </c>
      <c r="N220" s="332">
        <v>97.98</v>
      </c>
      <c r="O220" s="333">
        <v>3169</v>
      </c>
      <c r="P220" s="330">
        <v>87.1</v>
      </c>
      <c r="Q220" s="330">
        <v>84.32</v>
      </c>
      <c r="R220" s="330">
        <v>37.71</v>
      </c>
      <c r="S220" s="330">
        <v>124.69</v>
      </c>
      <c r="T220" s="330">
        <v>618</v>
      </c>
      <c r="U220" s="330">
        <v>116.4</v>
      </c>
      <c r="V220" s="330">
        <v>542</v>
      </c>
      <c r="W220" s="330">
        <v>128.08000000000001</v>
      </c>
      <c r="X220" s="330">
        <v>13</v>
      </c>
      <c r="Y220" s="330">
        <v>0</v>
      </c>
      <c r="Z220" s="330">
        <v>3</v>
      </c>
      <c r="AA220" s="330">
        <v>1</v>
      </c>
      <c r="AB220" s="330">
        <v>16</v>
      </c>
      <c r="AC220" s="330">
        <v>4</v>
      </c>
      <c r="AD220" s="334">
        <v>3716</v>
      </c>
      <c r="AE220" s="334">
        <v>14</v>
      </c>
      <c r="AF220" s="334">
        <v>10</v>
      </c>
      <c r="AG220" s="334">
        <v>24</v>
      </c>
    </row>
    <row r="221" spans="1:33" x14ac:dyDescent="0.35">
      <c r="A221" s="329" t="s">
        <v>496</v>
      </c>
      <c r="B221" s="335" t="s">
        <v>497</v>
      </c>
      <c r="C221" s="331">
        <v>3413</v>
      </c>
      <c r="D221" s="331">
        <v>0</v>
      </c>
      <c r="E221" s="331">
        <v>420</v>
      </c>
      <c r="F221" s="331">
        <v>860</v>
      </c>
      <c r="G221" s="331">
        <v>321</v>
      </c>
      <c r="H221" s="331">
        <v>5014</v>
      </c>
      <c r="I221" s="330">
        <v>4693</v>
      </c>
      <c r="J221" s="330">
        <v>1</v>
      </c>
      <c r="K221" s="332">
        <v>80.5</v>
      </c>
      <c r="L221" s="332">
        <v>78.78</v>
      </c>
      <c r="M221" s="332">
        <v>7.94</v>
      </c>
      <c r="N221" s="332">
        <v>84.69</v>
      </c>
      <c r="O221" s="333">
        <v>2795</v>
      </c>
      <c r="P221" s="330">
        <v>87.75</v>
      </c>
      <c r="Q221" s="330">
        <v>74.540000000000006</v>
      </c>
      <c r="R221" s="330">
        <v>39.71</v>
      </c>
      <c r="S221" s="330">
        <v>125.32</v>
      </c>
      <c r="T221" s="330">
        <v>1244</v>
      </c>
      <c r="U221" s="330">
        <v>96.8</v>
      </c>
      <c r="V221" s="330">
        <v>508</v>
      </c>
      <c r="W221" s="330">
        <v>142.96</v>
      </c>
      <c r="X221" s="330">
        <v>25</v>
      </c>
      <c r="Y221" s="330">
        <v>0</v>
      </c>
      <c r="Z221" s="330">
        <v>0</v>
      </c>
      <c r="AA221" s="330">
        <v>38</v>
      </c>
      <c r="AB221" s="330">
        <v>18</v>
      </c>
      <c r="AC221" s="330">
        <v>7</v>
      </c>
      <c r="AD221" s="334">
        <v>3356</v>
      </c>
      <c r="AE221" s="334">
        <v>42</v>
      </c>
      <c r="AF221" s="334">
        <v>14</v>
      </c>
      <c r="AG221" s="334">
        <v>56</v>
      </c>
    </row>
    <row r="222" spans="1:33" x14ac:dyDescent="0.35">
      <c r="A222" s="329" t="s">
        <v>498</v>
      </c>
      <c r="B222" s="335" t="s">
        <v>499</v>
      </c>
      <c r="C222" s="331">
        <v>2473</v>
      </c>
      <c r="D222" s="331">
        <v>0</v>
      </c>
      <c r="E222" s="331">
        <v>51</v>
      </c>
      <c r="F222" s="331">
        <v>244</v>
      </c>
      <c r="G222" s="331">
        <v>609</v>
      </c>
      <c r="H222" s="331">
        <v>3377</v>
      </c>
      <c r="I222" s="330">
        <v>2768</v>
      </c>
      <c r="J222" s="330">
        <v>0</v>
      </c>
      <c r="K222" s="332">
        <v>98.06</v>
      </c>
      <c r="L222" s="332">
        <v>97.41</v>
      </c>
      <c r="M222" s="332">
        <v>5.99</v>
      </c>
      <c r="N222" s="332">
        <v>102.48</v>
      </c>
      <c r="O222" s="333">
        <v>2176</v>
      </c>
      <c r="P222" s="330">
        <v>82.41</v>
      </c>
      <c r="Q222" s="330">
        <v>84.23</v>
      </c>
      <c r="R222" s="330">
        <v>33.33</v>
      </c>
      <c r="S222" s="330">
        <v>114.85</v>
      </c>
      <c r="T222" s="330">
        <v>150</v>
      </c>
      <c r="U222" s="330">
        <v>117.15</v>
      </c>
      <c r="V222" s="330">
        <v>256</v>
      </c>
      <c r="W222" s="330">
        <v>199.95</v>
      </c>
      <c r="X222" s="330">
        <v>76</v>
      </c>
      <c r="Y222" s="330">
        <v>0</v>
      </c>
      <c r="Z222" s="330">
        <v>29</v>
      </c>
      <c r="AA222" s="330">
        <v>11</v>
      </c>
      <c r="AB222" s="330">
        <v>56</v>
      </c>
      <c r="AC222" s="330">
        <v>13</v>
      </c>
      <c r="AD222" s="334">
        <v>2436</v>
      </c>
      <c r="AE222" s="334">
        <v>39</v>
      </c>
      <c r="AF222" s="334">
        <v>29</v>
      </c>
      <c r="AG222" s="334">
        <v>68</v>
      </c>
    </row>
    <row r="223" spans="1:33" x14ac:dyDescent="0.35">
      <c r="A223" s="329" t="s">
        <v>500</v>
      </c>
      <c r="B223" s="335" t="s">
        <v>501</v>
      </c>
      <c r="C223" s="331">
        <v>1330</v>
      </c>
      <c r="D223" s="331">
        <v>282</v>
      </c>
      <c r="E223" s="331">
        <v>67</v>
      </c>
      <c r="F223" s="331">
        <v>285</v>
      </c>
      <c r="G223" s="331">
        <v>422</v>
      </c>
      <c r="H223" s="331">
        <v>2386</v>
      </c>
      <c r="I223" s="330">
        <v>1964</v>
      </c>
      <c r="J223" s="330">
        <v>1</v>
      </c>
      <c r="K223" s="332">
        <v>120.03</v>
      </c>
      <c r="L223" s="332">
        <v>116.25</v>
      </c>
      <c r="M223" s="332">
        <v>9.66</v>
      </c>
      <c r="N223" s="332">
        <v>128.03</v>
      </c>
      <c r="O223" s="333">
        <v>880</v>
      </c>
      <c r="P223" s="330">
        <v>113.64</v>
      </c>
      <c r="Q223" s="330">
        <v>109.51</v>
      </c>
      <c r="R223" s="330">
        <v>25.16</v>
      </c>
      <c r="S223" s="330">
        <v>138.72</v>
      </c>
      <c r="T223" s="330">
        <v>318</v>
      </c>
      <c r="U223" s="330">
        <v>196.21</v>
      </c>
      <c r="V223" s="330">
        <v>245</v>
      </c>
      <c r="W223" s="330">
        <v>127.46</v>
      </c>
      <c r="X223" s="330">
        <v>33</v>
      </c>
      <c r="Y223" s="330">
        <v>0</v>
      </c>
      <c r="Z223" s="330">
        <v>0</v>
      </c>
      <c r="AA223" s="330">
        <v>2</v>
      </c>
      <c r="AB223" s="330">
        <v>17</v>
      </c>
      <c r="AC223" s="330">
        <v>3</v>
      </c>
      <c r="AD223" s="334">
        <v>1274</v>
      </c>
      <c r="AE223" s="334">
        <v>20</v>
      </c>
      <c r="AF223" s="334">
        <v>3</v>
      </c>
      <c r="AG223" s="334">
        <v>23</v>
      </c>
    </row>
    <row r="224" spans="1:33" x14ac:dyDescent="0.35">
      <c r="A224" s="329" t="s">
        <v>502</v>
      </c>
      <c r="B224" s="335" t="s">
        <v>503</v>
      </c>
      <c r="C224" s="331">
        <v>2953</v>
      </c>
      <c r="D224" s="331">
        <v>0</v>
      </c>
      <c r="E224" s="331">
        <v>88</v>
      </c>
      <c r="F224" s="331">
        <v>1385</v>
      </c>
      <c r="G224" s="331">
        <v>443</v>
      </c>
      <c r="H224" s="331">
        <v>4869</v>
      </c>
      <c r="I224" s="330">
        <v>4426</v>
      </c>
      <c r="J224" s="330">
        <v>2</v>
      </c>
      <c r="K224" s="332">
        <v>94.11</v>
      </c>
      <c r="L224" s="332">
        <v>94.76</v>
      </c>
      <c r="M224" s="332">
        <v>4.45</v>
      </c>
      <c r="N224" s="332">
        <v>95.86</v>
      </c>
      <c r="O224" s="333">
        <v>2651</v>
      </c>
      <c r="P224" s="330">
        <v>93.01</v>
      </c>
      <c r="Q224" s="330">
        <v>90.92</v>
      </c>
      <c r="R224" s="330">
        <v>19.420000000000002</v>
      </c>
      <c r="S224" s="330">
        <v>112.17</v>
      </c>
      <c r="T224" s="330">
        <v>1467</v>
      </c>
      <c r="U224" s="330">
        <v>106.56</v>
      </c>
      <c r="V224" s="330">
        <v>286</v>
      </c>
      <c r="W224" s="330">
        <v>151.9</v>
      </c>
      <c r="X224" s="330">
        <v>5</v>
      </c>
      <c r="Y224" s="330">
        <v>0</v>
      </c>
      <c r="Z224" s="330">
        <v>6</v>
      </c>
      <c r="AA224" s="330">
        <v>0</v>
      </c>
      <c r="AB224" s="330">
        <v>31</v>
      </c>
      <c r="AC224" s="330">
        <v>12</v>
      </c>
      <c r="AD224" s="334">
        <v>2941</v>
      </c>
      <c r="AE224" s="334">
        <v>11</v>
      </c>
      <c r="AF224" s="334">
        <v>10</v>
      </c>
      <c r="AG224" s="334">
        <v>21</v>
      </c>
    </row>
    <row r="225" spans="1:33" x14ac:dyDescent="0.35">
      <c r="A225" s="329" t="s">
        <v>504</v>
      </c>
      <c r="B225" s="335" t="s">
        <v>505</v>
      </c>
      <c r="C225" s="331">
        <v>5645</v>
      </c>
      <c r="D225" s="331">
        <v>17</v>
      </c>
      <c r="E225" s="331">
        <v>228</v>
      </c>
      <c r="F225" s="331">
        <v>647</v>
      </c>
      <c r="G225" s="331">
        <v>578</v>
      </c>
      <c r="H225" s="331">
        <v>7115</v>
      </c>
      <c r="I225" s="330">
        <v>6537</v>
      </c>
      <c r="J225" s="330">
        <v>0</v>
      </c>
      <c r="K225" s="332">
        <v>109.23</v>
      </c>
      <c r="L225" s="332">
        <v>105</v>
      </c>
      <c r="M225" s="332">
        <v>9.06</v>
      </c>
      <c r="N225" s="332">
        <v>114.22</v>
      </c>
      <c r="O225" s="333">
        <v>4425</v>
      </c>
      <c r="P225" s="330">
        <v>97.59</v>
      </c>
      <c r="Q225" s="330">
        <v>88.87</v>
      </c>
      <c r="R225" s="330">
        <v>41.91</v>
      </c>
      <c r="S225" s="330">
        <v>139.35</v>
      </c>
      <c r="T225" s="330">
        <v>827</v>
      </c>
      <c r="U225" s="330">
        <v>153.65</v>
      </c>
      <c r="V225" s="330">
        <v>1066</v>
      </c>
      <c r="W225" s="330">
        <v>147.51</v>
      </c>
      <c r="X225" s="330">
        <v>39</v>
      </c>
      <c r="Y225" s="330">
        <v>26</v>
      </c>
      <c r="Z225" s="330">
        <v>1</v>
      </c>
      <c r="AA225" s="330">
        <v>0</v>
      </c>
      <c r="AB225" s="330">
        <v>2</v>
      </c>
      <c r="AC225" s="330">
        <v>21</v>
      </c>
      <c r="AD225" s="334">
        <v>5393</v>
      </c>
      <c r="AE225" s="334">
        <v>32</v>
      </c>
      <c r="AF225" s="334">
        <v>46</v>
      </c>
      <c r="AG225" s="334">
        <v>78</v>
      </c>
    </row>
    <row r="226" spans="1:33" x14ac:dyDescent="0.35">
      <c r="A226" s="329" t="s">
        <v>506</v>
      </c>
      <c r="B226" s="335" t="s">
        <v>507</v>
      </c>
      <c r="C226" s="331">
        <v>1512</v>
      </c>
      <c r="D226" s="331">
        <v>0</v>
      </c>
      <c r="E226" s="331">
        <v>32</v>
      </c>
      <c r="F226" s="331">
        <v>287</v>
      </c>
      <c r="G226" s="331">
        <v>203</v>
      </c>
      <c r="H226" s="331">
        <v>2034</v>
      </c>
      <c r="I226" s="330">
        <v>1831</v>
      </c>
      <c r="J226" s="330">
        <v>4</v>
      </c>
      <c r="K226" s="332">
        <v>88.28</v>
      </c>
      <c r="L226" s="332">
        <v>95.92</v>
      </c>
      <c r="M226" s="332">
        <v>5.81</v>
      </c>
      <c r="N226" s="332">
        <v>90.65</v>
      </c>
      <c r="O226" s="333">
        <v>1264</v>
      </c>
      <c r="P226" s="330">
        <v>85.44</v>
      </c>
      <c r="Q226" s="330">
        <v>85.37</v>
      </c>
      <c r="R226" s="330">
        <v>32.450000000000003</v>
      </c>
      <c r="S226" s="330">
        <v>111.75</v>
      </c>
      <c r="T226" s="330">
        <v>217</v>
      </c>
      <c r="U226" s="330">
        <v>110.1</v>
      </c>
      <c r="V226" s="330">
        <v>217</v>
      </c>
      <c r="W226" s="330">
        <v>0</v>
      </c>
      <c r="X226" s="330">
        <v>0</v>
      </c>
      <c r="Y226" s="330">
        <v>0</v>
      </c>
      <c r="Z226" s="330">
        <v>2</v>
      </c>
      <c r="AA226" s="330">
        <v>1</v>
      </c>
      <c r="AB226" s="330">
        <v>21</v>
      </c>
      <c r="AC226" s="330">
        <v>5</v>
      </c>
      <c r="AD226" s="334">
        <v>1499</v>
      </c>
      <c r="AE226" s="334">
        <v>13</v>
      </c>
      <c r="AF226" s="334">
        <v>6</v>
      </c>
      <c r="AG226" s="334">
        <v>19</v>
      </c>
    </row>
    <row r="227" spans="1:33" x14ac:dyDescent="0.35">
      <c r="A227" s="329" t="s">
        <v>508</v>
      </c>
      <c r="B227" s="335" t="s">
        <v>509</v>
      </c>
      <c r="C227" s="331">
        <v>3067</v>
      </c>
      <c r="D227" s="331">
        <v>3</v>
      </c>
      <c r="E227" s="331">
        <v>38</v>
      </c>
      <c r="F227" s="331">
        <v>135</v>
      </c>
      <c r="G227" s="331">
        <v>81</v>
      </c>
      <c r="H227" s="331">
        <v>3324</v>
      </c>
      <c r="I227" s="330">
        <v>3243</v>
      </c>
      <c r="J227" s="330">
        <v>3</v>
      </c>
      <c r="K227" s="332">
        <v>88.81</v>
      </c>
      <c r="L227" s="332">
        <v>84.69</v>
      </c>
      <c r="M227" s="332">
        <v>4.22</v>
      </c>
      <c r="N227" s="332">
        <v>90.4</v>
      </c>
      <c r="O227" s="333">
        <v>2014</v>
      </c>
      <c r="P227" s="330">
        <v>74.59</v>
      </c>
      <c r="Q227" s="330">
        <v>70.58</v>
      </c>
      <c r="R227" s="330">
        <v>47.4</v>
      </c>
      <c r="S227" s="330">
        <v>121.29</v>
      </c>
      <c r="T227" s="330">
        <v>136</v>
      </c>
      <c r="U227" s="330">
        <v>96.75</v>
      </c>
      <c r="V227" s="330">
        <v>986</v>
      </c>
      <c r="W227" s="330">
        <v>171.01</v>
      </c>
      <c r="X227" s="330">
        <v>21</v>
      </c>
      <c r="Y227" s="330">
        <v>0</v>
      </c>
      <c r="Z227" s="330">
        <v>2</v>
      </c>
      <c r="AA227" s="330">
        <v>1</v>
      </c>
      <c r="AB227" s="330">
        <v>23</v>
      </c>
      <c r="AC227" s="330">
        <v>3</v>
      </c>
      <c r="AD227" s="334">
        <v>3042</v>
      </c>
      <c r="AE227" s="334">
        <v>45</v>
      </c>
      <c r="AF227" s="334">
        <v>11</v>
      </c>
      <c r="AG227" s="334">
        <v>56</v>
      </c>
    </row>
    <row r="228" spans="1:33" x14ac:dyDescent="0.35">
      <c r="A228" s="329" t="s">
        <v>510</v>
      </c>
      <c r="B228" s="335" t="s">
        <v>511</v>
      </c>
      <c r="C228" s="331">
        <v>26853</v>
      </c>
      <c r="D228" s="331">
        <v>14</v>
      </c>
      <c r="E228" s="331">
        <v>1555</v>
      </c>
      <c r="F228" s="331">
        <v>1364</v>
      </c>
      <c r="G228" s="331">
        <v>399</v>
      </c>
      <c r="H228" s="331">
        <v>30185</v>
      </c>
      <c r="I228" s="330">
        <v>29786</v>
      </c>
      <c r="J228" s="330">
        <v>39</v>
      </c>
      <c r="K228" s="332">
        <v>76.95</v>
      </c>
      <c r="L228" s="332">
        <v>77.03</v>
      </c>
      <c r="M228" s="332">
        <v>7.44</v>
      </c>
      <c r="N228" s="332">
        <v>80.37</v>
      </c>
      <c r="O228" s="333">
        <v>24391</v>
      </c>
      <c r="P228" s="330">
        <v>79.42</v>
      </c>
      <c r="Q228" s="330">
        <v>74.47</v>
      </c>
      <c r="R228" s="330">
        <v>36.19</v>
      </c>
      <c r="S228" s="330">
        <v>114.71</v>
      </c>
      <c r="T228" s="330">
        <v>2623</v>
      </c>
      <c r="U228" s="330">
        <v>108.25</v>
      </c>
      <c r="V228" s="330">
        <v>2227</v>
      </c>
      <c r="W228" s="330">
        <v>159.41999999999999</v>
      </c>
      <c r="X228" s="330">
        <v>65</v>
      </c>
      <c r="Y228" s="330">
        <v>20</v>
      </c>
      <c r="Z228" s="330">
        <v>186</v>
      </c>
      <c r="AA228" s="330">
        <v>10</v>
      </c>
      <c r="AB228" s="330">
        <v>69</v>
      </c>
      <c r="AC228" s="330">
        <v>11</v>
      </c>
      <c r="AD228" s="334">
        <v>26748</v>
      </c>
      <c r="AE228" s="334">
        <v>113</v>
      </c>
      <c r="AF228" s="334">
        <v>225</v>
      </c>
      <c r="AG228" s="334">
        <v>338</v>
      </c>
    </row>
    <row r="229" spans="1:33" x14ac:dyDescent="0.35">
      <c r="A229" s="329" t="s">
        <v>512</v>
      </c>
      <c r="B229" s="335" t="s">
        <v>513</v>
      </c>
      <c r="C229" s="331">
        <v>5720</v>
      </c>
      <c r="D229" s="331">
        <v>13</v>
      </c>
      <c r="E229" s="331">
        <v>438</v>
      </c>
      <c r="F229" s="331">
        <v>1038</v>
      </c>
      <c r="G229" s="331">
        <v>541</v>
      </c>
      <c r="H229" s="331">
        <v>7750</v>
      </c>
      <c r="I229" s="330">
        <v>7209</v>
      </c>
      <c r="J229" s="330">
        <v>0</v>
      </c>
      <c r="K229" s="332">
        <v>88.09</v>
      </c>
      <c r="L229" s="332">
        <v>85.67</v>
      </c>
      <c r="M229" s="332">
        <v>7.58</v>
      </c>
      <c r="N229" s="332">
        <v>93.91</v>
      </c>
      <c r="O229" s="333">
        <v>4495</v>
      </c>
      <c r="P229" s="330">
        <v>90.57</v>
      </c>
      <c r="Q229" s="330">
        <v>83.57</v>
      </c>
      <c r="R229" s="330">
        <v>47.74</v>
      </c>
      <c r="S229" s="330">
        <v>134.27000000000001</v>
      </c>
      <c r="T229" s="330">
        <v>1052</v>
      </c>
      <c r="U229" s="330">
        <v>108.81</v>
      </c>
      <c r="V229" s="330">
        <v>718</v>
      </c>
      <c r="W229" s="330">
        <v>194.72</v>
      </c>
      <c r="X229" s="330">
        <v>289</v>
      </c>
      <c r="Y229" s="330">
        <v>0</v>
      </c>
      <c r="Z229" s="330">
        <v>44</v>
      </c>
      <c r="AA229" s="330">
        <v>22</v>
      </c>
      <c r="AB229" s="330">
        <v>0</v>
      </c>
      <c r="AC229" s="330">
        <v>10</v>
      </c>
      <c r="AD229" s="334">
        <v>5491</v>
      </c>
      <c r="AE229" s="334">
        <v>28</v>
      </c>
      <c r="AF229" s="334">
        <v>23</v>
      </c>
      <c r="AG229" s="334">
        <v>51</v>
      </c>
    </row>
    <row r="230" spans="1:33" x14ac:dyDescent="0.35">
      <c r="A230" s="329" t="s">
        <v>514</v>
      </c>
      <c r="B230" s="335" t="s">
        <v>515</v>
      </c>
      <c r="C230" s="331">
        <v>6177</v>
      </c>
      <c r="D230" s="331">
        <v>0</v>
      </c>
      <c r="E230" s="331">
        <v>145</v>
      </c>
      <c r="F230" s="331">
        <v>628</v>
      </c>
      <c r="G230" s="331">
        <v>335</v>
      </c>
      <c r="H230" s="331">
        <v>7285</v>
      </c>
      <c r="I230" s="330">
        <v>6950</v>
      </c>
      <c r="J230" s="330">
        <v>34</v>
      </c>
      <c r="K230" s="332">
        <v>82.62</v>
      </c>
      <c r="L230" s="332">
        <v>82.18</v>
      </c>
      <c r="M230" s="332">
        <v>3.27</v>
      </c>
      <c r="N230" s="332">
        <v>83.98</v>
      </c>
      <c r="O230" s="333">
        <v>5423</v>
      </c>
      <c r="P230" s="330">
        <v>86.01</v>
      </c>
      <c r="Q230" s="330">
        <v>85.17</v>
      </c>
      <c r="R230" s="330">
        <v>35.64</v>
      </c>
      <c r="S230" s="330">
        <v>120.65</v>
      </c>
      <c r="T230" s="330">
        <v>604</v>
      </c>
      <c r="U230" s="330">
        <v>100.05</v>
      </c>
      <c r="V230" s="330">
        <v>739</v>
      </c>
      <c r="W230" s="330">
        <v>202.82</v>
      </c>
      <c r="X230" s="330">
        <v>67</v>
      </c>
      <c r="Y230" s="330">
        <v>0</v>
      </c>
      <c r="Z230" s="330">
        <v>19</v>
      </c>
      <c r="AA230" s="330">
        <v>0</v>
      </c>
      <c r="AB230" s="330">
        <v>6</v>
      </c>
      <c r="AC230" s="330">
        <v>5</v>
      </c>
      <c r="AD230" s="334">
        <v>6134</v>
      </c>
      <c r="AE230" s="334">
        <v>51</v>
      </c>
      <c r="AF230" s="334">
        <v>26</v>
      </c>
      <c r="AG230" s="334">
        <v>77</v>
      </c>
    </row>
    <row r="231" spans="1:33" x14ac:dyDescent="0.35">
      <c r="A231" s="329" t="s">
        <v>516</v>
      </c>
      <c r="B231" s="335" t="s">
        <v>517</v>
      </c>
      <c r="C231" s="331">
        <v>2904</v>
      </c>
      <c r="D231" s="331">
        <v>0</v>
      </c>
      <c r="E231" s="331">
        <v>312</v>
      </c>
      <c r="F231" s="331">
        <v>89</v>
      </c>
      <c r="G231" s="331">
        <v>309</v>
      </c>
      <c r="H231" s="331">
        <v>3614</v>
      </c>
      <c r="I231" s="330">
        <v>3305</v>
      </c>
      <c r="J231" s="330">
        <v>0</v>
      </c>
      <c r="K231" s="332">
        <v>90.14</v>
      </c>
      <c r="L231" s="332">
        <v>88.31</v>
      </c>
      <c r="M231" s="332">
        <v>4.29</v>
      </c>
      <c r="N231" s="332">
        <v>93.86</v>
      </c>
      <c r="O231" s="333">
        <v>1512</v>
      </c>
      <c r="P231" s="330">
        <v>79.94</v>
      </c>
      <c r="Q231" s="330">
        <v>76.959999999999994</v>
      </c>
      <c r="R231" s="330">
        <v>49.93</v>
      </c>
      <c r="S231" s="330">
        <v>129.87</v>
      </c>
      <c r="T231" s="330">
        <v>214</v>
      </c>
      <c r="U231" s="330">
        <v>112.55</v>
      </c>
      <c r="V231" s="330">
        <v>618</v>
      </c>
      <c r="W231" s="330">
        <v>0</v>
      </c>
      <c r="X231" s="330">
        <v>0</v>
      </c>
      <c r="Y231" s="330">
        <v>0</v>
      </c>
      <c r="Z231" s="330">
        <v>0</v>
      </c>
      <c r="AA231" s="330">
        <v>0</v>
      </c>
      <c r="AB231" s="330">
        <v>17</v>
      </c>
      <c r="AC231" s="330">
        <v>4</v>
      </c>
      <c r="AD231" s="334">
        <v>2065</v>
      </c>
      <c r="AE231" s="334">
        <v>6</v>
      </c>
      <c r="AF231" s="334">
        <v>1</v>
      </c>
      <c r="AG231" s="334">
        <v>7</v>
      </c>
    </row>
    <row r="232" spans="1:33" x14ac:dyDescent="0.35">
      <c r="A232" s="329" t="s">
        <v>518</v>
      </c>
      <c r="B232" s="335" t="s">
        <v>519</v>
      </c>
      <c r="C232" s="331">
        <v>15519</v>
      </c>
      <c r="D232" s="331">
        <v>8</v>
      </c>
      <c r="E232" s="331">
        <v>1649</v>
      </c>
      <c r="F232" s="331">
        <v>1632</v>
      </c>
      <c r="G232" s="331">
        <v>578</v>
      </c>
      <c r="H232" s="331">
        <v>19386</v>
      </c>
      <c r="I232" s="330">
        <v>18808</v>
      </c>
      <c r="J232" s="330">
        <v>35</v>
      </c>
      <c r="K232" s="332">
        <v>85.58</v>
      </c>
      <c r="L232" s="332">
        <v>82.65</v>
      </c>
      <c r="M232" s="332">
        <v>8.67</v>
      </c>
      <c r="N232" s="332">
        <v>88.77</v>
      </c>
      <c r="O232" s="333">
        <v>13821</v>
      </c>
      <c r="P232" s="330">
        <v>80</v>
      </c>
      <c r="Q232" s="330">
        <v>75.150000000000006</v>
      </c>
      <c r="R232" s="330">
        <v>36.83</v>
      </c>
      <c r="S232" s="330">
        <v>116.03</v>
      </c>
      <c r="T232" s="330">
        <v>2758</v>
      </c>
      <c r="U232" s="330">
        <v>98.8</v>
      </c>
      <c r="V232" s="330">
        <v>1100</v>
      </c>
      <c r="W232" s="330">
        <v>124.82</v>
      </c>
      <c r="X232" s="330">
        <v>19</v>
      </c>
      <c r="Y232" s="330">
        <v>0</v>
      </c>
      <c r="Z232" s="330">
        <v>55</v>
      </c>
      <c r="AA232" s="330">
        <v>5</v>
      </c>
      <c r="AB232" s="330">
        <v>14</v>
      </c>
      <c r="AC232" s="330">
        <v>5</v>
      </c>
      <c r="AD232" s="334">
        <v>14977</v>
      </c>
      <c r="AE232" s="334">
        <v>54</v>
      </c>
      <c r="AF232" s="334">
        <v>71</v>
      </c>
      <c r="AG232" s="334">
        <v>125</v>
      </c>
    </row>
    <row r="233" spans="1:33" x14ac:dyDescent="0.35">
      <c r="A233" s="329" t="s">
        <v>520</v>
      </c>
      <c r="B233" s="335" t="s">
        <v>521</v>
      </c>
      <c r="C233" s="331">
        <v>1725</v>
      </c>
      <c r="D233" s="331">
        <v>0</v>
      </c>
      <c r="E233" s="331">
        <v>40</v>
      </c>
      <c r="F233" s="331">
        <v>195</v>
      </c>
      <c r="G233" s="331">
        <v>324</v>
      </c>
      <c r="H233" s="331">
        <v>2284</v>
      </c>
      <c r="I233" s="330">
        <v>1960</v>
      </c>
      <c r="J233" s="330">
        <v>4</v>
      </c>
      <c r="K233" s="332">
        <v>91.49</v>
      </c>
      <c r="L233" s="332">
        <v>85.33</v>
      </c>
      <c r="M233" s="332">
        <v>5.53</v>
      </c>
      <c r="N233" s="332">
        <v>95.38</v>
      </c>
      <c r="O233" s="333">
        <v>1139</v>
      </c>
      <c r="P233" s="330">
        <v>103.18</v>
      </c>
      <c r="Q233" s="330">
        <v>99.36</v>
      </c>
      <c r="R233" s="330">
        <v>59.05</v>
      </c>
      <c r="S233" s="330">
        <v>161.72</v>
      </c>
      <c r="T233" s="330">
        <v>233</v>
      </c>
      <c r="U233" s="330">
        <v>109.02</v>
      </c>
      <c r="V233" s="330">
        <v>415</v>
      </c>
      <c r="W233" s="330">
        <v>0</v>
      </c>
      <c r="X233" s="330">
        <v>0</v>
      </c>
      <c r="Y233" s="330">
        <v>0</v>
      </c>
      <c r="Z233" s="330">
        <v>1</v>
      </c>
      <c r="AA233" s="330">
        <v>5</v>
      </c>
      <c r="AB233" s="330">
        <v>35</v>
      </c>
      <c r="AC233" s="330">
        <v>8</v>
      </c>
      <c r="AD233" s="334">
        <v>1693</v>
      </c>
      <c r="AE233" s="334">
        <v>16</v>
      </c>
      <c r="AF233" s="334">
        <v>10</v>
      </c>
      <c r="AG233" s="334">
        <v>26</v>
      </c>
    </row>
    <row r="234" spans="1:33" x14ac:dyDescent="0.35">
      <c r="A234" s="329" t="s">
        <v>522</v>
      </c>
      <c r="B234" s="335" t="s">
        <v>523</v>
      </c>
      <c r="C234" s="331">
        <v>5532</v>
      </c>
      <c r="D234" s="331">
        <v>0</v>
      </c>
      <c r="E234" s="331">
        <v>84</v>
      </c>
      <c r="F234" s="331">
        <v>1071</v>
      </c>
      <c r="G234" s="331">
        <v>855</v>
      </c>
      <c r="H234" s="331">
        <v>7542</v>
      </c>
      <c r="I234" s="330">
        <v>6687</v>
      </c>
      <c r="J234" s="330">
        <v>101</v>
      </c>
      <c r="K234" s="332">
        <v>105.28</v>
      </c>
      <c r="L234" s="332">
        <v>101.83</v>
      </c>
      <c r="M234" s="332">
        <v>3.99</v>
      </c>
      <c r="N234" s="332">
        <v>107.85</v>
      </c>
      <c r="O234" s="333">
        <v>5181</v>
      </c>
      <c r="P234" s="330">
        <v>90.82</v>
      </c>
      <c r="Q234" s="330">
        <v>87</v>
      </c>
      <c r="R234" s="330">
        <v>22.38</v>
      </c>
      <c r="S234" s="330">
        <v>113.02</v>
      </c>
      <c r="T234" s="330">
        <v>903</v>
      </c>
      <c r="U234" s="330">
        <v>159.97</v>
      </c>
      <c r="V234" s="330">
        <v>316</v>
      </c>
      <c r="W234" s="330">
        <v>137.56</v>
      </c>
      <c r="X234" s="330">
        <v>102</v>
      </c>
      <c r="Y234" s="330">
        <v>0</v>
      </c>
      <c r="Z234" s="330">
        <v>2</v>
      </c>
      <c r="AA234" s="330">
        <v>0</v>
      </c>
      <c r="AB234" s="330">
        <v>51</v>
      </c>
      <c r="AC234" s="330">
        <v>16</v>
      </c>
      <c r="AD234" s="334">
        <v>5520</v>
      </c>
      <c r="AE234" s="334">
        <v>27</v>
      </c>
      <c r="AF234" s="334">
        <v>15</v>
      </c>
      <c r="AG234" s="334">
        <v>42</v>
      </c>
    </row>
    <row r="235" spans="1:33" x14ac:dyDescent="0.35">
      <c r="A235" s="329" t="s">
        <v>524</v>
      </c>
      <c r="B235" s="335" t="s">
        <v>525</v>
      </c>
      <c r="C235" s="331">
        <v>15456</v>
      </c>
      <c r="D235" s="331">
        <v>6</v>
      </c>
      <c r="E235" s="331">
        <v>1369</v>
      </c>
      <c r="F235" s="331">
        <v>1039</v>
      </c>
      <c r="G235" s="331">
        <v>443</v>
      </c>
      <c r="H235" s="331">
        <v>18313</v>
      </c>
      <c r="I235" s="330">
        <v>17870</v>
      </c>
      <c r="J235" s="330">
        <v>177</v>
      </c>
      <c r="K235" s="332">
        <v>79.069999999999993</v>
      </c>
      <c r="L235" s="332">
        <v>76.84</v>
      </c>
      <c r="M235" s="332">
        <v>7.78</v>
      </c>
      <c r="N235" s="332">
        <v>81.7</v>
      </c>
      <c r="O235" s="333">
        <v>13063</v>
      </c>
      <c r="P235" s="330">
        <v>84.65</v>
      </c>
      <c r="Q235" s="330">
        <v>77.180000000000007</v>
      </c>
      <c r="R235" s="330">
        <v>54.85</v>
      </c>
      <c r="S235" s="330">
        <v>138.55000000000001</v>
      </c>
      <c r="T235" s="330">
        <v>2135</v>
      </c>
      <c r="U235" s="330">
        <v>95.02</v>
      </c>
      <c r="V235" s="330">
        <v>2115</v>
      </c>
      <c r="W235" s="330">
        <v>98.75</v>
      </c>
      <c r="X235" s="330">
        <v>9</v>
      </c>
      <c r="Y235" s="330">
        <v>0</v>
      </c>
      <c r="Z235" s="330">
        <v>41</v>
      </c>
      <c r="AA235" s="330">
        <v>14</v>
      </c>
      <c r="AB235" s="330">
        <v>0</v>
      </c>
      <c r="AC235" s="330">
        <v>16</v>
      </c>
      <c r="AD235" s="334">
        <v>15343</v>
      </c>
      <c r="AE235" s="334">
        <v>88</v>
      </c>
      <c r="AF235" s="334">
        <v>98</v>
      </c>
      <c r="AG235" s="334">
        <v>186</v>
      </c>
    </row>
    <row r="236" spans="1:33" x14ac:dyDescent="0.35">
      <c r="A236" s="329" t="s">
        <v>526</v>
      </c>
      <c r="B236" s="335" t="s">
        <v>527</v>
      </c>
      <c r="C236" s="331">
        <v>12633</v>
      </c>
      <c r="D236" s="331">
        <v>25</v>
      </c>
      <c r="E236" s="331">
        <v>445</v>
      </c>
      <c r="F236" s="331">
        <v>1623</v>
      </c>
      <c r="G236" s="331">
        <v>924</v>
      </c>
      <c r="H236" s="331">
        <v>15650</v>
      </c>
      <c r="I236" s="330">
        <v>14726</v>
      </c>
      <c r="J236" s="330">
        <v>81</v>
      </c>
      <c r="K236" s="332">
        <v>87.07</v>
      </c>
      <c r="L236" s="332">
        <v>86.22</v>
      </c>
      <c r="M236" s="332">
        <v>3.71</v>
      </c>
      <c r="N236" s="332">
        <v>89.07</v>
      </c>
      <c r="O236" s="333">
        <v>10235</v>
      </c>
      <c r="P236" s="330">
        <v>86.76</v>
      </c>
      <c r="Q236" s="330">
        <v>80.3</v>
      </c>
      <c r="R236" s="330">
        <v>21.82</v>
      </c>
      <c r="S236" s="330">
        <v>108.46</v>
      </c>
      <c r="T236" s="330">
        <v>1645</v>
      </c>
      <c r="U236" s="330">
        <v>104.42</v>
      </c>
      <c r="V236" s="330">
        <v>1652</v>
      </c>
      <c r="W236" s="330">
        <v>201.07</v>
      </c>
      <c r="X236" s="330">
        <v>348</v>
      </c>
      <c r="Y236" s="330">
        <v>0</v>
      </c>
      <c r="Z236" s="330">
        <v>50</v>
      </c>
      <c r="AA236" s="330">
        <v>21</v>
      </c>
      <c r="AB236" s="330">
        <v>43</v>
      </c>
      <c r="AC236" s="330">
        <v>17</v>
      </c>
      <c r="AD236" s="334">
        <v>12345</v>
      </c>
      <c r="AE236" s="334">
        <v>242</v>
      </c>
      <c r="AF236" s="334">
        <v>37</v>
      </c>
      <c r="AG236" s="334">
        <v>279</v>
      </c>
    </row>
    <row r="237" spans="1:33" x14ac:dyDescent="0.35">
      <c r="A237" s="329" t="s">
        <v>528</v>
      </c>
      <c r="B237" s="335" t="s">
        <v>529</v>
      </c>
      <c r="C237" s="331">
        <v>3572</v>
      </c>
      <c r="D237" s="331">
        <v>24</v>
      </c>
      <c r="E237" s="331">
        <v>379</v>
      </c>
      <c r="F237" s="331">
        <v>230</v>
      </c>
      <c r="G237" s="331">
        <v>476</v>
      </c>
      <c r="H237" s="331">
        <v>4681</v>
      </c>
      <c r="I237" s="330">
        <v>4205</v>
      </c>
      <c r="J237" s="330">
        <v>9</v>
      </c>
      <c r="K237" s="332">
        <v>118.75</v>
      </c>
      <c r="L237" s="332">
        <v>117.24</v>
      </c>
      <c r="M237" s="332">
        <v>7.2</v>
      </c>
      <c r="N237" s="332">
        <v>124.97</v>
      </c>
      <c r="O237" s="333">
        <v>3182</v>
      </c>
      <c r="P237" s="330">
        <v>103.94</v>
      </c>
      <c r="Q237" s="330">
        <v>101.22</v>
      </c>
      <c r="R237" s="330">
        <v>57.1</v>
      </c>
      <c r="S237" s="330">
        <v>146.93</v>
      </c>
      <c r="T237" s="330">
        <v>498</v>
      </c>
      <c r="U237" s="330">
        <v>146.49</v>
      </c>
      <c r="V237" s="330">
        <v>175</v>
      </c>
      <c r="W237" s="330">
        <v>0</v>
      </c>
      <c r="X237" s="330">
        <v>0</v>
      </c>
      <c r="Y237" s="330">
        <v>16</v>
      </c>
      <c r="Z237" s="330">
        <v>5</v>
      </c>
      <c r="AA237" s="330">
        <v>1</v>
      </c>
      <c r="AB237" s="330">
        <v>3</v>
      </c>
      <c r="AC237" s="330">
        <v>15</v>
      </c>
      <c r="AD237" s="334">
        <v>3411</v>
      </c>
      <c r="AE237" s="334">
        <v>17</v>
      </c>
      <c r="AF237" s="334">
        <v>12</v>
      </c>
      <c r="AG237" s="334">
        <v>29</v>
      </c>
    </row>
    <row r="238" spans="1:33" x14ac:dyDescent="0.35">
      <c r="A238" s="329" t="s">
        <v>530</v>
      </c>
      <c r="B238" s="335" t="s">
        <v>531</v>
      </c>
      <c r="C238" s="331">
        <v>2513</v>
      </c>
      <c r="D238" s="331">
        <v>0</v>
      </c>
      <c r="E238" s="331">
        <v>248</v>
      </c>
      <c r="F238" s="331">
        <v>601</v>
      </c>
      <c r="G238" s="331">
        <v>615</v>
      </c>
      <c r="H238" s="331">
        <v>3977</v>
      </c>
      <c r="I238" s="330">
        <v>3362</v>
      </c>
      <c r="J238" s="330">
        <v>0</v>
      </c>
      <c r="K238" s="332">
        <v>101.1</v>
      </c>
      <c r="L238" s="332">
        <v>99.53</v>
      </c>
      <c r="M238" s="332">
        <v>5.36</v>
      </c>
      <c r="N238" s="332">
        <v>105.29</v>
      </c>
      <c r="O238" s="333">
        <v>1960</v>
      </c>
      <c r="P238" s="330">
        <v>89.39</v>
      </c>
      <c r="Q238" s="330">
        <v>84.35</v>
      </c>
      <c r="R238" s="330">
        <v>58.48</v>
      </c>
      <c r="S238" s="330">
        <v>143.57</v>
      </c>
      <c r="T238" s="330">
        <v>490</v>
      </c>
      <c r="U238" s="330">
        <v>112.23</v>
      </c>
      <c r="V238" s="330">
        <v>517</v>
      </c>
      <c r="W238" s="330">
        <v>141.06</v>
      </c>
      <c r="X238" s="330">
        <v>107</v>
      </c>
      <c r="Y238" s="330">
        <v>0</v>
      </c>
      <c r="Z238" s="330">
        <v>13</v>
      </c>
      <c r="AA238" s="330">
        <v>0</v>
      </c>
      <c r="AB238" s="330">
        <v>76</v>
      </c>
      <c r="AC238" s="330">
        <v>11</v>
      </c>
      <c r="AD238" s="334">
        <v>2505</v>
      </c>
      <c r="AE238" s="334">
        <v>12</v>
      </c>
      <c r="AF238" s="334">
        <v>1</v>
      </c>
      <c r="AG238" s="334">
        <v>13</v>
      </c>
    </row>
    <row r="239" spans="1:33" x14ac:dyDescent="0.35">
      <c r="A239" s="329" t="s">
        <v>532</v>
      </c>
      <c r="B239" s="335" t="s">
        <v>533</v>
      </c>
      <c r="C239" s="330">
        <v>4114</v>
      </c>
      <c r="D239" s="330">
        <v>0</v>
      </c>
      <c r="E239" s="330">
        <v>475</v>
      </c>
      <c r="F239" s="330">
        <v>848</v>
      </c>
      <c r="G239" s="330">
        <v>588</v>
      </c>
      <c r="H239" s="330">
        <v>6025</v>
      </c>
      <c r="I239" s="330">
        <v>5437</v>
      </c>
      <c r="J239" s="330">
        <v>0</v>
      </c>
      <c r="K239" s="330">
        <v>94.26</v>
      </c>
      <c r="L239" s="332">
        <v>93.22</v>
      </c>
      <c r="M239" s="332">
        <v>4.6399999999999997</v>
      </c>
      <c r="N239" s="332">
        <v>98.05</v>
      </c>
      <c r="O239" s="333">
        <v>3360</v>
      </c>
      <c r="P239" s="330">
        <v>90.07</v>
      </c>
      <c r="Q239" s="330">
        <v>89.3</v>
      </c>
      <c r="R239" s="330">
        <v>39.08</v>
      </c>
      <c r="S239" s="330">
        <v>128.07</v>
      </c>
      <c r="T239" s="330">
        <v>1010</v>
      </c>
      <c r="U239" s="330">
        <v>111.36</v>
      </c>
      <c r="V239" s="330">
        <v>385</v>
      </c>
      <c r="W239" s="330">
        <v>147.02000000000001</v>
      </c>
      <c r="X239" s="330">
        <v>78</v>
      </c>
      <c r="Y239" s="330">
        <v>12</v>
      </c>
      <c r="Z239" s="330">
        <v>5</v>
      </c>
      <c r="AA239" s="330">
        <v>11</v>
      </c>
      <c r="AB239" s="330">
        <v>38</v>
      </c>
      <c r="AC239" s="330">
        <v>12</v>
      </c>
      <c r="AD239" s="330">
        <v>3728</v>
      </c>
      <c r="AE239" s="330">
        <v>26</v>
      </c>
      <c r="AF239" s="330">
        <v>2</v>
      </c>
      <c r="AG239" s="330">
        <v>28</v>
      </c>
    </row>
    <row r="240" spans="1:33" x14ac:dyDescent="0.35">
      <c r="A240" s="329" t="s">
        <v>534</v>
      </c>
      <c r="B240" s="335" t="s">
        <v>535</v>
      </c>
      <c r="C240" s="331">
        <v>3508</v>
      </c>
      <c r="D240" s="331">
        <v>0</v>
      </c>
      <c r="E240" s="331">
        <v>371</v>
      </c>
      <c r="F240" s="331">
        <v>206</v>
      </c>
      <c r="G240" s="331">
        <v>1255</v>
      </c>
      <c r="H240" s="331">
        <v>5340</v>
      </c>
      <c r="I240" s="330">
        <v>4085</v>
      </c>
      <c r="J240" s="330">
        <v>60</v>
      </c>
      <c r="K240" s="332">
        <v>109.66</v>
      </c>
      <c r="L240" s="332">
        <v>108.85</v>
      </c>
      <c r="M240" s="332">
        <v>3.17</v>
      </c>
      <c r="N240" s="332">
        <v>112.43</v>
      </c>
      <c r="O240" s="333">
        <v>2376</v>
      </c>
      <c r="P240" s="330">
        <v>102.84</v>
      </c>
      <c r="Q240" s="330">
        <v>101.98</v>
      </c>
      <c r="R240" s="330">
        <v>48.88</v>
      </c>
      <c r="S240" s="330">
        <v>151.53</v>
      </c>
      <c r="T240" s="330">
        <v>265</v>
      </c>
      <c r="U240" s="330">
        <v>147.59</v>
      </c>
      <c r="V240" s="330">
        <v>763</v>
      </c>
      <c r="W240" s="330">
        <v>170.47</v>
      </c>
      <c r="X240" s="330">
        <v>79</v>
      </c>
      <c r="Y240" s="330">
        <v>0</v>
      </c>
      <c r="Z240" s="330">
        <v>0</v>
      </c>
      <c r="AA240" s="330">
        <v>0</v>
      </c>
      <c r="AB240" s="330">
        <v>77</v>
      </c>
      <c r="AC240" s="330">
        <v>26</v>
      </c>
      <c r="AD240" s="334">
        <v>3279</v>
      </c>
      <c r="AE240" s="334">
        <v>33</v>
      </c>
      <c r="AF240" s="334">
        <v>10</v>
      </c>
      <c r="AG240" s="334">
        <v>43</v>
      </c>
    </row>
    <row r="241" spans="1:33" x14ac:dyDescent="0.35">
      <c r="A241" s="329" t="s">
        <v>536</v>
      </c>
      <c r="B241" s="335" t="s">
        <v>537</v>
      </c>
      <c r="C241" s="331">
        <v>1623</v>
      </c>
      <c r="D241" s="331">
        <v>0</v>
      </c>
      <c r="E241" s="331">
        <v>140</v>
      </c>
      <c r="F241" s="331">
        <v>44</v>
      </c>
      <c r="G241" s="331">
        <v>311</v>
      </c>
      <c r="H241" s="331">
        <v>2118</v>
      </c>
      <c r="I241" s="330">
        <v>1807</v>
      </c>
      <c r="J241" s="330">
        <v>0</v>
      </c>
      <c r="K241" s="332">
        <v>91.54</v>
      </c>
      <c r="L241" s="332">
        <v>90.53</v>
      </c>
      <c r="M241" s="332">
        <v>4.58</v>
      </c>
      <c r="N241" s="332">
        <v>94.77</v>
      </c>
      <c r="O241" s="333">
        <v>1276</v>
      </c>
      <c r="P241" s="330">
        <v>107.94</v>
      </c>
      <c r="Q241" s="330">
        <v>110.83</v>
      </c>
      <c r="R241" s="330">
        <v>97.83</v>
      </c>
      <c r="S241" s="330">
        <v>185.5</v>
      </c>
      <c r="T241" s="330">
        <v>111</v>
      </c>
      <c r="U241" s="330">
        <v>103.27</v>
      </c>
      <c r="V241" s="330">
        <v>338</v>
      </c>
      <c r="W241" s="330">
        <v>189.53</v>
      </c>
      <c r="X241" s="330">
        <v>48</v>
      </c>
      <c r="Y241" s="330">
        <v>0</v>
      </c>
      <c r="Z241" s="330">
        <v>4</v>
      </c>
      <c r="AA241" s="330">
        <v>0</v>
      </c>
      <c r="AB241" s="330">
        <v>49</v>
      </c>
      <c r="AC241" s="330">
        <v>6</v>
      </c>
      <c r="AD241" s="334">
        <v>1607</v>
      </c>
      <c r="AE241" s="334">
        <v>77</v>
      </c>
      <c r="AF241" s="334">
        <v>2</v>
      </c>
      <c r="AG241" s="334">
        <v>79</v>
      </c>
    </row>
    <row r="242" spans="1:33" x14ac:dyDescent="0.35">
      <c r="A242" s="329" t="s">
        <v>538</v>
      </c>
      <c r="B242" s="335" t="s">
        <v>539</v>
      </c>
      <c r="C242" s="331">
        <v>11016</v>
      </c>
      <c r="D242" s="331">
        <v>0</v>
      </c>
      <c r="E242" s="331">
        <v>323</v>
      </c>
      <c r="F242" s="331">
        <v>1799</v>
      </c>
      <c r="G242" s="331">
        <v>966</v>
      </c>
      <c r="H242" s="331">
        <v>14104</v>
      </c>
      <c r="I242" s="330">
        <v>13138</v>
      </c>
      <c r="J242" s="330">
        <v>1</v>
      </c>
      <c r="K242" s="332">
        <v>97.02</v>
      </c>
      <c r="L242" s="332">
        <v>97.73</v>
      </c>
      <c r="M242" s="332">
        <v>5.5</v>
      </c>
      <c r="N242" s="332">
        <v>100.23</v>
      </c>
      <c r="O242" s="333">
        <v>9957</v>
      </c>
      <c r="P242" s="330">
        <v>88.24</v>
      </c>
      <c r="Q242" s="330">
        <v>84.01</v>
      </c>
      <c r="R242" s="330">
        <v>31.78</v>
      </c>
      <c r="S242" s="330">
        <v>119.94</v>
      </c>
      <c r="T242" s="330">
        <v>1871</v>
      </c>
      <c r="U242" s="330">
        <v>137.74</v>
      </c>
      <c r="V242" s="330">
        <v>684</v>
      </c>
      <c r="W242" s="330">
        <v>199.63</v>
      </c>
      <c r="X242" s="330">
        <v>94</v>
      </c>
      <c r="Y242" s="330">
        <v>0</v>
      </c>
      <c r="Z242" s="330">
        <v>16</v>
      </c>
      <c r="AA242" s="330">
        <v>0</v>
      </c>
      <c r="AB242" s="330">
        <v>84</v>
      </c>
      <c r="AC242" s="330">
        <v>10</v>
      </c>
      <c r="AD242" s="334">
        <v>10697</v>
      </c>
      <c r="AE242" s="334">
        <v>96</v>
      </c>
      <c r="AF242" s="334">
        <v>76</v>
      </c>
      <c r="AG242" s="334">
        <v>172</v>
      </c>
    </row>
    <row r="243" spans="1:33" x14ac:dyDescent="0.35">
      <c r="A243" s="329" t="s">
        <v>540</v>
      </c>
      <c r="B243" s="335" t="s">
        <v>541</v>
      </c>
      <c r="C243" s="331">
        <v>3942</v>
      </c>
      <c r="D243" s="331">
        <v>0</v>
      </c>
      <c r="E243" s="331">
        <v>88</v>
      </c>
      <c r="F243" s="331">
        <v>598</v>
      </c>
      <c r="G243" s="331">
        <v>576</v>
      </c>
      <c r="H243" s="331">
        <v>5204</v>
      </c>
      <c r="I243" s="330">
        <v>4628</v>
      </c>
      <c r="J243" s="330">
        <v>3</v>
      </c>
      <c r="K243" s="332">
        <v>92.45</v>
      </c>
      <c r="L243" s="332">
        <v>88.89</v>
      </c>
      <c r="M243" s="332">
        <v>2.13</v>
      </c>
      <c r="N243" s="332">
        <v>94.48</v>
      </c>
      <c r="O243" s="333">
        <v>3280</v>
      </c>
      <c r="P243" s="330">
        <v>81.94</v>
      </c>
      <c r="Q243" s="330">
        <v>73.28</v>
      </c>
      <c r="R243" s="330">
        <v>32.909999999999997</v>
      </c>
      <c r="S243" s="330">
        <v>113.5</v>
      </c>
      <c r="T243" s="330">
        <v>558</v>
      </c>
      <c r="U243" s="330">
        <v>123.21</v>
      </c>
      <c r="V243" s="330">
        <v>328</v>
      </c>
      <c r="W243" s="330">
        <v>216.65</v>
      </c>
      <c r="X243" s="330">
        <v>41</v>
      </c>
      <c r="Y243" s="330">
        <v>0</v>
      </c>
      <c r="Z243" s="330">
        <v>3</v>
      </c>
      <c r="AA243" s="330">
        <v>3</v>
      </c>
      <c r="AB243" s="330">
        <v>58</v>
      </c>
      <c r="AC243" s="330">
        <v>7</v>
      </c>
      <c r="AD243" s="334">
        <v>3671</v>
      </c>
      <c r="AE243" s="334">
        <v>13</v>
      </c>
      <c r="AF243" s="334">
        <v>10</v>
      </c>
      <c r="AG243" s="334">
        <v>23</v>
      </c>
    </row>
    <row r="244" spans="1:33" x14ac:dyDescent="0.35">
      <c r="A244" s="329" t="s">
        <v>542</v>
      </c>
      <c r="B244" s="335" t="s">
        <v>543</v>
      </c>
      <c r="C244" s="331">
        <v>1023</v>
      </c>
      <c r="D244" s="331">
        <v>0</v>
      </c>
      <c r="E244" s="331">
        <v>110</v>
      </c>
      <c r="F244" s="331">
        <v>0</v>
      </c>
      <c r="G244" s="331">
        <v>312</v>
      </c>
      <c r="H244" s="331">
        <v>1445</v>
      </c>
      <c r="I244" s="330">
        <v>1133</v>
      </c>
      <c r="J244" s="330">
        <v>0</v>
      </c>
      <c r="K244" s="332">
        <v>83.98</v>
      </c>
      <c r="L244" s="332">
        <v>85.61</v>
      </c>
      <c r="M244" s="332">
        <v>4.8899999999999997</v>
      </c>
      <c r="N244" s="332">
        <v>87.89</v>
      </c>
      <c r="O244" s="333">
        <v>751</v>
      </c>
      <c r="P244" s="330">
        <v>115.05</v>
      </c>
      <c r="Q244" s="330">
        <v>70.2</v>
      </c>
      <c r="R244" s="330">
        <v>103.53</v>
      </c>
      <c r="S244" s="330">
        <v>218.58</v>
      </c>
      <c r="T244" s="330">
        <v>96</v>
      </c>
      <c r="U244" s="330">
        <v>104.17</v>
      </c>
      <c r="V244" s="330">
        <v>165</v>
      </c>
      <c r="W244" s="330">
        <v>0</v>
      </c>
      <c r="X244" s="330">
        <v>0</v>
      </c>
      <c r="Y244" s="330">
        <v>0</v>
      </c>
      <c r="Z244" s="330">
        <v>0</v>
      </c>
      <c r="AA244" s="330">
        <v>0</v>
      </c>
      <c r="AB244" s="330">
        <v>3</v>
      </c>
      <c r="AC244" s="330">
        <v>3</v>
      </c>
      <c r="AD244" s="334">
        <v>958</v>
      </c>
      <c r="AE244" s="334">
        <v>6</v>
      </c>
      <c r="AF244" s="334">
        <v>0</v>
      </c>
      <c r="AG244" s="334">
        <v>6</v>
      </c>
    </row>
    <row r="245" spans="1:33" x14ac:dyDescent="0.35">
      <c r="A245" s="329" t="s">
        <v>544</v>
      </c>
      <c r="B245" s="335" t="s">
        <v>545</v>
      </c>
      <c r="C245" s="331">
        <v>1788</v>
      </c>
      <c r="D245" s="331">
        <v>0</v>
      </c>
      <c r="E245" s="331">
        <v>148</v>
      </c>
      <c r="F245" s="331">
        <v>269</v>
      </c>
      <c r="G245" s="331">
        <v>510</v>
      </c>
      <c r="H245" s="331">
        <v>2715</v>
      </c>
      <c r="I245" s="330">
        <v>2205</v>
      </c>
      <c r="J245" s="330">
        <v>1</v>
      </c>
      <c r="K245" s="332">
        <v>86.91</v>
      </c>
      <c r="L245" s="332">
        <v>86.77</v>
      </c>
      <c r="M245" s="332">
        <v>5.37</v>
      </c>
      <c r="N245" s="332">
        <v>91.64</v>
      </c>
      <c r="O245" s="333">
        <v>1242</v>
      </c>
      <c r="P245" s="330">
        <v>94.31</v>
      </c>
      <c r="Q245" s="330">
        <v>76.37</v>
      </c>
      <c r="R245" s="330">
        <v>45.02</v>
      </c>
      <c r="S245" s="330">
        <v>133.9</v>
      </c>
      <c r="T245" s="330">
        <v>282</v>
      </c>
      <c r="U245" s="330">
        <v>102.94</v>
      </c>
      <c r="V245" s="330">
        <v>257</v>
      </c>
      <c r="W245" s="330">
        <v>0</v>
      </c>
      <c r="X245" s="330">
        <v>0</v>
      </c>
      <c r="Y245" s="330">
        <v>0</v>
      </c>
      <c r="Z245" s="330">
        <v>1</v>
      </c>
      <c r="AA245" s="330">
        <v>1</v>
      </c>
      <c r="AB245" s="330">
        <v>26</v>
      </c>
      <c r="AC245" s="330">
        <v>11</v>
      </c>
      <c r="AD245" s="334">
        <v>1712</v>
      </c>
      <c r="AE245" s="334">
        <v>18</v>
      </c>
      <c r="AF245" s="334">
        <v>3</v>
      </c>
      <c r="AG245" s="334">
        <v>21</v>
      </c>
    </row>
    <row r="246" spans="1:33" x14ac:dyDescent="0.35">
      <c r="A246" s="329" t="s">
        <v>546</v>
      </c>
      <c r="B246" s="335" t="s">
        <v>547</v>
      </c>
      <c r="C246" s="331">
        <v>4114</v>
      </c>
      <c r="D246" s="331">
        <v>0</v>
      </c>
      <c r="E246" s="331">
        <v>232</v>
      </c>
      <c r="F246" s="331">
        <v>543</v>
      </c>
      <c r="G246" s="331">
        <v>181</v>
      </c>
      <c r="H246" s="331">
        <v>5070</v>
      </c>
      <c r="I246" s="330">
        <v>4889</v>
      </c>
      <c r="J246" s="330">
        <v>0</v>
      </c>
      <c r="K246" s="332">
        <v>90.47</v>
      </c>
      <c r="L246" s="332">
        <v>90.41</v>
      </c>
      <c r="M246" s="332">
        <v>4.17</v>
      </c>
      <c r="N246" s="332">
        <v>91.65</v>
      </c>
      <c r="O246" s="333">
        <v>3563</v>
      </c>
      <c r="P246" s="330">
        <v>84.5</v>
      </c>
      <c r="Q246" s="330">
        <v>81.05</v>
      </c>
      <c r="R246" s="330">
        <v>43.01</v>
      </c>
      <c r="S246" s="330">
        <v>127</v>
      </c>
      <c r="T246" s="330">
        <v>678</v>
      </c>
      <c r="U246" s="330">
        <v>113.76</v>
      </c>
      <c r="V246" s="330">
        <v>468</v>
      </c>
      <c r="W246" s="330">
        <v>202.68</v>
      </c>
      <c r="X246" s="330">
        <v>8</v>
      </c>
      <c r="Y246" s="330">
        <v>0</v>
      </c>
      <c r="Z246" s="330">
        <v>22</v>
      </c>
      <c r="AA246" s="330">
        <v>0</v>
      </c>
      <c r="AB246" s="330">
        <v>0</v>
      </c>
      <c r="AC246" s="330">
        <v>0</v>
      </c>
      <c r="AD246" s="334">
        <v>4028</v>
      </c>
      <c r="AE246" s="334">
        <v>4</v>
      </c>
      <c r="AF246" s="334">
        <v>24</v>
      </c>
      <c r="AG246" s="334">
        <v>28</v>
      </c>
    </row>
    <row r="247" spans="1:33" x14ac:dyDescent="0.35">
      <c r="A247" s="329" t="s">
        <v>548</v>
      </c>
      <c r="B247" s="335" t="s">
        <v>549</v>
      </c>
      <c r="C247" s="331">
        <v>6455</v>
      </c>
      <c r="D247" s="331">
        <v>0</v>
      </c>
      <c r="E247" s="331">
        <v>238</v>
      </c>
      <c r="F247" s="331">
        <v>924</v>
      </c>
      <c r="G247" s="331">
        <v>670</v>
      </c>
      <c r="H247" s="331">
        <v>8287</v>
      </c>
      <c r="I247" s="330">
        <v>7617</v>
      </c>
      <c r="J247" s="330">
        <v>1</v>
      </c>
      <c r="K247" s="332">
        <v>87.26</v>
      </c>
      <c r="L247" s="332">
        <v>86.91</v>
      </c>
      <c r="M247" s="332">
        <v>5.1100000000000003</v>
      </c>
      <c r="N247" s="332">
        <v>88.74</v>
      </c>
      <c r="O247" s="333">
        <v>4369</v>
      </c>
      <c r="P247" s="330">
        <v>87.69</v>
      </c>
      <c r="Q247" s="330">
        <v>80.45</v>
      </c>
      <c r="R247" s="330">
        <v>34.11</v>
      </c>
      <c r="S247" s="330">
        <v>120.92</v>
      </c>
      <c r="T247" s="330">
        <v>1118</v>
      </c>
      <c r="U247" s="330">
        <v>111.54</v>
      </c>
      <c r="V247" s="330">
        <v>1883</v>
      </c>
      <c r="W247" s="330">
        <v>0</v>
      </c>
      <c r="X247" s="330">
        <v>0</v>
      </c>
      <c r="Y247" s="330">
        <v>30</v>
      </c>
      <c r="Z247" s="330">
        <v>4</v>
      </c>
      <c r="AA247" s="330">
        <v>5</v>
      </c>
      <c r="AB247" s="330">
        <v>35</v>
      </c>
      <c r="AC247" s="330">
        <v>7</v>
      </c>
      <c r="AD247" s="334">
        <v>6449</v>
      </c>
      <c r="AE247" s="334">
        <v>41</v>
      </c>
      <c r="AF247" s="334">
        <v>32</v>
      </c>
      <c r="AG247" s="334">
        <v>73</v>
      </c>
    </row>
    <row r="248" spans="1:33" x14ac:dyDescent="0.35">
      <c r="A248" s="329" t="s">
        <v>550</v>
      </c>
      <c r="B248" s="335" t="s">
        <v>551</v>
      </c>
      <c r="C248" s="331">
        <v>6468</v>
      </c>
      <c r="D248" s="331">
        <v>0</v>
      </c>
      <c r="E248" s="331">
        <v>227</v>
      </c>
      <c r="F248" s="331">
        <v>710</v>
      </c>
      <c r="G248" s="331">
        <v>1036</v>
      </c>
      <c r="H248" s="331">
        <v>8441</v>
      </c>
      <c r="I248" s="330">
        <v>7405</v>
      </c>
      <c r="J248" s="330">
        <v>2</v>
      </c>
      <c r="K248" s="332">
        <v>109.55</v>
      </c>
      <c r="L248" s="332">
        <v>108.38</v>
      </c>
      <c r="M248" s="332">
        <v>6.73</v>
      </c>
      <c r="N248" s="332">
        <v>111.96</v>
      </c>
      <c r="O248" s="333">
        <v>5261</v>
      </c>
      <c r="P248" s="330">
        <v>93.32</v>
      </c>
      <c r="Q248" s="330">
        <v>90.29</v>
      </c>
      <c r="R248" s="330">
        <v>24.57</v>
      </c>
      <c r="S248" s="330">
        <v>115.75</v>
      </c>
      <c r="T248" s="330">
        <v>767</v>
      </c>
      <c r="U248" s="330">
        <v>176.09</v>
      </c>
      <c r="V248" s="330">
        <v>1067</v>
      </c>
      <c r="W248" s="330">
        <v>160.88</v>
      </c>
      <c r="X248" s="330">
        <v>39</v>
      </c>
      <c r="Y248" s="330">
        <v>0</v>
      </c>
      <c r="Z248" s="330">
        <v>1</v>
      </c>
      <c r="AA248" s="330">
        <v>3</v>
      </c>
      <c r="AB248" s="330">
        <v>142</v>
      </c>
      <c r="AC248" s="330">
        <v>16</v>
      </c>
      <c r="AD248" s="334">
        <v>6338</v>
      </c>
      <c r="AE248" s="334">
        <v>62</v>
      </c>
      <c r="AF248" s="334">
        <v>16</v>
      </c>
      <c r="AG248" s="334">
        <v>78</v>
      </c>
    </row>
    <row r="249" spans="1:33" x14ac:dyDescent="0.35">
      <c r="A249" s="329" t="s">
        <v>552</v>
      </c>
      <c r="B249" s="335" t="s">
        <v>553</v>
      </c>
      <c r="C249" s="331">
        <v>3956</v>
      </c>
      <c r="D249" s="331">
        <v>3</v>
      </c>
      <c r="E249" s="331">
        <v>262</v>
      </c>
      <c r="F249" s="331">
        <v>1066</v>
      </c>
      <c r="G249" s="331">
        <v>235</v>
      </c>
      <c r="H249" s="331">
        <v>5522</v>
      </c>
      <c r="I249" s="330">
        <v>5287</v>
      </c>
      <c r="J249" s="330">
        <v>24</v>
      </c>
      <c r="K249" s="332">
        <v>85.86</v>
      </c>
      <c r="L249" s="332">
        <v>86.19</v>
      </c>
      <c r="M249" s="332">
        <v>2.67</v>
      </c>
      <c r="N249" s="332">
        <v>88.44</v>
      </c>
      <c r="O249" s="333">
        <v>3544</v>
      </c>
      <c r="P249" s="330">
        <v>88.03</v>
      </c>
      <c r="Q249" s="330">
        <v>80.2</v>
      </c>
      <c r="R249" s="330">
        <v>25.03</v>
      </c>
      <c r="S249" s="330">
        <v>112.91</v>
      </c>
      <c r="T249" s="330">
        <v>1242</v>
      </c>
      <c r="U249" s="330">
        <v>101.53</v>
      </c>
      <c r="V249" s="330">
        <v>397</v>
      </c>
      <c r="W249" s="330">
        <v>0</v>
      </c>
      <c r="X249" s="330">
        <v>0</v>
      </c>
      <c r="Y249" s="330">
        <v>0</v>
      </c>
      <c r="Z249" s="330">
        <v>7</v>
      </c>
      <c r="AA249" s="330">
        <v>0</v>
      </c>
      <c r="AB249" s="330">
        <v>10</v>
      </c>
      <c r="AC249" s="330">
        <v>5</v>
      </c>
      <c r="AD249" s="334">
        <v>3954</v>
      </c>
      <c r="AE249" s="334">
        <v>24</v>
      </c>
      <c r="AF249" s="334">
        <v>3</v>
      </c>
      <c r="AG249" s="334">
        <v>27</v>
      </c>
    </row>
    <row r="250" spans="1:33" x14ac:dyDescent="0.35">
      <c r="A250" s="329" t="s">
        <v>554</v>
      </c>
      <c r="B250" s="335" t="s">
        <v>555</v>
      </c>
      <c r="C250" s="331">
        <v>9207</v>
      </c>
      <c r="D250" s="331">
        <v>0</v>
      </c>
      <c r="E250" s="331">
        <v>292</v>
      </c>
      <c r="F250" s="331">
        <v>1696</v>
      </c>
      <c r="G250" s="331">
        <v>723</v>
      </c>
      <c r="H250" s="331">
        <v>11918</v>
      </c>
      <c r="I250" s="330">
        <v>11195</v>
      </c>
      <c r="J250" s="330">
        <v>0</v>
      </c>
      <c r="K250" s="332">
        <v>90.8</v>
      </c>
      <c r="L250" s="332">
        <v>90.22</v>
      </c>
      <c r="M250" s="332">
        <v>4.3899999999999997</v>
      </c>
      <c r="N250" s="332">
        <v>92.18</v>
      </c>
      <c r="O250" s="333">
        <v>8251</v>
      </c>
      <c r="P250" s="330">
        <v>84.57</v>
      </c>
      <c r="Q250" s="330">
        <v>83.54</v>
      </c>
      <c r="R250" s="330">
        <v>26.69</v>
      </c>
      <c r="S250" s="330">
        <v>111.22</v>
      </c>
      <c r="T250" s="330">
        <v>1941</v>
      </c>
      <c r="U250" s="330">
        <v>114.37</v>
      </c>
      <c r="V250" s="330">
        <v>620</v>
      </c>
      <c r="W250" s="330">
        <v>126.18</v>
      </c>
      <c r="X250" s="330">
        <v>30</v>
      </c>
      <c r="Y250" s="330">
        <v>0</v>
      </c>
      <c r="Z250" s="330">
        <v>29</v>
      </c>
      <c r="AA250" s="330">
        <v>5</v>
      </c>
      <c r="AB250" s="330">
        <v>67</v>
      </c>
      <c r="AC250" s="330">
        <v>12</v>
      </c>
      <c r="AD250" s="334">
        <v>9132</v>
      </c>
      <c r="AE250" s="334">
        <v>40</v>
      </c>
      <c r="AF250" s="334">
        <v>38</v>
      </c>
      <c r="AG250" s="334">
        <v>78</v>
      </c>
    </row>
    <row r="251" spans="1:33" x14ac:dyDescent="0.35">
      <c r="A251" s="329" t="s">
        <v>556</v>
      </c>
      <c r="B251" s="335" t="s">
        <v>557</v>
      </c>
      <c r="C251" s="331">
        <v>5710</v>
      </c>
      <c r="D251" s="331">
        <v>0</v>
      </c>
      <c r="E251" s="331">
        <v>301</v>
      </c>
      <c r="F251" s="331">
        <v>664</v>
      </c>
      <c r="G251" s="331">
        <v>346</v>
      </c>
      <c r="H251" s="331">
        <v>7021</v>
      </c>
      <c r="I251" s="330">
        <v>6675</v>
      </c>
      <c r="J251" s="330">
        <v>0</v>
      </c>
      <c r="K251" s="332">
        <v>85.64</v>
      </c>
      <c r="L251" s="332">
        <v>86.32</v>
      </c>
      <c r="M251" s="332">
        <v>5.01</v>
      </c>
      <c r="N251" s="332">
        <v>87.05</v>
      </c>
      <c r="O251" s="333">
        <v>5572</v>
      </c>
      <c r="P251" s="330">
        <v>79.040000000000006</v>
      </c>
      <c r="Q251" s="330">
        <v>79.989999999999995</v>
      </c>
      <c r="R251" s="330">
        <v>40.43</v>
      </c>
      <c r="S251" s="330">
        <v>118.5</v>
      </c>
      <c r="T251" s="330">
        <v>794</v>
      </c>
      <c r="U251" s="330">
        <v>102.88</v>
      </c>
      <c r="V251" s="330">
        <v>100</v>
      </c>
      <c r="W251" s="330">
        <v>177.67</v>
      </c>
      <c r="X251" s="330">
        <v>139</v>
      </c>
      <c r="Y251" s="330">
        <v>0</v>
      </c>
      <c r="Z251" s="330">
        <v>45</v>
      </c>
      <c r="AA251" s="330">
        <v>0</v>
      </c>
      <c r="AB251" s="330">
        <v>57</v>
      </c>
      <c r="AC251" s="330">
        <v>5</v>
      </c>
      <c r="AD251" s="334">
        <v>5710</v>
      </c>
      <c r="AE251" s="334">
        <v>10</v>
      </c>
      <c r="AF251" s="334">
        <v>44</v>
      </c>
      <c r="AG251" s="334">
        <v>54</v>
      </c>
    </row>
    <row r="252" spans="1:33" x14ac:dyDescent="0.35">
      <c r="A252" s="329" t="s">
        <v>558</v>
      </c>
      <c r="B252" s="335" t="s">
        <v>559</v>
      </c>
      <c r="C252" s="331">
        <v>3843</v>
      </c>
      <c r="D252" s="331">
        <v>23</v>
      </c>
      <c r="E252" s="331">
        <v>374</v>
      </c>
      <c r="F252" s="331">
        <v>964</v>
      </c>
      <c r="G252" s="331">
        <v>220</v>
      </c>
      <c r="H252" s="331">
        <v>5424</v>
      </c>
      <c r="I252" s="330">
        <v>5204</v>
      </c>
      <c r="J252" s="330">
        <v>0</v>
      </c>
      <c r="K252" s="332">
        <v>78.959999999999994</v>
      </c>
      <c r="L252" s="332">
        <v>75.599999999999994</v>
      </c>
      <c r="M252" s="332">
        <v>3.26</v>
      </c>
      <c r="N252" s="332">
        <v>81.150000000000006</v>
      </c>
      <c r="O252" s="333">
        <v>3133</v>
      </c>
      <c r="P252" s="330">
        <v>82.91</v>
      </c>
      <c r="Q252" s="330">
        <v>75.400000000000006</v>
      </c>
      <c r="R252" s="330">
        <v>64.2</v>
      </c>
      <c r="S252" s="330">
        <v>145.53</v>
      </c>
      <c r="T252" s="330">
        <v>935</v>
      </c>
      <c r="U252" s="330">
        <v>95.39</v>
      </c>
      <c r="V252" s="330">
        <v>649</v>
      </c>
      <c r="W252" s="330">
        <v>101.46</v>
      </c>
      <c r="X252" s="330">
        <v>290</v>
      </c>
      <c r="Y252" s="330">
        <v>887</v>
      </c>
      <c r="Z252" s="330">
        <v>1</v>
      </c>
      <c r="AA252" s="330">
        <v>4</v>
      </c>
      <c r="AB252" s="330">
        <v>6</v>
      </c>
      <c r="AC252" s="330">
        <v>3</v>
      </c>
      <c r="AD252" s="334">
        <v>3669</v>
      </c>
      <c r="AE252" s="334">
        <v>85</v>
      </c>
      <c r="AF252" s="334">
        <v>27</v>
      </c>
      <c r="AG252" s="334">
        <v>112</v>
      </c>
    </row>
    <row r="253" spans="1:33" x14ac:dyDescent="0.35">
      <c r="A253" s="329" t="s">
        <v>560</v>
      </c>
      <c r="B253" s="335" t="s">
        <v>561</v>
      </c>
      <c r="C253" s="331">
        <v>5866</v>
      </c>
      <c r="D253" s="331">
        <v>93</v>
      </c>
      <c r="E253" s="331">
        <v>925</v>
      </c>
      <c r="F253" s="331">
        <v>1063</v>
      </c>
      <c r="G253" s="331">
        <v>955</v>
      </c>
      <c r="H253" s="331">
        <v>8902</v>
      </c>
      <c r="I253" s="330">
        <v>7947</v>
      </c>
      <c r="J253" s="330">
        <v>1</v>
      </c>
      <c r="K253" s="332">
        <v>103.38</v>
      </c>
      <c r="L253" s="332">
        <v>100.9</v>
      </c>
      <c r="M253" s="332">
        <v>7.59</v>
      </c>
      <c r="N253" s="332">
        <v>109.84</v>
      </c>
      <c r="O253" s="333">
        <v>4671</v>
      </c>
      <c r="P253" s="330">
        <v>90.41</v>
      </c>
      <c r="Q253" s="330">
        <v>87.88</v>
      </c>
      <c r="R253" s="330">
        <v>41.78</v>
      </c>
      <c r="S253" s="330">
        <v>129.66</v>
      </c>
      <c r="T253" s="330">
        <v>1586</v>
      </c>
      <c r="U253" s="330">
        <v>138.93</v>
      </c>
      <c r="V253" s="330">
        <v>796</v>
      </c>
      <c r="W253" s="330">
        <v>144.68</v>
      </c>
      <c r="X253" s="330">
        <v>23</v>
      </c>
      <c r="Y253" s="330">
        <v>72</v>
      </c>
      <c r="Z253" s="330">
        <v>2</v>
      </c>
      <c r="AA253" s="330">
        <v>3</v>
      </c>
      <c r="AB253" s="330">
        <v>3</v>
      </c>
      <c r="AC253" s="330">
        <v>27</v>
      </c>
      <c r="AD253" s="334">
        <v>5736</v>
      </c>
      <c r="AE253" s="334">
        <v>32</v>
      </c>
      <c r="AF253" s="334">
        <v>14</v>
      </c>
      <c r="AG253" s="334">
        <v>46</v>
      </c>
    </row>
    <row r="254" spans="1:33" x14ac:dyDescent="0.35">
      <c r="A254" s="329" t="s">
        <v>562</v>
      </c>
      <c r="B254" s="335" t="s">
        <v>563</v>
      </c>
      <c r="C254" s="331">
        <v>2849</v>
      </c>
      <c r="D254" s="331">
        <v>0</v>
      </c>
      <c r="E254" s="331">
        <v>549</v>
      </c>
      <c r="F254" s="331">
        <v>318</v>
      </c>
      <c r="G254" s="331">
        <v>400</v>
      </c>
      <c r="H254" s="331">
        <v>4116</v>
      </c>
      <c r="I254" s="330">
        <v>3716</v>
      </c>
      <c r="J254" s="330">
        <v>0</v>
      </c>
      <c r="K254" s="332">
        <v>96.75</v>
      </c>
      <c r="L254" s="332">
        <v>94.81</v>
      </c>
      <c r="M254" s="332">
        <v>13.46</v>
      </c>
      <c r="N254" s="332">
        <v>107.44</v>
      </c>
      <c r="O254" s="333">
        <v>2471</v>
      </c>
      <c r="P254" s="330">
        <v>89.78</v>
      </c>
      <c r="Q254" s="330">
        <v>87.3</v>
      </c>
      <c r="R254" s="330">
        <v>43.98</v>
      </c>
      <c r="S254" s="330">
        <v>131.61000000000001</v>
      </c>
      <c r="T254" s="330">
        <v>511</v>
      </c>
      <c r="U254" s="330">
        <v>146.24</v>
      </c>
      <c r="V254" s="330">
        <v>364</v>
      </c>
      <c r="W254" s="330">
        <v>0</v>
      </c>
      <c r="X254" s="330">
        <v>0</v>
      </c>
      <c r="Y254" s="330">
        <v>0</v>
      </c>
      <c r="Z254" s="330">
        <v>0</v>
      </c>
      <c r="AA254" s="330">
        <v>0</v>
      </c>
      <c r="AB254" s="330">
        <v>63</v>
      </c>
      <c r="AC254" s="330">
        <v>7</v>
      </c>
      <c r="AD254" s="334">
        <v>2849</v>
      </c>
      <c r="AE254" s="334">
        <v>19</v>
      </c>
      <c r="AF254" s="334">
        <v>5</v>
      </c>
      <c r="AG254" s="334">
        <v>24</v>
      </c>
    </row>
    <row r="255" spans="1:33" x14ac:dyDescent="0.35">
      <c r="A255" s="329" t="s">
        <v>564</v>
      </c>
      <c r="B255" s="335" t="s">
        <v>565</v>
      </c>
      <c r="C255" s="331">
        <v>15194</v>
      </c>
      <c r="D255" s="331">
        <v>80</v>
      </c>
      <c r="E255" s="331">
        <v>1402</v>
      </c>
      <c r="F255" s="331">
        <v>745</v>
      </c>
      <c r="G255" s="331">
        <v>3198</v>
      </c>
      <c r="H255" s="331">
        <v>20619</v>
      </c>
      <c r="I255" s="330">
        <v>17421</v>
      </c>
      <c r="J255" s="330">
        <v>133</v>
      </c>
      <c r="K255" s="332">
        <v>120.51</v>
      </c>
      <c r="L255" s="332">
        <v>122.45</v>
      </c>
      <c r="M255" s="332">
        <v>13.51</v>
      </c>
      <c r="N255" s="332">
        <v>130.88</v>
      </c>
      <c r="O255" s="333">
        <v>12377</v>
      </c>
      <c r="P255" s="330">
        <v>107.25</v>
      </c>
      <c r="Q255" s="330">
        <v>103.61</v>
      </c>
      <c r="R255" s="330">
        <v>57.06</v>
      </c>
      <c r="S255" s="330">
        <v>159.47</v>
      </c>
      <c r="T255" s="330">
        <v>1901</v>
      </c>
      <c r="U255" s="330">
        <v>198.88</v>
      </c>
      <c r="V255" s="330">
        <v>1061</v>
      </c>
      <c r="W255" s="330">
        <v>196.79</v>
      </c>
      <c r="X255" s="330">
        <v>24</v>
      </c>
      <c r="Y255" s="330">
        <v>66</v>
      </c>
      <c r="Z255" s="330">
        <v>0</v>
      </c>
      <c r="AA255" s="330">
        <v>57</v>
      </c>
      <c r="AB255" s="330">
        <v>119</v>
      </c>
      <c r="AC255" s="330">
        <v>69</v>
      </c>
      <c r="AD255" s="334">
        <v>14377</v>
      </c>
      <c r="AE255" s="334">
        <v>56</v>
      </c>
      <c r="AF255" s="334">
        <v>101</v>
      </c>
      <c r="AG255" s="334">
        <v>157</v>
      </c>
    </row>
    <row r="256" spans="1:33" x14ac:dyDescent="0.35">
      <c r="A256" s="329" t="s">
        <v>566</v>
      </c>
      <c r="B256" s="335" t="s">
        <v>567</v>
      </c>
      <c r="C256" s="331">
        <v>4905</v>
      </c>
      <c r="D256" s="331">
        <v>0</v>
      </c>
      <c r="E256" s="331">
        <v>115</v>
      </c>
      <c r="F256" s="331">
        <v>338</v>
      </c>
      <c r="G256" s="331">
        <v>402</v>
      </c>
      <c r="H256" s="331">
        <v>5760</v>
      </c>
      <c r="I256" s="330">
        <v>5358</v>
      </c>
      <c r="J256" s="330">
        <v>20</v>
      </c>
      <c r="K256" s="332">
        <v>114.45</v>
      </c>
      <c r="L256" s="332">
        <v>109.53</v>
      </c>
      <c r="M256" s="332">
        <v>5.63</v>
      </c>
      <c r="N256" s="332">
        <v>119.49</v>
      </c>
      <c r="O256" s="333">
        <v>4724</v>
      </c>
      <c r="P256" s="330">
        <v>108.78</v>
      </c>
      <c r="Q256" s="330">
        <v>101.64</v>
      </c>
      <c r="R256" s="330">
        <v>63.87</v>
      </c>
      <c r="S256" s="330">
        <v>165.81</v>
      </c>
      <c r="T256" s="330">
        <v>346</v>
      </c>
      <c r="U256" s="330">
        <v>211.28</v>
      </c>
      <c r="V256" s="330">
        <v>162</v>
      </c>
      <c r="W256" s="330">
        <v>109.89</v>
      </c>
      <c r="X256" s="330">
        <v>2</v>
      </c>
      <c r="Y256" s="330">
        <v>0</v>
      </c>
      <c r="Z256" s="330">
        <v>1</v>
      </c>
      <c r="AA256" s="330">
        <v>1</v>
      </c>
      <c r="AB256" s="330">
        <v>0</v>
      </c>
      <c r="AC256" s="330">
        <v>12</v>
      </c>
      <c r="AD256" s="334">
        <v>4902</v>
      </c>
      <c r="AE256" s="334">
        <v>24</v>
      </c>
      <c r="AF256" s="334">
        <v>3</v>
      </c>
      <c r="AG256" s="334">
        <v>27</v>
      </c>
    </row>
    <row r="257" spans="1:33" x14ac:dyDescent="0.35">
      <c r="A257" s="329" t="s">
        <v>568</v>
      </c>
      <c r="B257" s="335" t="s">
        <v>569</v>
      </c>
      <c r="C257" s="331">
        <v>2120</v>
      </c>
      <c r="D257" s="331">
        <v>0</v>
      </c>
      <c r="E257" s="331">
        <v>271</v>
      </c>
      <c r="F257" s="331">
        <v>206</v>
      </c>
      <c r="G257" s="331">
        <v>233</v>
      </c>
      <c r="H257" s="331">
        <v>2830</v>
      </c>
      <c r="I257" s="330">
        <v>2597</v>
      </c>
      <c r="J257" s="330">
        <v>0</v>
      </c>
      <c r="K257" s="332">
        <v>119.96</v>
      </c>
      <c r="L257" s="332">
        <v>117.71</v>
      </c>
      <c r="M257" s="332">
        <v>7.44</v>
      </c>
      <c r="N257" s="332">
        <v>126.49</v>
      </c>
      <c r="O257" s="333">
        <v>1619</v>
      </c>
      <c r="P257" s="330">
        <v>117.18</v>
      </c>
      <c r="Q257" s="330">
        <v>105.02</v>
      </c>
      <c r="R257" s="330">
        <v>37.229999999999997</v>
      </c>
      <c r="S257" s="330">
        <v>152.99</v>
      </c>
      <c r="T257" s="330">
        <v>395</v>
      </c>
      <c r="U257" s="330">
        <v>185.59</v>
      </c>
      <c r="V257" s="330">
        <v>275</v>
      </c>
      <c r="W257" s="330">
        <v>189.43</v>
      </c>
      <c r="X257" s="330">
        <v>29</v>
      </c>
      <c r="Y257" s="330">
        <v>0</v>
      </c>
      <c r="Z257" s="330">
        <v>0</v>
      </c>
      <c r="AA257" s="330">
        <v>0</v>
      </c>
      <c r="AB257" s="330">
        <v>13</v>
      </c>
      <c r="AC257" s="330">
        <v>10</v>
      </c>
      <c r="AD257" s="334">
        <v>2117</v>
      </c>
      <c r="AE257" s="334">
        <v>19</v>
      </c>
      <c r="AF257" s="334">
        <v>9</v>
      </c>
      <c r="AG257" s="334">
        <v>28</v>
      </c>
    </row>
    <row r="258" spans="1:33" x14ac:dyDescent="0.35">
      <c r="A258" s="329" t="s">
        <v>570</v>
      </c>
      <c r="B258" s="335" t="s">
        <v>571</v>
      </c>
      <c r="C258" s="331">
        <v>14535</v>
      </c>
      <c r="D258" s="331">
        <v>0</v>
      </c>
      <c r="E258" s="331">
        <v>654</v>
      </c>
      <c r="F258" s="331">
        <v>1997</v>
      </c>
      <c r="G258" s="331">
        <v>573</v>
      </c>
      <c r="H258" s="331">
        <v>17759</v>
      </c>
      <c r="I258" s="330">
        <v>17186</v>
      </c>
      <c r="J258" s="330">
        <v>244</v>
      </c>
      <c r="K258" s="332">
        <v>87.16</v>
      </c>
      <c r="L258" s="332">
        <v>83.79</v>
      </c>
      <c r="M258" s="332">
        <v>1.59</v>
      </c>
      <c r="N258" s="332">
        <v>88.61</v>
      </c>
      <c r="O258" s="333">
        <v>13190</v>
      </c>
      <c r="P258" s="330">
        <v>91.2</v>
      </c>
      <c r="Q258" s="330">
        <v>77.75</v>
      </c>
      <c r="R258" s="330">
        <v>42.13</v>
      </c>
      <c r="S258" s="330">
        <v>133.06</v>
      </c>
      <c r="T258" s="330">
        <v>2470</v>
      </c>
      <c r="U258" s="330">
        <v>97.63</v>
      </c>
      <c r="V258" s="330">
        <v>1273</v>
      </c>
      <c r="W258" s="330">
        <v>0</v>
      </c>
      <c r="X258" s="330">
        <v>0</v>
      </c>
      <c r="Y258" s="330">
        <v>0</v>
      </c>
      <c r="Z258" s="330">
        <v>86</v>
      </c>
      <c r="AA258" s="330">
        <v>1</v>
      </c>
      <c r="AB258" s="330">
        <v>33</v>
      </c>
      <c r="AC258" s="330">
        <v>8</v>
      </c>
      <c r="AD258" s="334">
        <v>14490</v>
      </c>
      <c r="AE258" s="334">
        <v>194</v>
      </c>
      <c r="AF258" s="334">
        <v>82</v>
      </c>
      <c r="AG258" s="334">
        <v>276</v>
      </c>
    </row>
    <row r="259" spans="1:33" x14ac:dyDescent="0.35">
      <c r="A259" s="329" t="s">
        <v>572</v>
      </c>
      <c r="B259" s="335" t="s">
        <v>573</v>
      </c>
      <c r="C259" s="331">
        <v>6342</v>
      </c>
      <c r="D259" s="331">
        <v>1</v>
      </c>
      <c r="E259" s="331">
        <v>289</v>
      </c>
      <c r="F259" s="331">
        <v>1640</v>
      </c>
      <c r="G259" s="331">
        <v>447</v>
      </c>
      <c r="H259" s="331">
        <v>8719</v>
      </c>
      <c r="I259" s="330">
        <v>8272</v>
      </c>
      <c r="J259" s="330">
        <v>0</v>
      </c>
      <c r="K259" s="332">
        <v>82.34</v>
      </c>
      <c r="L259" s="332">
        <v>81.92</v>
      </c>
      <c r="M259" s="332">
        <v>5.76</v>
      </c>
      <c r="N259" s="332">
        <v>85.73</v>
      </c>
      <c r="O259" s="333">
        <v>5702</v>
      </c>
      <c r="P259" s="330">
        <v>80.95</v>
      </c>
      <c r="Q259" s="330">
        <v>74.56</v>
      </c>
      <c r="R259" s="330">
        <v>21.24</v>
      </c>
      <c r="S259" s="330">
        <v>101.15</v>
      </c>
      <c r="T259" s="330">
        <v>1787</v>
      </c>
      <c r="U259" s="330">
        <v>101.36</v>
      </c>
      <c r="V259" s="330">
        <v>637</v>
      </c>
      <c r="W259" s="330">
        <v>175.09</v>
      </c>
      <c r="X259" s="330">
        <v>159</v>
      </c>
      <c r="Y259" s="330">
        <v>154</v>
      </c>
      <c r="Z259" s="330">
        <v>24</v>
      </c>
      <c r="AA259" s="330">
        <v>3</v>
      </c>
      <c r="AB259" s="330">
        <v>52</v>
      </c>
      <c r="AC259" s="330">
        <v>11</v>
      </c>
      <c r="AD259" s="334">
        <v>6342</v>
      </c>
      <c r="AE259" s="334">
        <v>15</v>
      </c>
      <c r="AF259" s="334">
        <v>51</v>
      </c>
      <c r="AG259" s="334">
        <v>66</v>
      </c>
    </row>
    <row r="260" spans="1:33" x14ac:dyDescent="0.35">
      <c r="A260" s="329" t="s">
        <v>574</v>
      </c>
      <c r="B260" s="335" t="s">
        <v>575</v>
      </c>
      <c r="C260" s="331">
        <v>3395</v>
      </c>
      <c r="D260" s="331">
        <v>2</v>
      </c>
      <c r="E260" s="331">
        <v>135</v>
      </c>
      <c r="F260" s="331">
        <v>299</v>
      </c>
      <c r="G260" s="331">
        <v>63</v>
      </c>
      <c r="H260" s="331">
        <v>3894</v>
      </c>
      <c r="I260" s="330">
        <v>3831</v>
      </c>
      <c r="J260" s="330">
        <v>28</v>
      </c>
      <c r="K260" s="332">
        <v>84.5</v>
      </c>
      <c r="L260" s="332">
        <v>81.08</v>
      </c>
      <c r="M260" s="332">
        <v>4.41</v>
      </c>
      <c r="N260" s="332">
        <v>86.34</v>
      </c>
      <c r="O260" s="333">
        <v>3054</v>
      </c>
      <c r="P260" s="330">
        <v>76.010000000000005</v>
      </c>
      <c r="Q260" s="330">
        <v>75.989999999999995</v>
      </c>
      <c r="R260" s="330">
        <v>65.290000000000006</v>
      </c>
      <c r="S260" s="330">
        <v>141.1</v>
      </c>
      <c r="T260" s="330">
        <v>328</v>
      </c>
      <c r="U260" s="330">
        <v>95.77</v>
      </c>
      <c r="V260" s="330">
        <v>253</v>
      </c>
      <c r="W260" s="330">
        <v>136.91999999999999</v>
      </c>
      <c r="X260" s="330">
        <v>72</v>
      </c>
      <c r="Y260" s="330">
        <v>59</v>
      </c>
      <c r="Z260" s="330">
        <v>21</v>
      </c>
      <c r="AA260" s="330">
        <v>2</v>
      </c>
      <c r="AB260" s="330">
        <v>0</v>
      </c>
      <c r="AC260" s="330">
        <v>6</v>
      </c>
      <c r="AD260" s="334">
        <v>3209</v>
      </c>
      <c r="AE260" s="334">
        <v>18</v>
      </c>
      <c r="AF260" s="334">
        <v>4</v>
      </c>
      <c r="AG260" s="334">
        <v>22</v>
      </c>
    </row>
    <row r="261" spans="1:33" x14ac:dyDescent="0.35">
      <c r="A261" s="329" t="s">
        <v>576</v>
      </c>
      <c r="B261" s="335" t="s">
        <v>577</v>
      </c>
      <c r="C261" s="331">
        <v>1732</v>
      </c>
      <c r="D261" s="331">
        <v>0</v>
      </c>
      <c r="E261" s="331">
        <v>162</v>
      </c>
      <c r="F261" s="331">
        <v>311</v>
      </c>
      <c r="G261" s="331">
        <v>621</v>
      </c>
      <c r="H261" s="331">
        <v>2826</v>
      </c>
      <c r="I261" s="330">
        <v>2205</v>
      </c>
      <c r="J261" s="330">
        <v>0</v>
      </c>
      <c r="K261" s="332">
        <v>111.44</v>
      </c>
      <c r="L261" s="332">
        <v>109.12</v>
      </c>
      <c r="M261" s="332">
        <v>7.69</v>
      </c>
      <c r="N261" s="332">
        <v>118.64</v>
      </c>
      <c r="O261" s="333">
        <v>1424</v>
      </c>
      <c r="P261" s="330">
        <v>102.45</v>
      </c>
      <c r="Q261" s="330">
        <v>93.45</v>
      </c>
      <c r="R261" s="330">
        <v>38.64</v>
      </c>
      <c r="S261" s="330">
        <v>140.24</v>
      </c>
      <c r="T261" s="330">
        <v>411</v>
      </c>
      <c r="U261" s="330">
        <v>140.99</v>
      </c>
      <c r="V261" s="330">
        <v>165</v>
      </c>
      <c r="W261" s="330">
        <v>0</v>
      </c>
      <c r="X261" s="330">
        <v>0</v>
      </c>
      <c r="Y261" s="330">
        <v>0</v>
      </c>
      <c r="Z261" s="330">
        <v>0</v>
      </c>
      <c r="AA261" s="330">
        <v>0</v>
      </c>
      <c r="AB261" s="330">
        <v>62</v>
      </c>
      <c r="AC261" s="330">
        <v>10</v>
      </c>
      <c r="AD261" s="334">
        <v>1608</v>
      </c>
      <c r="AE261" s="334">
        <v>10</v>
      </c>
      <c r="AF261" s="334">
        <v>3</v>
      </c>
      <c r="AG261" s="334">
        <v>13</v>
      </c>
    </row>
    <row r="262" spans="1:33" x14ac:dyDescent="0.35">
      <c r="A262" s="329" t="s">
        <v>578</v>
      </c>
      <c r="B262" s="335" t="s">
        <v>579</v>
      </c>
      <c r="C262" s="331">
        <v>4632</v>
      </c>
      <c r="D262" s="331">
        <v>4</v>
      </c>
      <c r="E262" s="331">
        <v>495</v>
      </c>
      <c r="F262" s="331">
        <v>1285</v>
      </c>
      <c r="G262" s="331">
        <v>1112</v>
      </c>
      <c r="H262" s="331">
        <v>7528</v>
      </c>
      <c r="I262" s="330">
        <v>6416</v>
      </c>
      <c r="J262" s="330">
        <v>11</v>
      </c>
      <c r="K262" s="332">
        <v>82.09</v>
      </c>
      <c r="L262" s="332">
        <v>80.790000000000006</v>
      </c>
      <c r="M262" s="332">
        <v>7.3</v>
      </c>
      <c r="N262" s="332">
        <v>86.23</v>
      </c>
      <c r="O262" s="333">
        <v>3862</v>
      </c>
      <c r="P262" s="330">
        <v>83.12</v>
      </c>
      <c r="Q262" s="330">
        <v>75.14</v>
      </c>
      <c r="R262" s="330">
        <v>31.77</v>
      </c>
      <c r="S262" s="330">
        <v>113.94</v>
      </c>
      <c r="T262" s="330">
        <v>1599</v>
      </c>
      <c r="U262" s="330">
        <v>109.11</v>
      </c>
      <c r="V262" s="330">
        <v>580</v>
      </c>
      <c r="W262" s="330">
        <v>145.6</v>
      </c>
      <c r="X262" s="330">
        <v>69</v>
      </c>
      <c r="Y262" s="330">
        <v>4</v>
      </c>
      <c r="Z262" s="330">
        <v>5</v>
      </c>
      <c r="AA262" s="330">
        <v>7</v>
      </c>
      <c r="AB262" s="330">
        <v>29</v>
      </c>
      <c r="AC262" s="330">
        <v>16</v>
      </c>
      <c r="AD262" s="334">
        <v>4262</v>
      </c>
      <c r="AE262" s="334">
        <v>25</v>
      </c>
      <c r="AF262" s="334">
        <v>21</v>
      </c>
      <c r="AG262" s="334">
        <v>46</v>
      </c>
    </row>
    <row r="263" spans="1:33" x14ac:dyDescent="0.35">
      <c r="A263" s="329" t="s">
        <v>580</v>
      </c>
      <c r="B263" s="335" t="s">
        <v>581</v>
      </c>
      <c r="C263" s="331">
        <v>12951</v>
      </c>
      <c r="D263" s="331">
        <v>4</v>
      </c>
      <c r="E263" s="331">
        <v>324</v>
      </c>
      <c r="F263" s="331">
        <v>825</v>
      </c>
      <c r="G263" s="331">
        <v>302</v>
      </c>
      <c r="H263" s="331">
        <v>14406</v>
      </c>
      <c r="I263" s="330">
        <v>14104</v>
      </c>
      <c r="J263" s="330">
        <v>2</v>
      </c>
      <c r="K263" s="332">
        <v>79.88</v>
      </c>
      <c r="L263" s="332">
        <v>80.36</v>
      </c>
      <c r="M263" s="332">
        <v>11.27</v>
      </c>
      <c r="N263" s="332">
        <v>83.03</v>
      </c>
      <c r="O263" s="333">
        <v>10934</v>
      </c>
      <c r="P263" s="330">
        <v>84.39</v>
      </c>
      <c r="Q263" s="330">
        <v>82.27</v>
      </c>
      <c r="R263" s="330">
        <v>48.15</v>
      </c>
      <c r="S263" s="330">
        <v>132.21</v>
      </c>
      <c r="T263" s="330">
        <v>1048</v>
      </c>
      <c r="U263" s="330">
        <v>97.56</v>
      </c>
      <c r="V263" s="330">
        <v>1853</v>
      </c>
      <c r="W263" s="330">
        <v>162.35</v>
      </c>
      <c r="X263" s="330">
        <v>59</v>
      </c>
      <c r="Y263" s="330">
        <v>0</v>
      </c>
      <c r="Z263" s="330">
        <v>59</v>
      </c>
      <c r="AA263" s="330">
        <v>1</v>
      </c>
      <c r="AB263" s="330">
        <v>45</v>
      </c>
      <c r="AC263" s="330">
        <v>2</v>
      </c>
      <c r="AD263" s="334">
        <v>12836</v>
      </c>
      <c r="AE263" s="334">
        <v>100</v>
      </c>
      <c r="AF263" s="334">
        <v>298</v>
      </c>
      <c r="AG263" s="334">
        <v>398</v>
      </c>
    </row>
    <row r="264" spans="1:33" x14ac:dyDescent="0.35">
      <c r="A264" s="329" t="s">
        <v>582</v>
      </c>
      <c r="B264" s="335" t="s">
        <v>583</v>
      </c>
      <c r="C264" s="331">
        <v>6082</v>
      </c>
      <c r="D264" s="331">
        <v>13</v>
      </c>
      <c r="E264" s="331">
        <v>758</v>
      </c>
      <c r="F264" s="331">
        <v>1503</v>
      </c>
      <c r="G264" s="331">
        <v>241</v>
      </c>
      <c r="H264" s="331">
        <v>8597</v>
      </c>
      <c r="I264" s="330">
        <v>8356</v>
      </c>
      <c r="J264" s="330">
        <v>11</v>
      </c>
      <c r="K264" s="332">
        <v>75.290000000000006</v>
      </c>
      <c r="L264" s="332">
        <v>73.8</v>
      </c>
      <c r="M264" s="332">
        <v>4.72</v>
      </c>
      <c r="N264" s="332">
        <v>78.58</v>
      </c>
      <c r="O264" s="333">
        <v>4870</v>
      </c>
      <c r="P264" s="330">
        <v>93.59</v>
      </c>
      <c r="Q264" s="330">
        <v>86.45</v>
      </c>
      <c r="R264" s="330">
        <v>61.84</v>
      </c>
      <c r="S264" s="330">
        <v>154.77000000000001</v>
      </c>
      <c r="T264" s="330">
        <v>1774</v>
      </c>
      <c r="U264" s="330">
        <v>93.89</v>
      </c>
      <c r="V264" s="330">
        <v>637</v>
      </c>
      <c r="W264" s="330">
        <v>223.61</v>
      </c>
      <c r="X264" s="330">
        <v>127</v>
      </c>
      <c r="Y264" s="330">
        <v>0</v>
      </c>
      <c r="Z264" s="330">
        <v>16</v>
      </c>
      <c r="AA264" s="330">
        <v>12</v>
      </c>
      <c r="AB264" s="330">
        <v>0</v>
      </c>
      <c r="AC264" s="330">
        <v>3</v>
      </c>
      <c r="AD264" s="334">
        <v>5486</v>
      </c>
      <c r="AE264" s="334">
        <v>48</v>
      </c>
      <c r="AF264" s="334">
        <v>33</v>
      </c>
      <c r="AG264" s="334">
        <v>81</v>
      </c>
    </row>
    <row r="265" spans="1:33" x14ac:dyDescent="0.35">
      <c r="A265" s="329" t="s">
        <v>584</v>
      </c>
      <c r="B265" s="335" t="s">
        <v>585</v>
      </c>
      <c r="C265" s="331">
        <v>7000</v>
      </c>
      <c r="D265" s="331">
        <v>2</v>
      </c>
      <c r="E265" s="331">
        <v>108</v>
      </c>
      <c r="F265" s="331">
        <v>712</v>
      </c>
      <c r="G265" s="331">
        <v>931</v>
      </c>
      <c r="H265" s="331">
        <v>8753</v>
      </c>
      <c r="I265" s="330">
        <v>7822</v>
      </c>
      <c r="J265" s="330">
        <v>17</v>
      </c>
      <c r="K265" s="332">
        <v>103.53</v>
      </c>
      <c r="L265" s="332">
        <v>103.72</v>
      </c>
      <c r="M265" s="332">
        <v>6.48</v>
      </c>
      <c r="N265" s="332">
        <v>106.54</v>
      </c>
      <c r="O265" s="333">
        <v>6316</v>
      </c>
      <c r="P265" s="330">
        <v>89.12</v>
      </c>
      <c r="Q265" s="330">
        <v>95.64</v>
      </c>
      <c r="R265" s="330">
        <v>37.619999999999997</v>
      </c>
      <c r="S265" s="330">
        <v>125.5</v>
      </c>
      <c r="T265" s="330">
        <v>640</v>
      </c>
      <c r="U265" s="330">
        <v>138.49</v>
      </c>
      <c r="V265" s="330">
        <v>325</v>
      </c>
      <c r="W265" s="330">
        <v>174.5</v>
      </c>
      <c r="X265" s="330">
        <v>91</v>
      </c>
      <c r="Y265" s="330">
        <v>0</v>
      </c>
      <c r="Z265" s="330">
        <v>63</v>
      </c>
      <c r="AA265" s="330">
        <v>44</v>
      </c>
      <c r="AB265" s="330">
        <v>42</v>
      </c>
      <c r="AC265" s="330">
        <v>10</v>
      </c>
      <c r="AD265" s="334">
        <v>6579</v>
      </c>
      <c r="AE265" s="334">
        <v>52</v>
      </c>
      <c r="AF265" s="334">
        <v>90</v>
      </c>
      <c r="AG265" s="334">
        <v>142</v>
      </c>
    </row>
    <row r="266" spans="1:33" x14ac:dyDescent="0.35">
      <c r="A266" s="329" t="s">
        <v>586</v>
      </c>
      <c r="B266" s="335" t="s">
        <v>587</v>
      </c>
      <c r="C266" s="331">
        <v>1592</v>
      </c>
      <c r="D266" s="331">
        <v>0</v>
      </c>
      <c r="E266" s="331">
        <v>163</v>
      </c>
      <c r="F266" s="331">
        <v>138</v>
      </c>
      <c r="G266" s="331">
        <v>435</v>
      </c>
      <c r="H266" s="331">
        <v>2328</v>
      </c>
      <c r="I266" s="330">
        <v>1893</v>
      </c>
      <c r="J266" s="330">
        <v>1</v>
      </c>
      <c r="K266" s="332">
        <v>97.51</v>
      </c>
      <c r="L266" s="332">
        <v>94.63</v>
      </c>
      <c r="M266" s="332">
        <v>5.07</v>
      </c>
      <c r="N266" s="332">
        <v>101.49</v>
      </c>
      <c r="O266" s="333">
        <v>1050</v>
      </c>
      <c r="P266" s="330">
        <v>84.57</v>
      </c>
      <c r="Q266" s="330">
        <v>82.2</v>
      </c>
      <c r="R266" s="330">
        <v>50.13</v>
      </c>
      <c r="S266" s="330">
        <v>132.26</v>
      </c>
      <c r="T266" s="330">
        <v>226</v>
      </c>
      <c r="U266" s="330">
        <v>121.78</v>
      </c>
      <c r="V266" s="330">
        <v>459</v>
      </c>
      <c r="W266" s="330">
        <v>0</v>
      </c>
      <c r="X266" s="330">
        <v>0</v>
      </c>
      <c r="Y266" s="330">
        <v>0</v>
      </c>
      <c r="Z266" s="330">
        <v>0</v>
      </c>
      <c r="AA266" s="330">
        <v>0</v>
      </c>
      <c r="AB266" s="330">
        <v>41</v>
      </c>
      <c r="AC266" s="330">
        <v>6</v>
      </c>
      <c r="AD266" s="334">
        <v>1512</v>
      </c>
      <c r="AE266" s="334">
        <v>22</v>
      </c>
      <c r="AF266" s="334">
        <v>11</v>
      </c>
      <c r="AG266" s="334">
        <v>33</v>
      </c>
    </row>
    <row r="267" spans="1:33" x14ac:dyDescent="0.35">
      <c r="A267" s="329" t="s">
        <v>588</v>
      </c>
      <c r="B267" s="335" t="s">
        <v>589</v>
      </c>
      <c r="C267" s="331">
        <v>31708</v>
      </c>
      <c r="D267" s="331">
        <v>2</v>
      </c>
      <c r="E267" s="331">
        <v>664</v>
      </c>
      <c r="F267" s="331">
        <v>2046</v>
      </c>
      <c r="G267" s="331">
        <v>290</v>
      </c>
      <c r="H267" s="331">
        <v>34710</v>
      </c>
      <c r="I267" s="330">
        <v>34420</v>
      </c>
      <c r="J267" s="330">
        <v>8</v>
      </c>
      <c r="K267" s="332">
        <v>78.040000000000006</v>
      </c>
      <c r="L267" s="332">
        <v>77.709999999999994</v>
      </c>
      <c r="M267" s="332">
        <v>6.16</v>
      </c>
      <c r="N267" s="332">
        <v>79.22</v>
      </c>
      <c r="O267" s="333">
        <v>29191</v>
      </c>
      <c r="P267" s="330">
        <v>83.92</v>
      </c>
      <c r="Q267" s="330">
        <v>73.540000000000006</v>
      </c>
      <c r="R267" s="330">
        <v>41.57</v>
      </c>
      <c r="S267" s="330">
        <v>124.07</v>
      </c>
      <c r="T267" s="330">
        <v>2038</v>
      </c>
      <c r="U267" s="330">
        <v>96.55</v>
      </c>
      <c r="V267" s="330">
        <v>2113</v>
      </c>
      <c r="W267" s="330">
        <v>182.8</v>
      </c>
      <c r="X267" s="330">
        <v>590</v>
      </c>
      <c r="Y267" s="330">
        <v>0</v>
      </c>
      <c r="Z267" s="330">
        <v>133</v>
      </c>
      <c r="AA267" s="330">
        <v>2</v>
      </c>
      <c r="AB267" s="330">
        <v>16</v>
      </c>
      <c r="AC267" s="330">
        <v>3</v>
      </c>
      <c r="AD267" s="334">
        <v>31413</v>
      </c>
      <c r="AE267" s="334">
        <v>548</v>
      </c>
      <c r="AF267" s="334">
        <v>133</v>
      </c>
      <c r="AG267" s="334">
        <v>681</v>
      </c>
    </row>
    <row r="268" spans="1:33" x14ac:dyDescent="0.35">
      <c r="A268" s="329" t="s">
        <v>590</v>
      </c>
      <c r="B268" s="335" t="s">
        <v>591</v>
      </c>
      <c r="C268" s="331">
        <v>3098</v>
      </c>
      <c r="D268" s="331">
        <v>1</v>
      </c>
      <c r="E268" s="331">
        <v>146</v>
      </c>
      <c r="F268" s="331">
        <v>304</v>
      </c>
      <c r="G268" s="331">
        <v>301</v>
      </c>
      <c r="H268" s="331">
        <v>3850</v>
      </c>
      <c r="I268" s="330">
        <v>3549</v>
      </c>
      <c r="J268" s="330">
        <v>63</v>
      </c>
      <c r="K268" s="332">
        <v>110.44</v>
      </c>
      <c r="L268" s="332">
        <v>114.06</v>
      </c>
      <c r="M268" s="332">
        <v>6.3</v>
      </c>
      <c r="N268" s="332">
        <v>113.83</v>
      </c>
      <c r="O268" s="333">
        <v>2979</v>
      </c>
      <c r="P268" s="330">
        <v>104.8</v>
      </c>
      <c r="Q268" s="330">
        <v>98.5</v>
      </c>
      <c r="R268" s="330">
        <v>36</v>
      </c>
      <c r="S268" s="330">
        <v>140.53</v>
      </c>
      <c r="T268" s="330">
        <v>405</v>
      </c>
      <c r="U268" s="330">
        <v>204.83</v>
      </c>
      <c r="V268" s="330">
        <v>114</v>
      </c>
      <c r="W268" s="330">
        <v>0</v>
      </c>
      <c r="X268" s="330">
        <v>0</v>
      </c>
      <c r="Y268" s="330">
        <v>0</v>
      </c>
      <c r="Z268" s="330">
        <v>0</v>
      </c>
      <c r="AA268" s="330">
        <v>0</v>
      </c>
      <c r="AB268" s="330">
        <v>31</v>
      </c>
      <c r="AC268" s="330">
        <v>10</v>
      </c>
      <c r="AD268" s="334">
        <v>3098</v>
      </c>
      <c r="AE268" s="334">
        <v>15</v>
      </c>
      <c r="AF268" s="334">
        <v>10</v>
      </c>
      <c r="AG268" s="334">
        <v>25</v>
      </c>
    </row>
    <row r="269" spans="1:33" x14ac:dyDescent="0.35">
      <c r="A269" s="329" t="s">
        <v>592</v>
      </c>
      <c r="B269" s="335" t="s">
        <v>593</v>
      </c>
      <c r="C269" s="331">
        <v>4611</v>
      </c>
      <c r="D269" s="331">
        <v>8</v>
      </c>
      <c r="E269" s="331">
        <v>457</v>
      </c>
      <c r="F269" s="331">
        <v>947</v>
      </c>
      <c r="G269" s="331">
        <v>838</v>
      </c>
      <c r="H269" s="331">
        <v>6861</v>
      </c>
      <c r="I269" s="330">
        <v>6023</v>
      </c>
      <c r="J269" s="330">
        <v>18</v>
      </c>
      <c r="K269" s="332">
        <v>115.73</v>
      </c>
      <c r="L269" s="332">
        <v>114.34</v>
      </c>
      <c r="M269" s="332">
        <v>8.48</v>
      </c>
      <c r="N269" s="332">
        <v>123.68</v>
      </c>
      <c r="O269" s="333">
        <v>4048</v>
      </c>
      <c r="P269" s="330">
        <v>112.27</v>
      </c>
      <c r="Q269" s="330">
        <v>104.14</v>
      </c>
      <c r="R269" s="330">
        <v>44</v>
      </c>
      <c r="S269" s="330">
        <v>154.53</v>
      </c>
      <c r="T269" s="330">
        <v>783</v>
      </c>
      <c r="U269" s="330">
        <v>178.66</v>
      </c>
      <c r="V269" s="330">
        <v>339</v>
      </c>
      <c r="W269" s="330">
        <v>220.7</v>
      </c>
      <c r="X269" s="330">
        <v>95</v>
      </c>
      <c r="Y269" s="330">
        <v>0</v>
      </c>
      <c r="Z269" s="330">
        <v>3</v>
      </c>
      <c r="AA269" s="330">
        <v>14</v>
      </c>
      <c r="AB269" s="330">
        <v>84</v>
      </c>
      <c r="AC269" s="330">
        <v>29</v>
      </c>
      <c r="AD269" s="334">
        <v>4449</v>
      </c>
      <c r="AE269" s="334">
        <v>16</v>
      </c>
      <c r="AF269" s="334">
        <v>24</v>
      </c>
      <c r="AG269" s="334">
        <v>40</v>
      </c>
    </row>
    <row r="270" spans="1:33" x14ac:dyDescent="0.35">
      <c r="A270" s="329" t="s">
        <v>594</v>
      </c>
      <c r="B270" s="335" t="s">
        <v>595</v>
      </c>
      <c r="C270" s="331">
        <v>7710</v>
      </c>
      <c r="D270" s="331">
        <v>0</v>
      </c>
      <c r="E270" s="331">
        <v>234</v>
      </c>
      <c r="F270" s="331">
        <v>438</v>
      </c>
      <c r="G270" s="331">
        <v>707</v>
      </c>
      <c r="H270" s="331">
        <v>9089</v>
      </c>
      <c r="I270" s="330">
        <v>8382</v>
      </c>
      <c r="J270" s="330">
        <v>7</v>
      </c>
      <c r="K270" s="332">
        <v>96.31</v>
      </c>
      <c r="L270" s="332">
        <v>95.82</v>
      </c>
      <c r="M270" s="332">
        <v>6.05</v>
      </c>
      <c r="N270" s="332">
        <v>99.1</v>
      </c>
      <c r="O270" s="333">
        <v>6503</v>
      </c>
      <c r="P270" s="330">
        <v>91.4</v>
      </c>
      <c r="Q270" s="330">
        <v>83.52</v>
      </c>
      <c r="R270" s="330">
        <v>47.84</v>
      </c>
      <c r="S270" s="330">
        <v>139.22999999999999</v>
      </c>
      <c r="T270" s="330">
        <v>603</v>
      </c>
      <c r="U270" s="330">
        <v>127.85</v>
      </c>
      <c r="V270" s="330">
        <v>1097</v>
      </c>
      <c r="W270" s="330">
        <v>0</v>
      </c>
      <c r="X270" s="330">
        <v>0</v>
      </c>
      <c r="Y270" s="330">
        <v>94</v>
      </c>
      <c r="Z270" s="330">
        <v>1</v>
      </c>
      <c r="AA270" s="330">
        <v>0</v>
      </c>
      <c r="AB270" s="330">
        <v>41</v>
      </c>
      <c r="AC270" s="330">
        <v>8</v>
      </c>
      <c r="AD270" s="334">
        <v>7621</v>
      </c>
      <c r="AE270" s="334">
        <v>30</v>
      </c>
      <c r="AF270" s="334">
        <v>42</v>
      </c>
      <c r="AG270" s="334">
        <v>72</v>
      </c>
    </row>
    <row r="271" spans="1:33" x14ac:dyDescent="0.35">
      <c r="A271" s="329" t="s">
        <v>596</v>
      </c>
      <c r="B271" s="335" t="s">
        <v>597</v>
      </c>
      <c r="C271" s="331">
        <v>4021</v>
      </c>
      <c r="D271" s="331">
        <v>12</v>
      </c>
      <c r="E271" s="331">
        <v>522</v>
      </c>
      <c r="F271" s="331">
        <v>923</v>
      </c>
      <c r="G271" s="331">
        <v>1115</v>
      </c>
      <c r="H271" s="331">
        <v>6593</v>
      </c>
      <c r="I271" s="330">
        <v>5478</v>
      </c>
      <c r="J271" s="330">
        <v>4</v>
      </c>
      <c r="K271" s="332">
        <v>95.6</v>
      </c>
      <c r="L271" s="332">
        <v>93.87</v>
      </c>
      <c r="M271" s="332">
        <v>6.91</v>
      </c>
      <c r="N271" s="332">
        <v>101.04</v>
      </c>
      <c r="O271" s="333">
        <v>3040</v>
      </c>
      <c r="P271" s="330">
        <v>82.64</v>
      </c>
      <c r="Q271" s="330">
        <v>79.02</v>
      </c>
      <c r="R271" s="330">
        <v>50.05</v>
      </c>
      <c r="S271" s="330">
        <v>130.13999999999999</v>
      </c>
      <c r="T271" s="330">
        <v>1316</v>
      </c>
      <c r="U271" s="330">
        <v>130.38</v>
      </c>
      <c r="V271" s="330">
        <v>745</v>
      </c>
      <c r="W271" s="330">
        <v>167.55</v>
      </c>
      <c r="X271" s="330">
        <v>80</v>
      </c>
      <c r="Y271" s="330">
        <v>238</v>
      </c>
      <c r="Z271" s="330">
        <v>2</v>
      </c>
      <c r="AA271" s="330">
        <v>2</v>
      </c>
      <c r="AB271" s="330">
        <v>55</v>
      </c>
      <c r="AC271" s="330">
        <v>23</v>
      </c>
      <c r="AD271" s="334">
        <v>3904</v>
      </c>
      <c r="AE271" s="334">
        <v>20</v>
      </c>
      <c r="AF271" s="334">
        <v>16</v>
      </c>
      <c r="AG271" s="334">
        <v>36</v>
      </c>
    </row>
    <row r="272" spans="1:33" x14ac:dyDescent="0.35">
      <c r="A272" s="329" t="s">
        <v>598</v>
      </c>
      <c r="B272" s="335" t="s">
        <v>599</v>
      </c>
      <c r="C272" s="331">
        <v>20197</v>
      </c>
      <c r="D272" s="331">
        <v>2</v>
      </c>
      <c r="E272" s="331">
        <v>624</v>
      </c>
      <c r="F272" s="331">
        <v>1354</v>
      </c>
      <c r="G272" s="331">
        <v>197</v>
      </c>
      <c r="H272" s="331">
        <v>22374</v>
      </c>
      <c r="I272" s="330">
        <v>22177</v>
      </c>
      <c r="J272" s="330">
        <v>13</v>
      </c>
      <c r="K272" s="332">
        <v>80.64</v>
      </c>
      <c r="L272" s="332">
        <v>77.91</v>
      </c>
      <c r="M272" s="332">
        <v>3.69</v>
      </c>
      <c r="N272" s="332">
        <v>84</v>
      </c>
      <c r="O272" s="333">
        <v>16748</v>
      </c>
      <c r="P272" s="330">
        <v>78.7</v>
      </c>
      <c r="Q272" s="330">
        <v>71.97</v>
      </c>
      <c r="R272" s="330">
        <v>36.909999999999997</v>
      </c>
      <c r="S272" s="330">
        <v>113.79</v>
      </c>
      <c r="T272" s="330">
        <v>1843</v>
      </c>
      <c r="U272" s="330">
        <v>103.29</v>
      </c>
      <c r="V272" s="330">
        <v>2431</v>
      </c>
      <c r="W272" s="330">
        <v>104.46</v>
      </c>
      <c r="X272" s="330">
        <v>20</v>
      </c>
      <c r="Y272" s="330">
        <v>0</v>
      </c>
      <c r="Z272" s="330">
        <v>76</v>
      </c>
      <c r="AA272" s="330">
        <v>0</v>
      </c>
      <c r="AB272" s="330">
        <v>23</v>
      </c>
      <c r="AC272" s="330">
        <v>1</v>
      </c>
      <c r="AD272" s="334">
        <v>19195</v>
      </c>
      <c r="AE272" s="334">
        <v>148</v>
      </c>
      <c r="AF272" s="334">
        <v>17</v>
      </c>
      <c r="AG272" s="334">
        <v>165</v>
      </c>
    </row>
    <row r="273" spans="1:33" x14ac:dyDescent="0.35">
      <c r="A273" s="329" t="s">
        <v>600</v>
      </c>
      <c r="B273" s="335" t="s">
        <v>601</v>
      </c>
      <c r="C273" s="331">
        <v>1560</v>
      </c>
      <c r="D273" s="331">
        <v>0</v>
      </c>
      <c r="E273" s="331">
        <v>120</v>
      </c>
      <c r="F273" s="331">
        <v>109</v>
      </c>
      <c r="G273" s="331">
        <v>200</v>
      </c>
      <c r="H273" s="331">
        <v>1989</v>
      </c>
      <c r="I273" s="330">
        <v>1789</v>
      </c>
      <c r="J273" s="330">
        <v>0</v>
      </c>
      <c r="K273" s="332">
        <v>87.22</v>
      </c>
      <c r="L273" s="332">
        <v>83.41</v>
      </c>
      <c r="M273" s="332">
        <v>5.55</v>
      </c>
      <c r="N273" s="332">
        <v>91.72</v>
      </c>
      <c r="O273" s="333">
        <v>1241</v>
      </c>
      <c r="P273" s="330">
        <v>81.7</v>
      </c>
      <c r="Q273" s="330">
        <v>80.34</v>
      </c>
      <c r="R273" s="330">
        <v>33.96</v>
      </c>
      <c r="S273" s="330">
        <v>115.66</v>
      </c>
      <c r="T273" s="330">
        <v>191</v>
      </c>
      <c r="U273" s="330">
        <v>109.71</v>
      </c>
      <c r="V273" s="330">
        <v>305</v>
      </c>
      <c r="W273" s="330">
        <v>0</v>
      </c>
      <c r="X273" s="330">
        <v>0</v>
      </c>
      <c r="Y273" s="330">
        <v>0</v>
      </c>
      <c r="Z273" s="330">
        <v>7</v>
      </c>
      <c r="AA273" s="330">
        <v>1</v>
      </c>
      <c r="AB273" s="330">
        <v>27</v>
      </c>
      <c r="AC273" s="330">
        <v>4</v>
      </c>
      <c r="AD273" s="334">
        <v>1560</v>
      </c>
      <c r="AE273" s="334">
        <v>23</v>
      </c>
      <c r="AF273" s="334">
        <v>2</v>
      </c>
      <c r="AG273" s="334">
        <v>25</v>
      </c>
    </row>
    <row r="274" spans="1:33" x14ac:dyDescent="0.35">
      <c r="A274" s="329" t="s">
        <v>602</v>
      </c>
      <c r="B274" s="335" t="s">
        <v>603</v>
      </c>
      <c r="C274" s="331">
        <v>1155</v>
      </c>
      <c r="D274" s="331">
        <v>0</v>
      </c>
      <c r="E274" s="331">
        <v>141</v>
      </c>
      <c r="F274" s="331">
        <v>75</v>
      </c>
      <c r="G274" s="331">
        <v>339</v>
      </c>
      <c r="H274" s="331">
        <v>1710</v>
      </c>
      <c r="I274" s="330">
        <v>1371</v>
      </c>
      <c r="J274" s="330">
        <v>0</v>
      </c>
      <c r="K274" s="332">
        <v>122.13</v>
      </c>
      <c r="L274" s="332">
        <v>119.36</v>
      </c>
      <c r="M274" s="332">
        <v>7.49</v>
      </c>
      <c r="N274" s="332">
        <v>129.22</v>
      </c>
      <c r="O274" s="333">
        <v>682</v>
      </c>
      <c r="P274" s="330">
        <v>134.87</v>
      </c>
      <c r="Q274" s="330">
        <v>98.1</v>
      </c>
      <c r="R274" s="330">
        <v>59.64</v>
      </c>
      <c r="S274" s="330">
        <v>194.51</v>
      </c>
      <c r="T274" s="330">
        <v>86</v>
      </c>
      <c r="U274" s="330">
        <v>181.63</v>
      </c>
      <c r="V274" s="330">
        <v>367</v>
      </c>
      <c r="W274" s="330">
        <v>110.77</v>
      </c>
      <c r="X274" s="330">
        <v>6</v>
      </c>
      <c r="Y274" s="330">
        <v>0</v>
      </c>
      <c r="Z274" s="330">
        <v>1</v>
      </c>
      <c r="AA274" s="330">
        <v>0</v>
      </c>
      <c r="AB274" s="330">
        <v>34</v>
      </c>
      <c r="AC274" s="330">
        <v>4</v>
      </c>
      <c r="AD274" s="334">
        <v>1108</v>
      </c>
      <c r="AE274" s="334">
        <v>12</v>
      </c>
      <c r="AF274" s="334">
        <v>1</v>
      </c>
      <c r="AG274" s="334">
        <v>13</v>
      </c>
    </row>
    <row r="275" spans="1:33" x14ac:dyDescent="0.35">
      <c r="A275" s="329" t="s">
        <v>604</v>
      </c>
      <c r="B275" s="335" t="s">
        <v>605</v>
      </c>
      <c r="C275" s="331">
        <v>4216</v>
      </c>
      <c r="D275" s="331">
        <v>0</v>
      </c>
      <c r="E275" s="331">
        <v>195</v>
      </c>
      <c r="F275" s="331">
        <v>1364</v>
      </c>
      <c r="G275" s="331">
        <v>640</v>
      </c>
      <c r="H275" s="331">
        <v>6415</v>
      </c>
      <c r="I275" s="330">
        <v>5775</v>
      </c>
      <c r="J275" s="330">
        <v>0</v>
      </c>
      <c r="K275" s="332">
        <v>85</v>
      </c>
      <c r="L275" s="332">
        <v>84.4</v>
      </c>
      <c r="M275" s="332">
        <v>3.84</v>
      </c>
      <c r="N275" s="332">
        <v>88.67</v>
      </c>
      <c r="O275" s="333">
        <v>3388</v>
      </c>
      <c r="P275" s="330">
        <v>81.58</v>
      </c>
      <c r="Q275" s="330">
        <v>78.52</v>
      </c>
      <c r="R275" s="330">
        <v>14.64</v>
      </c>
      <c r="S275" s="330">
        <v>96.02</v>
      </c>
      <c r="T275" s="330">
        <v>1264</v>
      </c>
      <c r="U275" s="330">
        <v>125.39</v>
      </c>
      <c r="V275" s="330">
        <v>742</v>
      </c>
      <c r="W275" s="330">
        <v>96.43</v>
      </c>
      <c r="X275" s="330">
        <v>10</v>
      </c>
      <c r="Y275" s="330">
        <v>0</v>
      </c>
      <c r="Z275" s="330">
        <v>10</v>
      </c>
      <c r="AA275" s="330">
        <v>0</v>
      </c>
      <c r="AB275" s="330">
        <v>8</v>
      </c>
      <c r="AC275" s="330">
        <v>11</v>
      </c>
      <c r="AD275" s="334">
        <v>4196</v>
      </c>
      <c r="AE275" s="334">
        <v>9</v>
      </c>
      <c r="AF275" s="334">
        <v>15</v>
      </c>
      <c r="AG275" s="334">
        <v>24</v>
      </c>
    </row>
    <row r="276" spans="1:33" x14ac:dyDescent="0.35">
      <c r="A276" s="329" t="s">
        <v>606</v>
      </c>
      <c r="B276" s="335" t="s">
        <v>607</v>
      </c>
      <c r="C276" s="331">
        <v>11291</v>
      </c>
      <c r="D276" s="331">
        <v>0</v>
      </c>
      <c r="E276" s="331">
        <v>428</v>
      </c>
      <c r="F276" s="331">
        <v>1946</v>
      </c>
      <c r="G276" s="331">
        <v>523</v>
      </c>
      <c r="H276" s="331">
        <v>14188</v>
      </c>
      <c r="I276" s="330">
        <v>13665</v>
      </c>
      <c r="J276" s="330">
        <v>63</v>
      </c>
      <c r="K276" s="332">
        <v>88.07</v>
      </c>
      <c r="L276" s="332">
        <v>87.7</v>
      </c>
      <c r="M276" s="332">
        <v>6.39</v>
      </c>
      <c r="N276" s="332">
        <v>90.66</v>
      </c>
      <c r="O276" s="333">
        <v>9846</v>
      </c>
      <c r="P276" s="330">
        <v>86.55</v>
      </c>
      <c r="Q276" s="330">
        <v>84.37</v>
      </c>
      <c r="R276" s="330">
        <v>43.82</v>
      </c>
      <c r="S276" s="330">
        <v>130.16999999999999</v>
      </c>
      <c r="T276" s="330">
        <v>1986</v>
      </c>
      <c r="U276" s="330">
        <v>111.59</v>
      </c>
      <c r="V276" s="330">
        <v>1123</v>
      </c>
      <c r="W276" s="330">
        <v>194.97</v>
      </c>
      <c r="X276" s="330">
        <v>253</v>
      </c>
      <c r="Y276" s="330">
        <v>0</v>
      </c>
      <c r="Z276" s="330">
        <v>63</v>
      </c>
      <c r="AA276" s="330">
        <v>78</v>
      </c>
      <c r="AB276" s="330">
        <v>40</v>
      </c>
      <c r="AC276" s="330">
        <v>9</v>
      </c>
      <c r="AD276" s="334">
        <v>11291</v>
      </c>
      <c r="AE276" s="334">
        <v>242</v>
      </c>
      <c r="AF276" s="334">
        <v>25</v>
      </c>
      <c r="AG276" s="334">
        <v>267</v>
      </c>
    </row>
    <row r="277" spans="1:33" x14ac:dyDescent="0.35">
      <c r="A277" s="329" t="s">
        <v>608</v>
      </c>
      <c r="B277" s="335" t="s">
        <v>609</v>
      </c>
      <c r="C277" s="331">
        <v>2145</v>
      </c>
      <c r="D277" s="331">
        <v>0</v>
      </c>
      <c r="E277" s="331">
        <v>243</v>
      </c>
      <c r="F277" s="331">
        <v>552</v>
      </c>
      <c r="G277" s="331">
        <v>118</v>
      </c>
      <c r="H277" s="331">
        <v>3058</v>
      </c>
      <c r="I277" s="330">
        <v>2940</v>
      </c>
      <c r="J277" s="330">
        <v>0</v>
      </c>
      <c r="K277" s="332">
        <v>98.96</v>
      </c>
      <c r="L277" s="332">
        <v>97.18</v>
      </c>
      <c r="M277" s="332">
        <v>15.8</v>
      </c>
      <c r="N277" s="332">
        <v>112.16</v>
      </c>
      <c r="O277" s="333">
        <v>1833</v>
      </c>
      <c r="P277" s="330">
        <v>90.26</v>
      </c>
      <c r="Q277" s="330">
        <v>85.35</v>
      </c>
      <c r="R277" s="330">
        <v>36.9</v>
      </c>
      <c r="S277" s="330">
        <v>125.16</v>
      </c>
      <c r="T277" s="330">
        <v>772</v>
      </c>
      <c r="U277" s="330">
        <v>121.88</v>
      </c>
      <c r="V277" s="330">
        <v>263</v>
      </c>
      <c r="W277" s="330">
        <v>0</v>
      </c>
      <c r="X277" s="330">
        <v>0</v>
      </c>
      <c r="Y277" s="330">
        <v>1</v>
      </c>
      <c r="Z277" s="330">
        <v>0</v>
      </c>
      <c r="AA277" s="330">
        <v>0</v>
      </c>
      <c r="AB277" s="330">
        <v>20</v>
      </c>
      <c r="AC277" s="330">
        <v>1</v>
      </c>
      <c r="AD277" s="334">
        <v>2145</v>
      </c>
      <c r="AE277" s="334">
        <v>52</v>
      </c>
      <c r="AF277" s="334">
        <v>7</v>
      </c>
      <c r="AG277" s="334">
        <v>59</v>
      </c>
    </row>
    <row r="278" spans="1:33" x14ac:dyDescent="0.35">
      <c r="A278" s="329" t="s">
        <v>610</v>
      </c>
      <c r="B278" s="335" t="s">
        <v>611</v>
      </c>
      <c r="C278" s="331">
        <v>7353</v>
      </c>
      <c r="D278" s="331">
        <v>0</v>
      </c>
      <c r="E278" s="331">
        <v>277</v>
      </c>
      <c r="F278" s="331">
        <v>416</v>
      </c>
      <c r="G278" s="331">
        <v>921</v>
      </c>
      <c r="H278" s="331">
        <v>8967</v>
      </c>
      <c r="I278" s="330">
        <v>8046</v>
      </c>
      <c r="J278" s="330">
        <v>14</v>
      </c>
      <c r="K278" s="332">
        <v>104.55</v>
      </c>
      <c r="L278" s="332">
        <v>103.13</v>
      </c>
      <c r="M278" s="332">
        <v>3.66</v>
      </c>
      <c r="N278" s="332">
        <v>107.42</v>
      </c>
      <c r="O278" s="333">
        <v>6102</v>
      </c>
      <c r="P278" s="330">
        <v>91.29</v>
      </c>
      <c r="Q278" s="330">
        <v>90.56</v>
      </c>
      <c r="R278" s="330">
        <v>33.369999999999997</v>
      </c>
      <c r="S278" s="330">
        <v>124.37</v>
      </c>
      <c r="T278" s="330">
        <v>560</v>
      </c>
      <c r="U278" s="330">
        <v>143.4</v>
      </c>
      <c r="V278" s="330">
        <v>897</v>
      </c>
      <c r="W278" s="330">
        <v>107.29</v>
      </c>
      <c r="X278" s="330">
        <v>1</v>
      </c>
      <c r="Y278" s="330">
        <v>0</v>
      </c>
      <c r="Z278" s="330">
        <v>8</v>
      </c>
      <c r="AA278" s="330">
        <v>21</v>
      </c>
      <c r="AB278" s="330">
        <v>117</v>
      </c>
      <c r="AC278" s="330">
        <v>16</v>
      </c>
      <c r="AD278" s="334">
        <v>7076</v>
      </c>
      <c r="AE278" s="334">
        <v>70</v>
      </c>
      <c r="AF278" s="334">
        <v>38</v>
      </c>
      <c r="AG278" s="334">
        <v>108</v>
      </c>
    </row>
    <row r="279" spans="1:33" x14ac:dyDescent="0.35">
      <c r="A279" s="329" t="s">
        <v>612</v>
      </c>
      <c r="B279" s="335" t="s">
        <v>613</v>
      </c>
      <c r="C279" s="331">
        <v>4600</v>
      </c>
      <c r="D279" s="331">
        <v>0</v>
      </c>
      <c r="E279" s="331">
        <v>75</v>
      </c>
      <c r="F279" s="331">
        <v>570</v>
      </c>
      <c r="G279" s="331">
        <v>826</v>
      </c>
      <c r="H279" s="331">
        <v>6071</v>
      </c>
      <c r="I279" s="330">
        <v>5245</v>
      </c>
      <c r="J279" s="330">
        <v>1</v>
      </c>
      <c r="K279" s="332">
        <v>94.02</v>
      </c>
      <c r="L279" s="332">
        <v>90.33</v>
      </c>
      <c r="M279" s="332">
        <v>5.0599999999999996</v>
      </c>
      <c r="N279" s="332">
        <v>96.74</v>
      </c>
      <c r="O279" s="333">
        <v>3861</v>
      </c>
      <c r="P279" s="330">
        <v>85.11</v>
      </c>
      <c r="Q279" s="330">
        <v>81.92</v>
      </c>
      <c r="R279" s="330">
        <v>40.4</v>
      </c>
      <c r="S279" s="330">
        <v>125.45</v>
      </c>
      <c r="T279" s="330">
        <v>616</v>
      </c>
      <c r="U279" s="330">
        <v>130.94</v>
      </c>
      <c r="V279" s="330">
        <v>729</v>
      </c>
      <c r="W279" s="330">
        <v>121.99</v>
      </c>
      <c r="X279" s="330">
        <v>17</v>
      </c>
      <c r="Y279" s="330">
        <v>0</v>
      </c>
      <c r="Z279" s="330">
        <v>4</v>
      </c>
      <c r="AA279" s="330">
        <v>0</v>
      </c>
      <c r="AB279" s="330">
        <v>45</v>
      </c>
      <c r="AC279" s="330">
        <v>19</v>
      </c>
      <c r="AD279" s="334">
        <v>4594</v>
      </c>
      <c r="AE279" s="334">
        <v>39</v>
      </c>
      <c r="AF279" s="334">
        <v>31</v>
      </c>
      <c r="AG279" s="334">
        <v>70</v>
      </c>
    </row>
    <row r="280" spans="1:33" x14ac:dyDescent="0.35">
      <c r="A280" s="329" t="s">
        <v>614</v>
      </c>
      <c r="B280" s="335" t="s">
        <v>615</v>
      </c>
      <c r="C280" s="331">
        <v>3896</v>
      </c>
      <c r="D280" s="331">
        <v>0</v>
      </c>
      <c r="E280" s="331">
        <v>116</v>
      </c>
      <c r="F280" s="331">
        <v>678</v>
      </c>
      <c r="G280" s="331">
        <v>151</v>
      </c>
      <c r="H280" s="331">
        <v>4841</v>
      </c>
      <c r="I280" s="330">
        <v>4690</v>
      </c>
      <c r="J280" s="330">
        <v>14</v>
      </c>
      <c r="K280" s="332">
        <v>90.29</v>
      </c>
      <c r="L280" s="332">
        <v>89.58</v>
      </c>
      <c r="M280" s="332">
        <v>8.23</v>
      </c>
      <c r="N280" s="332">
        <v>96.26</v>
      </c>
      <c r="O280" s="333">
        <v>3568</v>
      </c>
      <c r="P280" s="330">
        <v>95.27</v>
      </c>
      <c r="Q280" s="330">
        <v>82.5</v>
      </c>
      <c r="R280" s="330">
        <v>46</v>
      </c>
      <c r="S280" s="330">
        <v>141.19999999999999</v>
      </c>
      <c r="T280" s="330">
        <v>770</v>
      </c>
      <c r="U280" s="330">
        <v>115.15</v>
      </c>
      <c r="V280" s="330">
        <v>306</v>
      </c>
      <c r="W280" s="330">
        <v>0</v>
      </c>
      <c r="X280" s="330">
        <v>0</v>
      </c>
      <c r="Y280" s="330">
        <v>0</v>
      </c>
      <c r="Z280" s="330">
        <v>1</v>
      </c>
      <c r="AA280" s="330">
        <v>49</v>
      </c>
      <c r="AB280" s="330">
        <v>17</v>
      </c>
      <c r="AC280" s="330">
        <v>3</v>
      </c>
      <c r="AD280" s="334">
        <v>3896</v>
      </c>
      <c r="AE280" s="334">
        <v>26</v>
      </c>
      <c r="AF280" s="334">
        <v>38</v>
      </c>
      <c r="AG280" s="334">
        <v>64</v>
      </c>
    </row>
    <row r="281" spans="1:33" x14ac:dyDescent="0.35">
      <c r="A281" s="329" t="s">
        <v>616</v>
      </c>
      <c r="B281" s="335" t="s">
        <v>617</v>
      </c>
      <c r="C281" s="331">
        <v>4666</v>
      </c>
      <c r="D281" s="331">
        <v>22</v>
      </c>
      <c r="E281" s="331">
        <v>52</v>
      </c>
      <c r="F281" s="331">
        <v>885</v>
      </c>
      <c r="G281" s="331">
        <v>214</v>
      </c>
      <c r="H281" s="331">
        <v>5839</v>
      </c>
      <c r="I281" s="330">
        <v>5625</v>
      </c>
      <c r="J281" s="330">
        <v>12</v>
      </c>
      <c r="K281" s="332">
        <v>117.57</v>
      </c>
      <c r="L281" s="332">
        <v>117.91</v>
      </c>
      <c r="M281" s="332">
        <v>6.74</v>
      </c>
      <c r="N281" s="332">
        <v>120.63</v>
      </c>
      <c r="O281" s="333">
        <v>4387</v>
      </c>
      <c r="P281" s="330">
        <v>97.93</v>
      </c>
      <c r="Q281" s="330">
        <v>97.67</v>
      </c>
      <c r="R281" s="330">
        <v>21.76</v>
      </c>
      <c r="S281" s="330">
        <v>117.75</v>
      </c>
      <c r="T281" s="330">
        <v>898</v>
      </c>
      <c r="U281" s="330">
        <v>161.72999999999999</v>
      </c>
      <c r="V281" s="330">
        <v>183</v>
      </c>
      <c r="W281" s="330">
        <v>0</v>
      </c>
      <c r="X281" s="330">
        <v>0</v>
      </c>
      <c r="Y281" s="330">
        <v>0</v>
      </c>
      <c r="Z281" s="330">
        <v>8</v>
      </c>
      <c r="AA281" s="330">
        <v>0</v>
      </c>
      <c r="AB281" s="330">
        <v>14</v>
      </c>
      <c r="AC281" s="330">
        <v>4</v>
      </c>
      <c r="AD281" s="334">
        <v>4656</v>
      </c>
      <c r="AE281" s="334">
        <v>49</v>
      </c>
      <c r="AF281" s="334">
        <v>34</v>
      </c>
      <c r="AG281" s="334">
        <v>83</v>
      </c>
    </row>
    <row r="282" spans="1:33" x14ac:dyDescent="0.35">
      <c r="A282" s="329" t="s">
        <v>618</v>
      </c>
      <c r="B282" s="335" t="s">
        <v>619</v>
      </c>
      <c r="C282" s="331">
        <v>1864</v>
      </c>
      <c r="D282" s="331">
        <v>0</v>
      </c>
      <c r="E282" s="331">
        <v>134</v>
      </c>
      <c r="F282" s="331">
        <v>93</v>
      </c>
      <c r="G282" s="331">
        <v>335</v>
      </c>
      <c r="H282" s="331">
        <v>2426</v>
      </c>
      <c r="I282" s="330">
        <v>2091</v>
      </c>
      <c r="J282" s="330">
        <v>21</v>
      </c>
      <c r="K282" s="332">
        <v>105.95</v>
      </c>
      <c r="L282" s="332">
        <v>102.97</v>
      </c>
      <c r="M282" s="332">
        <v>7.72</v>
      </c>
      <c r="N282" s="332">
        <v>110.95</v>
      </c>
      <c r="O282" s="333">
        <v>1275</v>
      </c>
      <c r="P282" s="330">
        <v>108.19</v>
      </c>
      <c r="Q282" s="330">
        <v>107.38</v>
      </c>
      <c r="R282" s="330">
        <v>84.32</v>
      </c>
      <c r="S282" s="330">
        <v>189.86</v>
      </c>
      <c r="T282" s="330">
        <v>191</v>
      </c>
      <c r="U282" s="330">
        <v>155.30000000000001</v>
      </c>
      <c r="V282" s="330">
        <v>517</v>
      </c>
      <c r="W282" s="330">
        <v>0</v>
      </c>
      <c r="X282" s="330">
        <v>0</v>
      </c>
      <c r="Y282" s="330">
        <v>0</v>
      </c>
      <c r="Z282" s="330">
        <v>1</v>
      </c>
      <c r="AA282" s="330">
        <v>11</v>
      </c>
      <c r="AB282" s="330">
        <v>3</v>
      </c>
      <c r="AC282" s="330">
        <v>9</v>
      </c>
      <c r="AD282" s="334">
        <v>1841</v>
      </c>
      <c r="AE282" s="334">
        <v>18</v>
      </c>
      <c r="AF282" s="334">
        <v>3</v>
      </c>
      <c r="AG282" s="334">
        <v>21</v>
      </c>
    </row>
    <row r="283" spans="1:33" x14ac:dyDescent="0.35">
      <c r="A283" s="329" t="s">
        <v>620</v>
      </c>
      <c r="B283" s="335" t="s">
        <v>621</v>
      </c>
      <c r="C283" s="331">
        <v>7696</v>
      </c>
      <c r="D283" s="331">
        <v>1</v>
      </c>
      <c r="E283" s="331">
        <v>134</v>
      </c>
      <c r="F283" s="331">
        <v>604</v>
      </c>
      <c r="G283" s="331">
        <v>1070</v>
      </c>
      <c r="H283" s="331">
        <v>9505</v>
      </c>
      <c r="I283" s="330">
        <v>8435</v>
      </c>
      <c r="J283" s="330">
        <v>89</v>
      </c>
      <c r="K283" s="332">
        <v>112.11</v>
      </c>
      <c r="L283" s="332">
        <v>111.92</v>
      </c>
      <c r="M283" s="332">
        <v>6.93</v>
      </c>
      <c r="N283" s="332">
        <v>113.21</v>
      </c>
      <c r="O283" s="333">
        <v>6467</v>
      </c>
      <c r="P283" s="330">
        <v>95.36</v>
      </c>
      <c r="Q283" s="330">
        <v>97.16</v>
      </c>
      <c r="R283" s="330">
        <v>37.39</v>
      </c>
      <c r="S283" s="330">
        <v>127.15</v>
      </c>
      <c r="T283" s="330">
        <v>555</v>
      </c>
      <c r="U283" s="330">
        <v>143.6</v>
      </c>
      <c r="V283" s="330">
        <v>1146</v>
      </c>
      <c r="W283" s="330">
        <v>241.42</v>
      </c>
      <c r="X283" s="330">
        <v>109</v>
      </c>
      <c r="Y283" s="330">
        <v>0</v>
      </c>
      <c r="Z283" s="330">
        <v>1</v>
      </c>
      <c r="AA283" s="330">
        <v>2</v>
      </c>
      <c r="AB283" s="330">
        <v>47</v>
      </c>
      <c r="AC283" s="330">
        <v>13</v>
      </c>
      <c r="AD283" s="334">
        <v>7676</v>
      </c>
      <c r="AE283" s="334">
        <v>62</v>
      </c>
      <c r="AF283" s="334">
        <v>35</v>
      </c>
      <c r="AG283" s="334">
        <v>97</v>
      </c>
    </row>
    <row r="284" spans="1:33" x14ac:dyDescent="0.35">
      <c r="A284" s="329" t="s">
        <v>622</v>
      </c>
      <c r="B284" s="335" t="s">
        <v>623</v>
      </c>
      <c r="C284" s="331">
        <v>4219</v>
      </c>
      <c r="D284" s="331">
        <v>11</v>
      </c>
      <c r="E284" s="331">
        <v>278</v>
      </c>
      <c r="F284" s="331">
        <v>910</v>
      </c>
      <c r="G284" s="331">
        <v>556</v>
      </c>
      <c r="H284" s="331">
        <v>5974</v>
      </c>
      <c r="I284" s="330">
        <v>5418</v>
      </c>
      <c r="J284" s="330">
        <v>3</v>
      </c>
      <c r="K284" s="332">
        <v>88.92</v>
      </c>
      <c r="L284" s="332">
        <v>85.53</v>
      </c>
      <c r="M284" s="332">
        <v>5.62</v>
      </c>
      <c r="N284" s="332">
        <v>93.81</v>
      </c>
      <c r="O284" s="333">
        <v>3690</v>
      </c>
      <c r="P284" s="330">
        <v>86.22</v>
      </c>
      <c r="Q284" s="330">
        <v>79.3</v>
      </c>
      <c r="R284" s="330">
        <v>37.22</v>
      </c>
      <c r="S284" s="330">
        <v>121.73</v>
      </c>
      <c r="T284" s="330">
        <v>936</v>
      </c>
      <c r="U284" s="330">
        <v>116.34</v>
      </c>
      <c r="V284" s="330">
        <v>465</v>
      </c>
      <c r="W284" s="330">
        <v>192.49</v>
      </c>
      <c r="X284" s="330">
        <v>2</v>
      </c>
      <c r="Y284" s="330">
        <v>0</v>
      </c>
      <c r="Z284" s="330">
        <v>5</v>
      </c>
      <c r="AA284" s="330">
        <v>1</v>
      </c>
      <c r="AB284" s="330">
        <v>4</v>
      </c>
      <c r="AC284" s="330">
        <v>13</v>
      </c>
      <c r="AD284" s="334">
        <v>4180</v>
      </c>
      <c r="AE284" s="334">
        <v>20</v>
      </c>
      <c r="AF284" s="334">
        <v>19</v>
      </c>
      <c r="AG284" s="334">
        <v>39</v>
      </c>
    </row>
    <row r="285" spans="1:33" x14ac:dyDescent="0.35">
      <c r="A285" s="329" t="s">
        <v>624</v>
      </c>
      <c r="B285" s="335" t="s">
        <v>625</v>
      </c>
      <c r="C285" s="331">
        <v>2394</v>
      </c>
      <c r="D285" s="331">
        <v>0</v>
      </c>
      <c r="E285" s="331">
        <v>35</v>
      </c>
      <c r="F285" s="331">
        <v>386</v>
      </c>
      <c r="G285" s="331">
        <v>206</v>
      </c>
      <c r="H285" s="331">
        <v>3021</v>
      </c>
      <c r="I285" s="330">
        <v>2815</v>
      </c>
      <c r="J285" s="330">
        <v>10</v>
      </c>
      <c r="K285" s="332">
        <v>81.97</v>
      </c>
      <c r="L285" s="332">
        <v>80.739999999999995</v>
      </c>
      <c r="M285" s="332">
        <v>3.1</v>
      </c>
      <c r="N285" s="332">
        <v>83.77</v>
      </c>
      <c r="O285" s="333">
        <v>2274</v>
      </c>
      <c r="P285" s="330">
        <v>70.540000000000006</v>
      </c>
      <c r="Q285" s="330">
        <v>67.63</v>
      </c>
      <c r="R285" s="330">
        <v>31.3</v>
      </c>
      <c r="S285" s="330">
        <v>96.83</v>
      </c>
      <c r="T285" s="330">
        <v>343</v>
      </c>
      <c r="U285" s="330">
        <v>104.93</v>
      </c>
      <c r="V285" s="330">
        <v>120</v>
      </c>
      <c r="W285" s="330">
        <v>188.99</v>
      </c>
      <c r="X285" s="330">
        <v>41</v>
      </c>
      <c r="Y285" s="330">
        <v>0</v>
      </c>
      <c r="Z285" s="330">
        <v>6</v>
      </c>
      <c r="AA285" s="330">
        <v>1</v>
      </c>
      <c r="AB285" s="330">
        <v>6</v>
      </c>
      <c r="AC285" s="330">
        <v>3</v>
      </c>
      <c r="AD285" s="334">
        <v>2382</v>
      </c>
      <c r="AE285" s="334">
        <v>15</v>
      </c>
      <c r="AF285" s="334">
        <v>0</v>
      </c>
      <c r="AG285" s="334">
        <v>15</v>
      </c>
    </row>
    <row r="286" spans="1:33" x14ac:dyDescent="0.35">
      <c r="A286" s="329" t="s">
        <v>626</v>
      </c>
      <c r="B286" s="335" t="s">
        <v>627</v>
      </c>
      <c r="C286" s="331">
        <v>30054</v>
      </c>
      <c r="D286" s="331">
        <v>120</v>
      </c>
      <c r="E286" s="331">
        <v>1435</v>
      </c>
      <c r="F286" s="331">
        <v>812</v>
      </c>
      <c r="G286" s="331">
        <v>3112</v>
      </c>
      <c r="H286" s="331">
        <v>35533</v>
      </c>
      <c r="I286" s="330">
        <v>32421</v>
      </c>
      <c r="J286" s="330">
        <v>59</v>
      </c>
      <c r="K286" s="332">
        <v>123.84</v>
      </c>
      <c r="L286" s="332">
        <v>126.8</v>
      </c>
      <c r="M286" s="332">
        <v>15.89</v>
      </c>
      <c r="N286" s="332">
        <v>138.27000000000001</v>
      </c>
      <c r="O286" s="333">
        <v>25661</v>
      </c>
      <c r="P286" s="330">
        <v>110.35</v>
      </c>
      <c r="Q286" s="330">
        <v>108.94</v>
      </c>
      <c r="R286" s="330">
        <v>63.1</v>
      </c>
      <c r="S286" s="330">
        <v>170.54</v>
      </c>
      <c r="T286" s="330">
        <v>1801</v>
      </c>
      <c r="U286" s="330">
        <v>209.05</v>
      </c>
      <c r="V286" s="330">
        <v>2779</v>
      </c>
      <c r="W286" s="330">
        <v>224.5</v>
      </c>
      <c r="X286" s="330">
        <v>154</v>
      </c>
      <c r="Y286" s="330">
        <v>1</v>
      </c>
      <c r="Z286" s="330">
        <v>14</v>
      </c>
      <c r="AA286" s="330">
        <v>62</v>
      </c>
      <c r="AB286" s="330">
        <v>193</v>
      </c>
      <c r="AC286" s="330">
        <v>93</v>
      </c>
      <c r="AD286" s="334">
        <v>28738</v>
      </c>
      <c r="AE286" s="334">
        <v>246</v>
      </c>
      <c r="AF286" s="334">
        <v>201</v>
      </c>
      <c r="AG286" s="334">
        <v>447</v>
      </c>
    </row>
    <row r="287" spans="1:33" x14ac:dyDescent="0.35">
      <c r="A287" s="329" t="s">
        <v>628</v>
      </c>
      <c r="B287" s="335" t="s">
        <v>629</v>
      </c>
      <c r="C287" s="331">
        <v>11801</v>
      </c>
      <c r="D287" s="331">
        <v>0</v>
      </c>
      <c r="E287" s="331">
        <v>487</v>
      </c>
      <c r="F287" s="331">
        <v>3252</v>
      </c>
      <c r="G287" s="331">
        <v>452</v>
      </c>
      <c r="H287" s="331">
        <v>15992</v>
      </c>
      <c r="I287" s="330">
        <v>15540</v>
      </c>
      <c r="J287" s="330">
        <v>13</v>
      </c>
      <c r="K287" s="332">
        <v>86.59</v>
      </c>
      <c r="L287" s="332">
        <v>87.12</v>
      </c>
      <c r="M287" s="332">
        <v>5.09</v>
      </c>
      <c r="N287" s="332">
        <v>90.38</v>
      </c>
      <c r="O287" s="333">
        <v>9836</v>
      </c>
      <c r="P287" s="330">
        <v>87.85</v>
      </c>
      <c r="Q287" s="330">
        <v>85.13</v>
      </c>
      <c r="R287" s="330">
        <v>26.03</v>
      </c>
      <c r="S287" s="330">
        <v>113.73</v>
      </c>
      <c r="T287" s="330">
        <v>3529</v>
      </c>
      <c r="U287" s="330">
        <v>119.1</v>
      </c>
      <c r="V287" s="330">
        <v>1891</v>
      </c>
      <c r="W287" s="330">
        <v>168.2</v>
      </c>
      <c r="X287" s="330">
        <v>146</v>
      </c>
      <c r="Y287" s="330">
        <v>1</v>
      </c>
      <c r="Z287" s="330">
        <v>61</v>
      </c>
      <c r="AA287" s="330">
        <v>2</v>
      </c>
      <c r="AB287" s="330">
        <v>10</v>
      </c>
      <c r="AC287" s="330">
        <v>17</v>
      </c>
      <c r="AD287" s="334">
        <v>11779</v>
      </c>
      <c r="AE287" s="334">
        <v>53</v>
      </c>
      <c r="AF287" s="334">
        <v>74</v>
      </c>
      <c r="AG287" s="334">
        <v>127</v>
      </c>
    </row>
    <row r="288" spans="1:33" x14ac:dyDescent="0.35">
      <c r="A288" s="329" t="s">
        <v>630</v>
      </c>
      <c r="B288" s="335" t="s">
        <v>631</v>
      </c>
      <c r="C288" s="331">
        <v>6260</v>
      </c>
      <c r="D288" s="331">
        <v>0</v>
      </c>
      <c r="E288" s="331">
        <v>181</v>
      </c>
      <c r="F288" s="331">
        <v>791</v>
      </c>
      <c r="G288" s="331">
        <v>487</v>
      </c>
      <c r="H288" s="331">
        <v>7719</v>
      </c>
      <c r="I288" s="330">
        <v>7232</v>
      </c>
      <c r="J288" s="330">
        <v>3</v>
      </c>
      <c r="K288" s="332">
        <v>108.77</v>
      </c>
      <c r="L288" s="332">
        <v>104.16</v>
      </c>
      <c r="M288" s="332">
        <v>4.01</v>
      </c>
      <c r="N288" s="332">
        <v>112.16</v>
      </c>
      <c r="O288" s="333">
        <v>5466</v>
      </c>
      <c r="P288" s="330">
        <v>100.22</v>
      </c>
      <c r="Q288" s="330">
        <v>90.1</v>
      </c>
      <c r="R288" s="330">
        <v>38.47</v>
      </c>
      <c r="S288" s="330">
        <v>137.13999999999999</v>
      </c>
      <c r="T288" s="330">
        <v>693</v>
      </c>
      <c r="U288" s="330">
        <v>154.27000000000001</v>
      </c>
      <c r="V288" s="330">
        <v>596</v>
      </c>
      <c r="W288" s="330">
        <v>129.54</v>
      </c>
      <c r="X288" s="330">
        <v>124</v>
      </c>
      <c r="Y288" s="330">
        <v>139</v>
      </c>
      <c r="Z288" s="330">
        <v>1</v>
      </c>
      <c r="AA288" s="330">
        <v>25</v>
      </c>
      <c r="AB288" s="330">
        <v>27</v>
      </c>
      <c r="AC288" s="330">
        <v>11</v>
      </c>
      <c r="AD288" s="334">
        <v>6105</v>
      </c>
      <c r="AE288" s="334">
        <v>33</v>
      </c>
      <c r="AF288" s="334">
        <v>61</v>
      </c>
      <c r="AG288" s="334">
        <v>94</v>
      </c>
    </row>
    <row r="289" spans="1:33" x14ac:dyDescent="0.35">
      <c r="A289" s="329" t="s">
        <v>632</v>
      </c>
      <c r="B289" s="335" t="s">
        <v>633</v>
      </c>
      <c r="C289" s="331">
        <v>1863</v>
      </c>
      <c r="D289" s="331">
        <v>0</v>
      </c>
      <c r="E289" s="331">
        <v>79</v>
      </c>
      <c r="F289" s="331">
        <v>187</v>
      </c>
      <c r="G289" s="331">
        <v>577</v>
      </c>
      <c r="H289" s="331">
        <v>2706</v>
      </c>
      <c r="I289" s="330">
        <v>2129</v>
      </c>
      <c r="J289" s="330">
        <v>0</v>
      </c>
      <c r="K289" s="332">
        <v>106.66</v>
      </c>
      <c r="L289" s="332">
        <v>104.7</v>
      </c>
      <c r="M289" s="332">
        <v>7.28</v>
      </c>
      <c r="N289" s="332">
        <v>111.71</v>
      </c>
      <c r="O289" s="333">
        <v>998</v>
      </c>
      <c r="P289" s="330">
        <v>100.48</v>
      </c>
      <c r="Q289" s="330">
        <v>95.51</v>
      </c>
      <c r="R289" s="330">
        <v>59.1</v>
      </c>
      <c r="S289" s="330">
        <v>157.97999999999999</v>
      </c>
      <c r="T289" s="330">
        <v>258</v>
      </c>
      <c r="U289" s="330">
        <v>156.88999999999999</v>
      </c>
      <c r="V289" s="330">
        <v>845</v>
      </c>
      <c r="W289" s="330">
        <v>151.26</v>
      </c>
      <c r="X289" s="330">
        <v>6</v>
      </c>
      <c r="Y289" s="330">
        <v>108</v>
      </c>
      <c r="Z289" s="330">
        <v>0</v>
      </c>
      <c r="AA289" s="330">
        <v>1</v>
      </c>
      <c r="AB289" s="330">
        <v>74</v>
      </c>
      <c r="AC289" s="330">
        <v>9</v>
      </c>
      <c r="AD289" s="334">
        <v>1862</v>
      </c>
      <c r="AE289" s="334">
        <v>15</v>
      </c>
      <c r="AF289" s="334">
        <v>5</v>
      </c>
      <c r="AG289" s="334">
        <v>20</v>
      </c>
    </row>
    <row r="290" spans="1:33" x14ac:dyDescent="0.35">
      <c r="A290" s="329" t="s">
        <v>634</v>
      </c>
      <c r="B290" s="335" t="s">
        <v>635</v>
      </c>
      <c r="C290" s="331">
        <v>7275</v>
      </c>
      <c r="D290" s="331">
        <v>0</v>
      </c>
      <c r="E290" s="331">
        <v>208</v>
      </c>
      <c r="F290" s="331">
        <v>462</v>
      </c>
      <c r="G290" s="331">
        <v>836</v>
      </c>
      <c r="H290" s="331">
        <v>8781</v>
      </c>
      <c r="I290" s="330">
        <v>7945</v>
      </c>
      <c r="J290" s="330">
        <v>1</v>
      </c>
      <c r="K290" s="332">
        <v>105.64</v>
      </c>
      <c r="L290" s="332">
        <v>106.37</v>
      </c>
      <c r="M290" s="332">
        <v>5.7</v>
      </c>
      <c r="N290" s="332">
        <v>106.67</v>
      </c>
      <c r="O290" s="333">
        <v>5480</v>
      </c>
      <c r="P290" s="330">
        <v>97.95</v>
      </c>
      <c r="Q290" s="330">
        <v>96.95</v>
      </c>
      <c r="R290" s="330">
        <v>29.95</v>
      </c>
      <c r="S290" s="330">
        <v>124.45</v>
      </c>
      <c r="T290" s="330">
        <v>608</v>
      </c>
      <c r="U290" s="330">
        <v>165.71</v>
      </c>
      <c r="V290" s="330">
        <v>1727</v>
      </c>
      <c r="W290" s="330">
        <v>182.17</v>
      </c>
      <c r="X290" s="330">
        <v>27</v>
      </c>
      <c r="Y290" s="330">
        <v>0</v>
      </c>
      <c r="Z290" s="330">
        <v>3</v>
      </c>
      <c r="AA290" s="330">
        <v>1</v>
      </c>
      <c r="AB290" s="330">
        <v>66</v>
      </c>
      <c r="AC290" s="330">
        <v>14</v>
      </c>
      <c r="AD290" s="334">
        <v>7217</v>
      </c>
      <c r="AE290" s="334">
        <v>90</v>
      </c>
      <c r="AF290" s="334">
        <v>7</v>
      </c>
      <c r="AG290" s="334">
        <v>97</v>
      </c>
    </row>
    <row r="291" spans="1:33" x14ac:dyDescent="0.35">
      <c r="A291" s="329" t="s">
        <v>636</v>
      </c>
      <c r="B291" s="335" t="s">
        <v>637</v>
      </c>
      <c r="C291" s="331">
        <v>32506</v>
      </c>
      <c r="D291" s="331">
        <v>0</v>
      </c>
      <c r="E291" s="331">
        <v>2216</v>
      </c>
      <c r="F291" s="331">
        <v>654</v>
      </c>
      <c r="G291" s="331">
        <v>909</v>
      </c>
      <c r="H291" s="331">
        <v>36285</v>
      </c>
      <c r="I291" s="330">
        <v>35376</v>
      </c>
      <c r="J291" s="330">
        <v>2</v>
      </c>
      <c r="K291" s="332">
        <v>81.400000000000006</v>
      </c>
      <c r="L291" s="332">
        <v>81.8</v>
      </c>
      <c r="M291" s="332">
        <v>5.61</v>
      </c>
      <c r="N291" s="332">
        <v>82.14</v>
      </c>
      <c r="O291" s="333">
        <v>29851</v>
      </c>
      <c r="P291" s="330">
        <v>79.88</v>
      </c>
      <c r="Q291" s="330">
        <v>77.459999999999994</v>
      </c>
      <c r="R291" s="330">
        <v>39.11</v>
      </c>
      <c r="S291" s="330">
        <v>118.31</v>
      </c>
      <c r="T291" s="330">
        <v>2599</v>
      </c>
      <c r="U291" s="330">
        <v>96.46</v>
      </c>
      <c r="V291" s="330">
        <v>2325</v>
      </c>
      <c r="W291" s="330">
        <v>148.19</v>
      </c>
      <c r="X291" s="330">
        <v>28</v>
      </c>
      <c r="Y291" s="330">
        <v>0</v>
      </c>
      <c r="Z291" s="330">
        <v>191</v>
      </c>
      <c r="AA291" s="330">
        <v>8</v>
      </c>
      <c r="AB291" s="330">
        <v>122</v>
      </c>
      <c r="AC291" s="330">
        <v>20</v>
      </c>
      <c r="AD291" s="334">
        <v>32489</v>
      </c>
      <c r="AE291" s="334">
        <v>209</v>
      </c>
      <c r="AF291" s="334">
        <v>225</v>
      </c>
      <c r="AG291" s="334">
        <v>434</v>
      </c>
    </row>
    <row r="292" spans="1:33" x14ac:dyDescent="0.35">
      <c r="A292" s="329" t="s">
        <v>638</v>
      </c>
      <c r="B292" s="335" t="s">
        <v>639</v>
      </c>
      <c r="C292" s="331">
        <v>26586</v>
      </c>
      <c r="D292" s="331">
        <v>12</v>
      </c>
      <c r="E292" s="331">
        <v>498</v>
      </c>
      <c r="F292" s="331">
        <v>792</v>
      </c>
      <c r="G292" s="331">
        <v>501</v>
      </c>
      <c r="H292" s="331">
        <v>28389</v>
      </c>
      <c r="I292" s="330">
        <v>27888</v>
      </c>
      <c r="J292" s="330">
        <v>11</v>
      </c>
      <c r="K292" s="332">
        <v>83.98</v>
      </c>
      <c r="L292" s="332">
        <v>84.01</v>
      </c>
      <c r="M292" s="332">
        <v>9.8699999999999992</v>
      </c>
      <c r="N292" s="332">
        <v>88.98</v>
      </c>
      <c r="O292" s="333">
        <v>24171</v>
      </c>
      <c r="P292" s="330">
        <v>101.95</v>
      </c>
      <c r="Q292" s="330">
        <v>92.89</v>
      </c>
      <c r="R292" s="330">
        <v>44.5</v>
      </c>
      <c r="S292" s="330">
        <v>143.4</v>
      </c>
      <c r="T292" s="330">
        <v>1037</v>
      </c>
      <c r="U292" s="330">
        <v>108.16</v>
      </c>
      <c r="V292" s="330">
        <v>2180</v>
      </c>
      <c r="W292" s="330">
        <v>142.34</v>
      </c>
      <c r="X292" s="330">
        <v>193</v>
      </c>
      <c r="Y292" s="330">
        <v>0</v>
      </c>
      <c r="Z292" s="330">
        <v>187</v>
      </c>
      <c r="AA292" s="330">
        <v>11</v>
      </c>
      <c r="AB292" s="330">
        <v>3</v>
      </c>
      <c r="AC292" s="330">
        <v>17</v>
      </c>
      <c r="AD292" s="334">
        <v>26529</v>
      </c>
      <c r="AE292" s="334">
        <v>171</v>
      </c>
      <c r="AF292" s="334">
        <v>60</v>
      </c>
      <c r="AG292" s="334">
        <v>231</v>
      </c>
    </row>
    <row r="293" spans="1:33" x14ac:dyDescent="0.35">
      <c r="A293" s="329" t="s">
        <v>640</v>
      </c>
      <c r="B293" s="335" t="s">
        <v>641</v>
      </c>
      <c r="C293" s="331">
        <v>10727</v>
      </c>
      <c r="D293" s="331">
        <v>2</v>
      </c>
      <c r="E293" s="331">
        <v>911</v>
      </c>
      <c r="F293" s="331">
        <v>861</v>
      </c>
      <c r="G293" s="331">
        <v>1473</v>
      </c>
      <c r="H293" s="331">
        <v>13974</v>
      </c>
      <c r="I293" s="330">
        <v>12501</v>
      </c>
      <c r="J293" s="330">
        <v>23</v>
      </c>
      <c r="K293" s="332">
        <v>117.35</v>
      </c>
      <c r="L293" s="332">
        <v>113.76</v>
      </c>
      <c r="M293" s="332">
        <v>11.16</v>
      </c>
      <c r="N293" s="332">
        <v>122.91</v>
      </c>
      <c r="O293" s="333">
        <v>8816</v>
      </c>
      <c r="P293" s="330">
        <v>100.61</v>
      </c>
      <c r="Q293" s="330">
        <v>94.68</v>
      </c>
      <c r="R293" s="330">
        <v>37.590000000000003</v>
      </c>
      <c r="S293" s="330">
        <v>136.13</v>
      </c>
      <c r="T293" s="330">
        <v>1196</v>
      </c>
      <c r="U293" s="330">
        <v>176.35</v>
      </c>
      <c r="V293" s="330">
        <v>1408</v>
      </c>
      <c r="W293" s="330">
        <v>225.01</v>
      </c>
      <c r="X293" s="330">
        <v>72</v>
      </c>
      <c r="Y293" s="330">
        <v>0</v>
      </c>
      <c r="Z293" s="330">
        <v>5</v>
      </c>
      <c r="AA293" s="330">
        <v>25</v>
      </c>
      <c r="AB293" s="330">
        <v>78</v>
      </c>
      <c r="AC293" s="330">
        <v>41</v>
      </c>
      <c r="AD293" s="334">
        <v>10343</v>
      </c>
      <c r="AE293" s="334">
        <v>69</v>
      </c>
      <c r="AF293" s="334">
        <v>33</v>
      </c>
      <c r="AG293" s="334">
        <v>102</v>
      </c>
    </row>
    <row r="294" spans="1:33" x14ac:dyDescent="0.35">
      <c r="A294" s="329" t="s">
        <v>642</v>
      </c>
      <c r="B294" s="335" t="s">
        <v>643</v>
      </c>
      <c r="C294" s="331">
        <v>8864</v>
      </c>
      <c r="D294" s="331">
        <v>27</v>
      </c>
      <c r="E294" s="331">
        <v>1078</v>
      </c>
      <c r="F294" s="331">
        <v>1002</v>
      </c>
      <c r="G294" s="331">
        <v>2460</v>
      </c>
      <c r="H294" s="331">
        <v>13431</v>
      </c>
      <c r="I294" s="330">
        <v>10971</v>
      </c>
      <c r="J294" s="330">
        <v>290</v>
      </c>
      <c r="K294" s="332">
        <v>127.91</v>
      </c>
      <c r="L294" s="332">
        <v>134.31</v>
      </c>
      <c r="M294" s="332">
        <v>9.56</v>
      </c>
      <c r="N294" s="332">
        <v>133.11000000000001</v>
      </c>
      <c r="O294" s="333">
        <v>7476</v>
      </c>
      <c r="P294" s="330">
        <v>117.96</v>
      </c>
      <c r="Q294" s="330">
        <v>117.14</v>
      </c>
      <c r="R294" s="330">
        <v>36</v>
      </c>
      <c r="S294" s="330">
        <v>147.66999999999999</v>
      </c>
      <c r="T294" s="330">
        <v>1884</v>
      </c>
      <c r="U294" s="330">
        <v>204.6</v>
      </c>
      <c r="V294" s="330">
        <v>841</v>
      </c>
      <c r="W294" s="330">
        <v>237.49</v>
      </c>
      <c r="X294" s="330">
        <v>62</v>
      </c>
      <c r="Y294" s="330">
        <v>67</v>
      </c>
      <c r="Z294" s="330">
        <v>0</v>
      </c>
      <c r="AA294" s="330">
        <v>12</v>
      </c>
      <c r="AB294" s="330">
        <v>66</v>
      </c>
      <c r="AC294" s="330">
        <v>112</v>
      </c>
      <c r="AD294" s="334">
        <v>8498</v>
      </c>
      <c r="AE294" s="334">
        <v>35</v>
      </c>
      <c r="AF294" s="334">
        <v>42</v>
      </c>
      <c r="AG294" s="334">
        <v>77</v>
      </c>
    </row>
    <row r="295" spans="1:33" x14ac:dyDescent="0.35">
      <c r="A295" s="329" t="s">
        <v>644</v>
      </c>
      <c r="B295" s="335" t="s">
        <v>645</v>
      </c>
      <c r="C295" s="331">
        <v>11791</v>
      </c>
      <c r="D295" s="331">
        <v>0</v>
      </c>
      <c r="E295" s="331">
        <v>522</v>
      </c>
      <c r="F295" s="331">
        <v>2153</v>
      </c>
      <c r="G295" s="331">
        <v>603</v>
      </c>
      <c r="H295" s="331">
        <v>15069</v>
      </c>
      <c r="I295" s="330">
        <v>14466</v>
      </c>
      <c r="J295" s="330">
        <v>57</v>
      </c>
      <c r="K295" s="332">
        <v>82.75</v>
      </c>
      <c r="L295" s="332">
        <v>83.45</v>
      </c>
      <c r="M295" s="332">
        <v>5.42</v>
      </c>
      <c r="N295" s="332">
        <v>84.51</v>
      </c>
      <c r="O295" s="333">
        <v>11049</v>
      </c>
      <c r="P295" s="330">
        <v>84.54</v>
      </c>
      <c r="Q295" s="330">
        <v>79.11</v>
      </c>
      <c r="R295" s="330">
        <v>36.11</v>
      </c>
      <c r="S295" s="330">
        <v>116.63</v>
      </c>
      <c r="T295" s="330">
        <v>2610</v>
      </c>
      <c r="U295" s="330">
        <v>103.79</v>
      </c>
      <c r="V295" s="330">
        <v>691</v>
      </c>
      <c r="W295" s="330">
        <v>0</v>
      </c>
      <c r="X295" s="330">
        <v>0</v>
      </c>
      <c r="Y295" s="330">
        <v>0</v>
      </c>
      <c r="Z295" s="330">
        <v>78</v>
      </c>
      <c r="AA295" s="330">
        <v>0</v>
      </c>
      <c r="AB295" s="330">
        <v>19</v>
      </c>
      <c r="AC295" s="330">
        <v>21</v>
      </c>
      <c r="AD295" s="334">
        <v>11791</v>
      </c>
      <c r="AE295" s="334">
        <v>82</v>
      </c>
      <c r="AF295" s="334">
        <v>42</v>
      </c>
      <c r="AG295" s="334">
        <v>124</v>
      </c>
    </row>
    <row r="296" spans="1:33" x14ac:dyDescent="0.35">
      <c r="A296" s="329" t="s">
        <v>646</v>
      </c>
      <c r="B296" s="335" t="s">
        <v>647</v>
      </c>
      <c r="C296" s="331">
        <v>3113</v>
      </c>
      <c r="D296" s="331">
        <v>0</v>
      </c>
      <c r="E296" s="331">
        <v>141</v>
      </c>
      <c r="F296" s="331">
        <v>627</v>
      </c>
      <c r="G296" s="331">
        <v>917</v>
      </c>
      <c r="H296" s="331">
        <v>4798</v>
      </c>
      <c r="I296" s="330">
        <v>3881</v>
      </c>
      <c r="J296" s="330">
        <v>3</v>
      </c>
      <c r="K296" s="332">
        <v>104.01</v>
      </c>
      <c r="L296" s="332">
        <v>102.83</v>
      </c>
      <c r="M296" s="332">
        <v>7.77</v>
      </c>
      <c r="N296" s="332">
        <v>110.65</v>
      </c>
      <c r="O296" s="333">
        <v>2339</v>
      </c>
      <c r="P296" s="330">
        <v>98.78</v>
      </c>
      <c r="Q296" s="330">
        <v>90.19</v>
      </c>
      <c r="R296" s="330">
        <v>51.77</v>
      </c>
      <c r="S296" s="330">
        <v>150.27000000000001</v>
      </c>
      <c r="T296" s="330">
        <v>556</v>
      </c>
      <c r="U296" s="330">
        <v>143.5</v>
      </c>
      <c r="V296" s="330">
        <v>705</v>
      </c>
      <c r="W296" s="330">
        <v>186.5</v>
      </c>
      <c r="X296" s="330">
        <v>126</v>
      </c>
      <c r="Y296" s="330">
        <v>0</v>
      </c>
      <c r="Z296" s="330">
        <v>21</v>
      </c>
      <c r="AA296" s="330">
        <v>26</v>
      </c>
      <c r="AB296" s="330">
        <v>61</v>
      </c>
      <c r="AC296" s="330">
        <v>15</v>
      </c>
      <c r="AD296" s="334">
        <v>3049</v>
      </c>
      <c r="AE296" s="334">
        <v>32</v>
      </c>
      <c r="AF296" s="334">
        <v>45</v>
      </c>
      <c r="AG296" s="334">
        <v>77</v>
      </c>
    </row>
    <row r="297" spans="1:33" x14ac:dyDescent="0.35">
      <c r="A297" s="329" t="s">
        <v>648</v>
      </c>
      <c r="B297" s="335" t="s">
        <v>649</v>
      </c>
      <c r="C297" s="331">
        <v>5540</v>
      </c>
      <c r="D297" s="331">
        <v>114</v>
      </c>
      <c r="E297" s="331">
        <v>360</v>
      </c>
      <c r="F297" s="331">
        <v>589</v>
      </c>
      <c r="G297" s="331">
        <v>395</v>
      </c>
      <c r="H297" s="331">
        <v>6998</v>
      </c>
      <c r="I297" s="330">
        <v>6603</v>
      </c>
      <c r="J297" s="330">
        <v>68</v>
      </c>
      <c r="K297" s="332">
        <v>111.7</v>
      </c>
      <c r="L297" s="332">
        <v>121.3</v>
      </c>
      <c r="M297" s="332">
        <v>9.07</v>
      </c>
      <c r="N297" s="332">
        <v>115.77</v>
      </c>
      <c r="O297" s="333">
        <v>4955</v>
      </c>
      <c r="P297" s="330">
        <v>90.18</v>
      </c>
      <c r="Q297" s="330">
        <v>89.35</v>
      </c>
      <c r="R297" s="330">
        <v>37.64</v>
      </c>
      <c r="S297" s="330">
        <v>127.77</v>
      </c>
      <c r="T297" s="330">
        <v>702</v>
      </c>
      <c r="U297" s="330">
        <v>174.69</v>
      </c>
      <c r="V297" s="330">
        <v>455</v>
      </c>
      <c r="W297" s="330">
        <v>160.68</v>
      </c>
      <c r="X297" s="330">
        <v>2</v>
      </c>
      <c r="Y297" s="330">
        <v>0</v>
      </c>
      <c r="Z297" s="330">
        <v>5</v>
      </c>
      <c r="AA297" s="330">
        <v>0</v>
      </c>
      <c r="AB297" s="330">
        <v>15</v>
      </c>
      <c r="AC297" s="330">
        <v>1</v>
      </c>
      <c r="AD297" s="334">
        <v>5527</v>
      </c>
      <c r="AE297" s="334">
        <v>32</v>
      </c>
      <c r="AF297" s="334">
        <v>26</v>
      </c>
      <c r="AG297" s="334">
        <v>58</v>
      </c>
    </row>
    <row r="298" spans="1:33" x14ac:dyDescent="0.35">
      <c r="A298" s="329" t="s">
        <v>650</v>
      </c>
      <c r="B298" s="335" t="s">
        <v>651</v>
      </c>
      <c r="C298" s="331">
        <v>1294</v>
      </c>
      <c r="D298" s="331">
        <v>0</v>
      </c>
      <c r="E298" s="331">
        <v>146</v>
      </c>
      <c r="F298" s="331">
        <v>164</v>
      </c>
      <c r="G298" s="331">
        <v>513</v>
      </c>
      <c r="H298" s="331">
        <v>2117</v>
      </c>
      <c r="I298" s="330">
        <v>1604</v>
      </c>
      <c r="J298" s="330">
        <v>0</v>
      </c>
      <c r="K298" s="332">
        <v>115.89</v>
      </c>
      <c r="L298" s="332">
        <v>112.09</v>
      </c>
      <c r="M298" s="332">
        <v>5.1100000000000003</v>
      </c>
      <c r="N298" s="332">
        <v>120.61</v>
      </c>
      <c r="O298" s="333">
        <v>910</v>
      </c>
      <c r="P298" s="330">
        <v>100.31</v>
      </c>
      <c r="Q298" s="330">
        <v>93.26</v>
      </c>
      <c r="R298" s="330">
        <v>35.020000000000003</v>
      </c>
      <c r="S298" s="330">
        <v>135.08000000000001</v>
      </c>
      <c r="T298" s="330">
        <v>137</v>
      </c>
      <c r="U298" s="330">
        <v>183.89</v>
      </c>
      <c r="V298" s="330">
        <v>336</v>
      </c>
      <c r="W298" s="330">
        <v>109.9</v>
      </c>
      <c r="X298" s="330">
        <v>3</v>
      </c>
      <c r="Y298" s="330">
        <v>0</v>
      </c>
      <c r="Z298" s="330">
        <v>0</v>
      </c>
      <c r="AA298" s="330">
        <v>4</v>
      </c>
      <c r="AB298" s="330">
        <v>44</v>
      </c>
      <c r="AC298" s="330">
        <v>8</v>
      </c>
      <c r="AD298" s="334">
        <v>1226</v>
      </c>
      <c r="AE298" s="334">
        <v>31</v>
      </c>
      <c r="AF298" s="334">
        <v>9</v>
      </c>
      <c r="AG298" s="334">
        <v>40</v>
      </c>
    </row>
    <row r="299" spans="1:33" x14ac:dyDescent="0.35">
      <c r="A299" s="329" t="s">
        <v>652</v>
      </c>
      <c r="B299" s="335" t="s">
        <v>653</v>
      </c>
      <c r="C299" s="331">
        <v>2331</v>
      </c>
      <c r="D299" s="331">
        <v>0</v>
      </c>
      <c r="E299" s="331">
        <v>97</v>
      </c>
      <c r="F299" s="331">
        <v>307</v>
      </c>
      <c r="G299" s="331">
        <v>599</v>
      </c>
      <c r="H299" s="331">
        <v>3334</v>
      </c>
      <c r="I299" s="330">
        <v>2735</v>
      </c>
      <c r="J299" s="330">
        <v>0</v>
      </c>
      <c r="K299" s="332">
        <v>101.63</v>
      </c>
      <c r="L299" s="332">
        <v>98.02</v>
      </c>
      <c r="M299" s="332">
        <v>6.22</v>
      </c>
      <c r="N299" s="332">
        <v>106.37</v>
      </c>
      <c r="O299" s="333">
        <v>1380</v>
      </c>
      <c r="P299" s="330">
        <v>79.16</v>
      </c>
      <c r="Q299" s="330">
        <v>76.930000000000007</v>
      </c>
      <c r="R299" s="330">
        <v>38.200000000000003</v>
      </c>
      <c r="S299" s="330">
        <v>117.36</v>
      </c>
      <c r="T299" s="330">
        <v>226</v>
      </c>
      <c r="U299" s="330">
        <v>144.93</v>
      </c>
      <c r="V299" s="330">
        <v>929</v>
      </c>
      <c r="W299" s="330">
        <v>186.14</v>
      </c>
      <c r="X299" s="330">
        <v>55</v>
      </c>
      <c r="Y299" s="330">
        <v>0</v>
      </c>
      <c r="Z299" s="330">
        <v>0</v>
      </c>
      <c r="AA299" s="330">
        <v>1</v>
      </c>
      <c r="AB299" s="330">
        <v>45</v>
      </c>
      <c r="AC299" s="330">
        <v>5</v>
      </c>
      <c r="AD299" s="334">
        <v>2313</v>
      </c>
      <c r="AE299" s="334">
        <v>23</v>
      </c>
      <c r="AF299" s="334">
        <v>1</v>
      </c>
      <c r="AG299" s="334">
        <v>24</v>
      </c>
    </row>
    <row r="300" spans="1:33" x14ac:dyDescent="0.35">
      <c r="A300" s="329" t="s">
        <v>654</v>
      </c>
      <c r="B300" s="335" t="s">
        <v>655</v>
      </c>
      <c r="C300" s="331">
        <v>2764</v>
      </c>
      <c r="D300" s="331">
        <v>0</v>
      </c>
      <c r="E300" s="331">
        <v>321</v>
      </c>
      <c r="F300" s="331">
        <v>329</v>
      </c>
      <c r="G300" s="331">
        <v>701</v>
      </c>
      <c r="H300" s="331">
        <v>4115</v>
      </c>
      <c r="I300" s="330">
        <v>3414</v>
      </c>
      <c r="J300" s="330">
        <v>132</v>
      </c>
      <c r="K300" s="332">
        <v>109.44</v>
      </c>
      <c r="L300" s="332">
        <v>108.08</v>
      </c>
      <c r="M300" s="332">
        <v>8.31</v>
      </c>
      <c r="N300" s="332">
        <v>116.52</v>
      </c>
      <c r="O300" s="333">
        <v>2232</v>
      </c>
      <c r="P300" s="330">
        <v>106.13</v>
      </c>
      <c r="Q300" s="330">
        <v>98.73</v>
      </c>
      <c r="R300" s="330">
        <v>46.51</v>
      </c>
      <c r="S300" s="330">
        <v>152.46</v>
      </c>
      <c r="T300" s="330">
        <v>522</v>
      </c>
      <c r="U300" s="330">
        <v>150.77000000000001</v>
      </c>
      <c r="V300" s="330">
        <v>463</v>
      </c>
      <c r="W300" s="330">
        <v>0</v>
      </c>
      <c r="X300" s="330">
        <v>0</v>
      </c>
      <c r="Y300" s="330">
        <v>0</v>
      </c>
      <c r="Z300" s="330">
        <v>0</v>
      </c>
      <c r="AA300" s="330">
        <v>0</v>
      </c>
      <c r="AB300" s="330">
        <v>47</v>
      </c>
      <c r="AC300" s="330">
        <v>11</v>
      </c>
      <c r="AD300" s="334">
        <v>2721</v>
      </c>
      <c r="AE300" s="334">
        <v>20</v>
      </c>
      <c r="AF300" s="334">
        <v>12</v>
      </c>
      <c r="AG300" s="334">
        <v>32</v>
      </c>
    </row>
    <row r="301" spans="1:33" x14ac:dyDescent="0.35">
      <c r="A301" s="329" t="s">
        <v>656</v>
      </c>
      <c r="B301" s="335" t="s">
        <v>657</v>
      </c>
      <c r="C301" s="331">
        <v>7946</v>
      </c>
      <c r="D301" s="331">
        <v>0</v>
      </c>
      <c r="E301" s="331">
        <v>336</v>
      </c>
      <c r="F301" s="331">
        <v>899</v>
      </c>
      <c r="G301" s="331">
        <v>735</v>
      </c>
      <c r="H301" s="331">
        <v>9916</v>
      </c>
      <c r="I301" s="330">
        <v>9181</v>
      </c>
      <c r="J301" s="330">
        <v>26</v>
      </c>
      <c r="K301" s="332">
        <v>115.91</v>
      </c>
      <c r="L301" s="332">
        <v>117.38</v>
      </c>
      <c r="M301" s="332">
        <v>5.08</v>
      </c>
      <c r="N301" s="332">
        <v>118.54</v>
      </c>
      <c r="O301" s="333">
        <v>7514</v>
      </c>
      <c r="P301" s="330">
        <v>107.29</v>
      </c>
      <c r="Q301" s="330">
        <v>105.68</v>
      </c>
      <c r="R301" s="330">
        <v>29.69</v>
      </c>
      <c r="S301" s="330">
        <v>135.49</v>
      </c>
      <c r="T301" s="330">
        <v>1078</v>
      </c>
      <c r="U301" s="330">
        <v>148.25</v>
      </c>
      <c r="V301" s="330">
        <v>385</v>
      </c>
      <c r="W301" s="330">
        <v>184.08</v>
      </c>
      <c r="X301" s="330">
        <v>49</v>
      </c>
      <c r="Y301" s="330">
        <v>0</v>
      </c>
      <c r="Z301" s="330">
        <v>2</v>
      </c>
      <c r="AA301" s="330">
        <v>0</v>
      </c>
      <c r="AB301" s="330">
        <v>6</v>
      </c>
      <c r="AC301" s="330">
        <v>12</v>
      </c>
      <c r="AD301" s="334">
        <v>7890</v>
      </c>
      <c r="AE301" s="334">
        <v>45</v>
      </c>
      <c r="AF301" s="334">
        <v>27</v>
      </c>
      <c r="AG301" s="334">
        <v>72</v>
      </c>
    </row>
    <row r="302" spans="1:33" x14ac:dyDescent="0.35">
      <c r="A302" s="329" t="s">
        <v>658</v>
      </c>
      <c r="B302" s="335" t="s">
        <v>659</v>
      </c>
      <c r="C302" s="331">
        <v>2161</v>
      </c>
      <c r="D302" s="331">
        <v>2</v>
      </c>
      <c r="E302" s="331">
        <v>31</v>
      </c>
      <c r="F302" s="331">
        <v>322</v>
      </c>
      <c r="G302" s="331">
        <v>120</v>
      </c>
      <c r="H302" s="331">
        <v>2636</v>
      </c>
      <c r="I302" s="330">
        <v>2516</v>
      </c>
      <c r="J302" s="330">
        <v>0</v>
      </c>
      <c r="K302" s="332">
        <v>84.94</v>
      </c>
      <c r="L302" s="332">
        <v>81.52</v>
      </c>
      <c r="M302" s="332">
        <v>2.62</v>
      </c>
      <c r="N302" s="332">
        <v>86.74</v>
      </c>
      <c r="O302" s="333">
        <v>1930</v>
      </c>
      <c r="P302" s="330">
        <v>81.239999999999995</v>
      </c>
      <c r="Q302" s="330">
        <v>73.64</v>
      </c>
      <c r="R302" s="330">
        <v>18.670000000000002</v>
      </c>
      <c r="S302" s="330">
        <v>99.77</v>
      </c>
      <c r="T302" s="330">
        <v>277</v>
      </c>
      <c r="U302" s="330">
        <v>115.95</v>
      </c>
      <c r="V302" s="330">
        <v>160</v>
      </c>
      <c r="W302" s="330">
        <v>85.03</v>
      </c>
      <c r="X302" s="330">
        <v>4</v>
      </c>
      <c r="Y302" s="330">
        <v>0</v>
      </c>
      <c r="Z302" s="330">
        <v>0</v>
      </c>
      <c r="AA302" s="330">
        <v>4</v>
      </c>
      <c r="AB302" s="330">
        <v>11</v>
      </c>
      <c r="AC302" s="330">
        <v>4</v>
      </c>
      <c r="AD302" s="334">
        <v>2075</v>
      </c>
      <c r="AE302" s="334">
        <v>15</v>
      </c>
      <c r="AF302" s="334">
        <v>5</v>
      </c>
      <c r="AG302" s="334">
        <v>20</v>
      </c>
    </row>
    <row r="303" spans="1:33" x14ac:dyDescent="0.35">
      <c r="A303" s="329" t="s">
        <v>660</v>
      </c>
      <c r="B303" s="335" t="s">
        <v>661</v>
      </c>
      <c r="C303" s="331">
        <v>876</v>
      </c>
      <c r="D303" s="331">
        <v>4</v>
      </c>
      <c r="E303" s="331">
        <v>199</v>
      </c>
      <c r="F303" s="331">
        <v>371</v>
      </c>
      <c r="G303" s="331">
        <v>373</v>
      </c>
      <c r="H303" s="331">
        <v>1823</v>
      </c>
      <c r="I303" s="330">
        <v>1450</v>
      </c>
      <c r="J303" s="330">
        <v>0</v>
      </c>
      <c r="K303" s="332">
        <v>90.51</v>
      </c>
      <c r="L303" s="332">
        <v>88.76</v>
      </c>
      <c r="M303" s="332">
        <v>4.88</v>
      </c>
      <c r="N303" s="332">
        <v>93.69</v>
      </c>
      <c r="O303" s="333">
        <v>553</v>
      </c>
      <c r="P303" s="330">
        <v>99.96</v>
      </c>
      <c r="Q303" s="330">
        <v>84.62</v>
      </c>
      <c r="R303" s="330">
        <v>39.26</v>
      </c>
      <c r="S303" s="330">
        <v>139.22</v>
      </c>
      <c r="T303" s="330">
        <v>484</v>
      </c>
      <c r="U303" s="330">
        <v>105.73</v>
      </c>
      <c r="V303" s="330">
        <v>268</v>
      </c>
      <c r="W303" s="330">
        <v>0</v>
      </c>
      <c r="X303" s="330">
        <v>0</v>
      </c>
      <c r="Y303" s="330">
        <v>0</v>
      </c>
      <c r="Z303" s="330">
        <v>0</v>
      </c>
      <c r="AA303" s="330">
        <v>2</v>
      </c>
      <c r="AB303" s="330">
        <v>12</v>
      </c>
      <c r="AC303" s="330">
        <v>3</v>
      </c>
      <c r="AD303" s="334">
        <v>866</v>
      </c>
      <c r="AE303" s="334">
        <v>5</v>
      </c>
      <c r="AF303" s="334">
        <v>2</v>
      </c>
      <c r="AG303" s="334">
        <v>7</v>
      </c>
    </row>
    <row r="304" spans="1:33" x14ac:dyDescent="0.35">
      <c r="A304" s="329" t="s">
        <v>662</v>
      </c>
      <c r="B304" s="335" t="s">
        <v>663</v>
      </c>
      <c r="C304" s="331">
        <v>4313</v>
      </c>
      <c r="D304" s="331">
        <v>0</v>
      </c>
      <c r="E304" s="331">
        <v>130</v>
      </c>
      <c r="F304" s="331">
        <v>422</v>
      </c>
      <c r="G304" s="331">
        <v>351</v>
      </c>
      <c r="H304" s="331">
        <v>5216</v>
      </c>
      <c r="I304" s="330">
        <v>4865</v>
      </c>
      <c r="J304" s="330">
        <v>0</v>
      </c>
      <c r="K304" s="332">
        <v>77.67</v>
      </c>
      <c r="L304" s="332">
        <v>78.400000000000006</v>
      </c>
      <c r="M304" s="332">
        <v>5.14</v>
      </c>
      <c r="N304" s="332">
        <v>79.14</v>
      </c>
      <c r="O304" s="333">
        <v>3886</v>
      </c>
      <c r="P304" s="330">
        <v>75.06</v>
      </c>
      <c r="Q304" s="330">
        <v>75.16</v>
      </c>
      <c r="R304" s="330">
        <v>35.369999999999997</v>
      </c>
      <c r="S304" s="330">
        <v>109.99</v>
      </c>
      <c r="T304" s="330">
        <v>492</v>
      </c>
      <c r="U304" s="330">
        <v>99.85</v>
      </c>
      <c r="V304" s="330">
        <v>405</v>
      </c>
      <c r="W304" s="330">
        <v>113.38</v>
      </c>
      <c r="X304" s="330">
        <v>24</v>
      </c>
      <c r="Y304" s="330">
        <v>0</v>
      </c>
      <c r="Z304" s="330">
        <v>9</v>
      </c>
      <c r="AA304" s="330">
        <v>1</v>
      </c>
      <c r="AB304" s="330">
        <v>27</v>
      </c>
      <c r="AC304" s="330">
        <v>2</v>
      </c>
      <c r="AD304" s="334">
        <v>4260</v>
      </c>
      <c r="AE304" s="334">
        <v>54</v>
      </c>
      <c r="AF304" s="334">
        <v>38</v>
      </c>
      <c r="AG304" s="334">
        <v>92</v>
      </c>
    </row>
    <row r="305" spans="1:33" x14ac:dyDescent="0.35">
      <c r="A305" s="336" t="s">
        <v>800</v>
      </c>
      <c r="B305" s="336" t="s">
        <v>798</v>
      </c>
      <c r="C305" s="330">
        <v>11508</v>
      </c>
      <c r="D305" s="330">
        <v>9</v>
      </c>
      <c r="E305" s="330">
        <v>477</v>
      </c>
      <c r="F305" s="330">
        <v>2364</v>
      </c>
      <c r="G305" s="330">
        <v>2396</v>
      </c>
      <c r="H305" s="330">
        <v>16754</v>
      </c>
      <c r="I305" s="330">
        <v>14358</v>
      </c>
      <c r="J305" s="330">
        <v>0</v>
      </c>
      <c r="K305" s="330">
        <v>95.75</v>
      </c>
      <c r="L305" s="330">
        <v>96.04</v>
      </c>
      <c r="M305" s="330">
        <v>5.96</v>
      </c>
      <c r="N305" s="330">
        <v>99.59</v>
      </c>
      <c r="O305" s="330">
        <v>9299</v>
      </c>
      <c r="P305" s="330">
        <v>94.43</v>
      </c>
      <c r="Q305" s="330">
        <v>92.15</v>
      </c>
      <c r="R305" s="330">
        <v>38.9</v>
      </c>
      <c r="S305" s="330">
        <v>124.04</v>
      </c>
      <c r="T305" s="330">
        <v>2706</v>
      </c>
      <c r="U305" s="330">
        <v>123.37</v>
      </c>
      <c r="V305" s="330">
        <v>1796</v>
      </c>
      <c r="W305" s="330">
        <v>170.12</v>
      </c>
      <c r="X305" s="330">
        <v>77</v>
      </c>
      <c r="Y305" s="330">
        <v>0</v>
      </c>
      <c r="Z305" s="330">
        <v>60</v>
      </c>
      <c r="AA305" s="330">
        <v>3</v>
      </c>
      <c r="AB305" s="330">
        <v>150</v>
      </c>
      <c r="AC305" s="330">
        <v>32</v>
      </c>
      <c r="AD305" s="330">
        <v>11241</v>
      </c>
      <c r="AE305" s="330">
        <v>123</v>
      </c>
      <c r="AF305" s="330">
        <v>74</v>
      </c>
      <c r="AG305" s="330">
        <v>197</v>
      </c>
    </row>
    <row r="306" spans="1:33" x14ac:dyDescent="0.35">
      <c r="A306" s="329" t="s">
        <v>664</v>
      </c>
      <c r="B306" s="335" t="s">
        <v>665</v>
      </c>
      <c r="C306" s="331">
        <v>5973</v>
      </c>
      <c r="D306" s="331">
        <v>2</v>
      </c>
      <c r="E306" s="331">
        <v>144</v>
      </c>
      <c r="F306" s="331">
        <v>159</v>
      </c>
      <c r="G306" s="331">
        <v>810</v>
      </c>
      <c r="H306" s="331">
        <v>7088</v>
      </c>
      <c r="I306" s="330">
        <v>6278</v>
      </c>
      <c r="J306" s="330">
        <v>26</v>
      </c>
      <c r="K306" s="332">
        <v>107.99</v>
      </c>
      <c r="L306" s="332">
        <v>109.99</v>
      </c>
      <c r="M306" s="332">
        <v>4.8</v>
      </c>
      <c r="N306" s="332">
        <v>109.96</v>
      </c>
      <c r="O306" s="333">
        <v>4956</v>
      </c>
      <c r="P306" s="330">
        <v>94.56</v>
      </c>
      <c r="Q306" s="330">
        <v>87.9</v>
      </c>
      <c r="R306" s="330">
        <v>65.099999999999994</v>
      </c>
      <c r="S306" s="330">
        <v>155.30000000000001</v>
      </c>
      <c r="T306" s="330">
        <v>298</v>
      </c>
      <c r="U306" s="330">
        <v>166.54</v>
      </c>
      <c r="V306" s="330">
        <v>915</v>
      </c>
      <c r="W306" s="330">
        <v>0</v>
      </c>
      <c r="X306" s="330">
        <v>0</v>
      </c>
      <c r="Y306" s="330">
        <v>18</v>
      </c>
      <c r="Z306" s="330">
        <v>3</v>
      </c>
      <c r="AA306" s="330">
        <v>2</v>
      </c>
      <c r="AB306" s="330">
        <v>53</v>
      </c>
      <c r="AC306" s="330">
        <v>6</v>
      </c>
      <c r="AD306" s="334">
        <v>5847</v>
      </c>
      <c r="AE306" s="334">
        <v>57</v>
      </c>
      <c r="AF306" s="334">
        <v>25</v>
      </c>
      <c r="AG306" s="334">
        <v>82</v>
      </c>
    </row>
    <row r="307" spans="1:33" x14ac:dyDescent="0.35">
      <c r="A307" s="329" t="s">
        <v>666</v>
      </c>
      <c r="B307" s="335" t="s">
        <v>667</v>
      </c>
      <c r="C307" s="330">
        <v>10796</v>
      </c>
      <c r="D307" s="330">
        <v>0</v>
      </c>
      <c r="E307" s="330">
        <v>432</v>
      </c>
      <c r="F307" s="330">
        <v>1126</v>
      </c>
      <c r="G307" s="330">
        <v>761</v>
      </c>
      <c r="H307" s="330">
        <v>13115</v>
      </c>
      <c r="I307" s="330">
        <v>12354</v>
      </c>
      <c r="J307" s="330">
        <v>0</v>
      </c>
      <c r="K307" s="330">
        <v>89.7</v>
      </c>
      <c r="L307" s="332">
        <v>89.74</v>
      </c>
      <c r="M307" s="332">
        <v>4.49</v>
      </c>
      <c r="N307" s="332">
        <v>90.95</v>
      </c>
      <c r="O307" s="333">
        <v>8855</v>
      </c>
      <c r="P307" s="330">
        <v>87.16</v>
      </c>
      <c r="Q307" s="330">
        <v>85.98</v>
      </c>
      <c r="R307" s="330">
        <v>40.729999999999997</v>
      </c>
      <c r="S307" s="330">
        <v>126.54</v>
      </c>
      <c r="T307" s="330">
        <v>1537</v>
      </c>
      <c r="U307" s="330">
        <v>127.92</v>
      </c>
      <c r="V307" s="330">
        <v>1755</v>
      </c>
      <c r="W307" s="330">
        <v>103.62</v>
      </c>
      <c r="X307" s="330">
        <v>21</v>
      </c>
      <c r="Y307" s="330">
        <v>29</v>
      </c>
      <c r="Z307" s="330">
        <v>23</v>
      </c>
      <c r="AA307" s="330">
        <v>7</v>
      </c>
      <c r="AB307" s="330">
        <v>99</v>
      </c>
      <c r="AC307" s="330">
        <v>14</v>
      </c>
      <c r="AD307" s="330">
        <v>10792</v>
      </c>
      <c r="AE307" s="330">
        <v>96</v>
      </c>
      <c r="AF307" s="330">
        <v>50</v>
      </c>
      <c r="AG307" s="330">
        <v>146</v>
      </c>
    </row>
    <row r="308" spans="1:33" x14ac:dyDescent="0.35">
      <c r="A308" s="329" t="s">
        <v>668</v>
      </c>
      <c r="B308" s="335" t="s">
        <v>669</v>
      </c>
      <c r="C308" s="331">
        <v>12785</v>
      </c>
      <c r="D308" s="331">
        <v>420</v>
      </c>
      <c r="E308" s="331">
        <v>1203</v>
      </c>
      <c r="F308" s="331">
        <v>759</v>
      </c>
      <c r="G308" s="331">
        <v>547</v>
      </c>
      <c r="H308" s="331">
        <v>15714</v>
      </c>
      <c r="I308" s="330">
        <v>15167</v>
      </c>
      <c r="J308" s="330">
        <v>69</v>
      </c>
      <c r="K308" s="332">
        <v>129.08000000000001</v>
      </c>
      <c r="L308" s="332">
        <v>140.83000000000001</v>
      </c>
      <c r="M308" s="332">
        <v>12.69</v>
      </c>
      <c r="N308" s="332">
        <v>139.62</v>
      </c>
      <c r="O308" s="333">
        <v>9713</v>
      </c>
      <c r="P308" s="330">
        <v>109.17</v>
      </c>
      <c r="Q308" s="330">
        <v>115.06</v>
      </c>
      <c r="R308" s="330">
        <v>67.95</v>
      </c>
      <c r="S308" s="330">
        <v>164.32</v>
      </c>
      <c r="T308" s="330">
        <v>1767</v>
      </c>
      <c r="U308" s="330">
        <v>209.52</v>
      </c>
      <c r="V308" s="330">
        <v>737</v>
      </c>
      <c r="W308" s="330">
        <v>143.47999999999999</v>
      </c>
      <c r="X308" s="330">
        <v>2</v>
      </c>
      <c r="Y308" s="330">
        <v>0</v>
      </c>
      <c r="Z308" s="330">
        <v>1</v>
      </c>
      <c r="AA308" s="330">
        <v>1</v>
      </c>
      <c r="AB308" s="330">
        <v>0</v>
      </c>
      <c r="AC308" s="330">
        <v>12</v>
      </c>
      <c r="AD308" s="334">
        <v>11112</v>
      </c>
      <c r="AE308" s="334">
        <v>44</v>
      </c>
      <c r="AF308" s="334">
        <v>95</v>
      </c>
      <c r="AG308" s="334">
        <v>139</v>
      </c>
    </row>
    <row r="309" spans="1:33" x14ac:dyDescent="0.35">
      <c r="A309" s="329" t="s">
        <v>670</v>
      </c>
      <c r="B309" s="335" t="s">
        <v>671</v>
      </c>
      <c r="C309" s="331">
        <v>2410</v>
      </c>
      <c r="D309" s="331">
        <v>0</v>
      </c>
      <c r="E309" s="331">
        <v>927</v>
      </c>
      <c r="F309" s="331">
        <v>831</v>
      </c>
      <c r="G309" s="331">
        <v>342</v>
      </c>
      <c r="H309" s="331">
        <v>4510</v>
      </c>
      <c r="I309" s="330">
        <v>4168</v>
      </c>
      <c r="J309" s="330">
        <v>0</v>
      </c>
      <c r="K309" s="332">
        <v>78.2</v>
      </c>
      <c r="L309" s="332">
        <v>74.67</v>
      </c>
      <c r="M309" s="332">
        <v>5.57</v>
      </c>
      <c r="N309" s="332">
        <v>81.37</v>
      </c>
      <c r="O309" s="333">
        <v>1729</v>
      </c>
      <c r="P309" s="330">
        <v>91.08</v>
      </c>
      <c r="Q309" s="330">
        <v>79.73</v>
      </c>
      <c r="R309" s="330">
        <v>83.65</v>
      </c>
      <c r="S309" s="330">
        <v>173.2</v>
      </c>
      <c r="T309" s="330">
        <v>1586</v>
      </c>
      <c r="U309" s="330">
        <v>96.81</v>
      </c>
      <c r="V309" s="330">
        <v>602</v>
      </c>
      <c r="W309" s="330">
        <v>0</v>
      </c>
      <c r="X309" s="330">
        <v>0</v>
      </c>
      <c r="Y309" s="330">
        <v>0</v>
      </c>
      <c r="Z309" s="330">
        <v>1</v>
      </c>
      <c r="AA309" s="330">
        <v>5</v>
      </c>
      <c r="AB309" s="330">
        <v>76</v>
      </c>
      <c r="AC309" s="330">
        <v>9</v>
      </c>
      <c r="AD309" s="334">
        <v>2361</v>
      </c>
      <c r="AE309" s="334">
        <v>47</v>
      </c>
      <c r="AF309" s="334">
        <v>11</v>
      </c>
      <c r="AG309" s="334">
        <v>58</v>
      </c>
    </row>
    <row r="310" spans="1:33" x14ac:dyDescent="0.35">
      <c r="A310" s="329" t="s">
        <v>672</v>
      </c>
      <c r="B310" s="335" t="s">
        <v>673</v>
      </c>
      <c r="C310" s="331">
        <v>22223</v>
      </c>
      <c r="D310" s="331">
        <v>25</v>
      </c>
      <c r="E310" s="331">
        <v>646</v>
      </c>
      <c r="F310" s="331">
        <v>3041</v>
      </c>
      <c r="G310" s="331">
        <v>1945</v>
      </c>
      <c r="H310" s="331">
        <v>27880</v>
      </c>
      <c r="I310" s="330">
        <v>25935</v>
      </c>
      <c r="J310" s="330">
        <v>12</v>
      </c>
      <c r="K310" s="332">
        <v>97.56</v>
      </c>
      <c r="L310" s="332">
        <v>96.57</v>
      </c>
      <c r="M310" s="332">
        <v>3.68</v>
      </c>
      <c r="N310" s="332">
        <v>99.65</v>
      </c>
      <c r="O310" s="333">
        <v>18528</v>
      </c>
      <c r="P310" s="330">
        <v>91.87</v>
      </c>
      <c r="Q310" s="330">
        <v>89.81</v>
      </c>
      <c r="R310" s="330">
        <v>25.71</v>
      </c>
      <c r="S310" s="330">
        <v>116.57</v>
      </c>
      <c r="T310" s="330">
        <v>3265</v>
      </c>
      <c r="U310" s="330">
        <v>128.38999999999999</v>
      </c>
      <c r="V310" s="330">
        <v>3030</v>
      </c>
      <c r="W310" s="330">
        <v>162.72999999999999</v>
      </c>
      <c r="X310" s="330">
        <v>72</v>
      </c>
      <c r="Y310" s="330">
        <v>230</v>
      </c>
      <c r="Z310" s="330">
        <v>13</v>
      </c>
      <c r="AA310" s="330">
        <v>80</v>
      </c>
      <c r="AB310" s="330">
        <v>157</v>
      </c>
      <c r="AC310" s="330">
        <v>54</v>
      </c>
      <c r="AD310" s="334">
        <v>21566</v>
      </c>
      <c r="AE310" s="334">
        <v>146</v>
      </c>
      <c r="AF310" s="334">
        <v>138</v>
      </c>
      <c r="AG310" s="334">
        <v>284</v>
      </c>
    </row>
    <row r="311" spans="1:33" x14ac:dyDescent="0.35">
      <c r="A311" s="329" t="s">
        <v>674</v>
      </c>
      <c r="B311" s="335" t="s">
        <v>675</v>
      </c>
      <c r="C311" s="331">
        <v>2408</v>
      </c>
      <c r="D311" s="331">
        <v>6</v>
      </c>
      <c r="E311" s="331">
        <v>195</v>
      </c>
      <c r="F311" s="331">
        <v>239</v>
      </c>
      <c r="G311" s="331">
        <v>435</v>
      </c>
      <c r="H311" s="331">
        <v>3283</v>
      </c>
      <c r="I311" s="330">
        <v>2848</v>
      </c>
      <c r="J311" s="330">
        <v>0</v>
      </c>
      <c r="K311" s="332">
        <v>111.61</v>
      </c>
      <c r="L311" s="332">
        <v>108.29</v>
      </c>
      <c r="M311" s="332">
        <v>7.35</v>
      </c>
      <c r="N311" s="332">
        <v>118.37</v>
      </c>
      <c r="O311" s="333">
        <v>1749</v>
      </c>
      <c r="P311" s="330">
        <v>101.44</v>
      </c>
      <c r="Q311" s="330">
        <v>95.13</v>
      </c>
      <c r="R311" s="330">
        <v>35.340000000000003</v>
      </c>
      <c r="S311" s="330">
        <v>134.1</v>
      </c>
      <c r="T311" s="330">
        <v>382</v>
      </c>
      <c r="U311" s="330">
        <v>164.89</v>
      </c>
      <c r="V311" s="330">
        <v>503</v>
      </c>
      <c r="W311" s="330">
        <v>0</v>
      </c>
      <c r="X311" s="330">
        <v>0</v>
      </c>
      <c r="Y311" s="330">
        <v>0</v>
      </c>
      <c r="Z311" s="330">
        <v>0</v>
      </c>
      <c r="AA311" s="330">
        <v>3</v>
      </c>
      <c r="AB311" s="330">
        <v>27</v>
      </c>
      <c r="AC311" s="330">
        <v>12</v>
      </c>
      <c r="AD311" s="334">
        <v>2223</v>
      </c>
      <c r="AE311" s="334">
        <v>10</v>
      </c>
      <c r="AF311" s="334">
        <v>3</v>
      </c>
      <c r="AG311" s="334">
        <v>13</v>
      </c>
    </row>
    <row r="312" spans="1:33" x14ac:dyDescent="0.35">
      <c r="A312" s="329" t="s">
        <v>676</v>
      </c>
      <c r="B312" s="335" t="s">
        <v>677</v>
      </c>
      <c r="C312" s="331">
        <v>6819</v>
      </c>
      <c r="D312" s="331">
        <v>0</v>
      </c>
      <c r="E312" s="331">
        <v>131</v>
      </c>
      <c r="F312" s="331">
        <v>892</v>
      </c>
      <c r="G312" s="331">
        <v>306</v>
      </c>
      <c r="H312" s="331">
        <v>8148</v>
      </c>
      <c r="I312" s="330">
        <v>7842</v>
      </c>
      <c r="J312" s="330">
        <v>0</v>
      </c>
      <c r="K312" s="332">
        <v>119.66</v>
      </c>
      <c r="L312" s="332">
        <v>120.96</v>
      </c>
      <c r="M312" s="332">
        <v>8.65</v>
      </c>
      <c r="N312" s="332">
        <v>123.42</v>
      </c>
      <c r="O312" s="333">
        <v>6401</v>
      </c>
      <c r="P312" s="330">
        <v>107.98</v>
      </c>
      <c r="Q312" s="330">
        <v>107.69</v>
      </c>
      <c r="R312" s="330">
        <v>26.86</v>
      </c>
      <c r="S312" s="330">
        <v>132.94</v>
      </c>
      <c r="T312" s="330">
        <v>1019</v>
      </c>
      <c r="U312" s="330">
        <v>177.27</v>
      </c>
      <c r="V312" s="330">
        <v>330</v>
      </c>
      <c r="W312" s="330">
        <v>142.4</v>
      </c>
      <c r="X312" s="330">
        <v>1</v>
      </c>
      <c r="Y312" s="330">
        <v>3</v>
      </c>
      <c r="Z312" s="330">
        <v>0</v>
      </c>
      <c r="AA312" s="330">
        <v>2</v>
      </c>
      <c r="AB312" s="330">
        <v>12</v>
      </c>
      <c r="AC312" s="330">
        <v>6</v>
      </c>
      <c r="AD312" s="334">
        <v>6816</v>
      </c>
      <c r="AE312" s="334">
        <v>45</v>
      </c>
      <c r="AF312" s="334">
        <v>16</v>
      </c>
      <c r="AG312" s="334">
        <v>61</v>
      </c>
    </row>
    <row r="313" spans="1:33" x14ac:dyDescent="0.35">
      <c r="A313" s="329" t="s">
        <v>678</v>
      </c>
      <c r="B313" s="335" t="s">
        <v>679</v>
      </c>
      <c r="C313" s="331">
        <v>17759</v>
      </c>
      <c r="D313" s="331">
        <v>25</v>
      </c>
      <c r="E313" s="331">
        <v>1312</v>
      </c>
      <c r="F313" s="331">
        <v>3720</v>
      </c>
      <c r="G313" s="331">
        <v>462</v>
      </c>
      <c r="H313" s="331">
        <v>23278</v>
      </c>
      <c r="I313" s="330">
        <v>22816</v>
      </c>
      <c r="J313" s="330">
        <v>64</v>
      </c>
      <c r="K313" s="332">
        <v>84.73</v>
      </c>
      <c r="L313" s="332">
        <v>82.14</v>
      </c>
      <c r="M313" s="332">
        <v>7.8</v>
      </c>
      <c r="N313" s="332">
        <v>87.49</v>
      </c>
      <c r="O313" s="333">
        <v>13832</v>
      </c>
      <c r="P313" s="330">
        <v>85.37</v>
      </c>
      <c r="Q313" s="330">
        <v>76.38</v>
      </c>
      <c r="R313" s="330">
        <v>28.02</v>
      </c>
      <c r="S313" s="330">
        <v>112.49</v>
      </c>
      <c r="T313" s="330">
        <v>3805</v>
      </c>
      <c r="U313" s="330">
        <v>106.85</v>
      </c>
      <c r="V313" s="330">
        <v>2078</v>
      </c>
      <c r="W313" s="330">
        <v>140.94</v>
      </c>
      <c r="X313" s="330">
        <v>147</v>
      </c>
      <c r="Y313" s="330">
        <v>0</v>
      </c>
      <c r="Z313" s="330">
        <v>64</v>
      </c>
      <c r="AA313" s="330">
        <v>8</v>
      </c>
      <c r="AB313" s="330">
        <v>39</v>
      </c>
      <c r="AC313" s="330">
        <v>9</v>
      </c>
      <c r="AD313" s="334">
        <v>15795</v>
      </c>
      <c r="AE313" s="334">
        <v>101</v>
      </c>
      <c r="AF313" s="334">
        <v>171</v>
      </c>
      <c r="AG313" s="334">
        <v>272</v>
      </c>
    </row>
    <row r="314" spans="1:33" x14ac:dyDescent="0.35">
      <c r="A314" s="329" t="s">
        <v>680</v>
      </c>
      <c r="B314" s="335" t="s">
        <v>681</v>
      </c>
      <c r="C314" s="331">
        <v>1158</v>
      </c>
      <c r="D314" s="331">
        <v>7</v>
      </c>
      <c r="E314" s="331">
        <v>199</v>
      </c>
      <c r="F314" s="331">
        <v>354</v>
      </c>
      <c r="G314" s="331">
        <v>291</v>
      </c>
      <c r="H314" s="331">
        <v>2009</v>
      </c>
      <c r="I314" s="330">
        <v>1718</v>
      </c>
      <c r="J314" s="330">
        <v>1</v>
      </c>
      <c r="K314" s="332">
        <v>128.72</v>
      </c>
      <c r="L314" s="332">
        <v>117.17</v>
      </c>
      <c r="M314" s="332">
        <v>9.99</v>
      </c>
      <c r="N314" s="332">
        <v>137.36000000000001</v>
      </c>
      <c r="O314" s="333">
        <v>946</v>
      </c>
      <c r="P314" s="330">
        <v>100.76</v>
      </c>
      <c r="Q314" s="330">
        <v>93.78</v>
      </c>
      <c r="R314" s="330">
        <v>32.11</v>
      </c>
      <c r="S314" s="330">
        <v>132.61000000000001</v>
      </c>
      <c r="T314" s="330">
        <v>254</v>
      </c>
      <c r="U314" s="330">
        <v>211.38</v>
      </c>
      <c r="V314" s="330">
        <v>75</v>
      </c>
      <c r="W314" s="330">
        <v>149.5</v>
      </c>
      <c r="X314" s="330">
        <v>27</v>
      </c>
      <c r="Y314" s="330">
        <v>2</v>
      </c>
      <c r="Z314" s="330">
        <v>0</v>
      </c>
      <c r="AA314" s="330">
        <v>0</v>
      </c>
      <c r="AB314" s="330">
        <v>0</v>
      </c>
      <c r="AC314" s="330">
        <v>7</v>
      </c>
      <c r="AD314" s="334">
        <v>1036</v>
      </c>
      <c r="AE314" s="334">
        <v>1</v>
      </c>
      <c r="AF314" s="334">
        <v>3</v>
      </c>
      <c r="AG314" s="334">
        <v>4</v>
      </c>
    </row>
    <row r="315" spans="1:33" x14ac:dyDescent="0.35">
      <c r="A315" s="329" t="s">
        <v>682</v>
      </c>
      <c r="B315" s="335" t="s">
        <v>683</v>
      </c>
      <c r="C315" s="331">
        <v>1980</v>
      </c>
      <c r="D315" s="331">
        <v>0</v>
      </c>
      <c r="E315" s="331">
        <v>193</v>
      </c>
      <c r="F315" s="331">
        <v>223</v>
      </c>
      <c r="G315" s="331">
        <v>1227</v>
      </c>
      <c r="H315" s="331">
        <v>3623</v>
      </c>
      <c r="I315" s="330">
        <v>2396</v>
      </c>
      <c r="J315" s="330">
        <v>1</v>
      </c>
      <c r="K315" s="332">
        <v>129.29</v>
      </c>
      <c r="L315" s="332">
        <v>127.61</v>
      </c>
      <c r="M315" s="332">
        <v>7.21</v>
      </c>
      <c r="N315" s="332">
        <v>135.41</v>
      </c>
      <c r="O315" s="333">
        <v>1782</v>
      </c>
      <c r="P315" s="330">
        <v>109.08</v>
      </c>
      <c r="Q315" s="330">
        <v>109.99</v>
      </c>
      <c r="R315" s="330">
        <v>42.07</v>
      </c>
      <c r="S315" s="330">
        <v>149.56</v>
      </c>
      <c r="T315" s="330">
        <v>292</v>
      </c>
      <c r="U315" s="330">
        <v>163.05000000000001</v>
      </c>
      <c r="V315" s="330">
        <v>153</v>
      </c>
      <c r="W315" s="330">
        <v>0</v>
      </c>
      <c r="X315" s="330">
        <v>0</v>
      </c>
      <c r="Y315" s="330">
        <v>0</v>
      </c>
      <c r="Z315" s="330">
        <v>0</v>
      </c>
      <c r="AA315" s="330">
        <v>0</v>
      </c>
      <c r="AB315" s="330">
        <v>109</v>
      </c>
      <c r="AC315" s="330">
        <v>15</v>
      </c>
      <c r="AD315" s="334">
        <v>1957</v>
      </c>
      <c r="AE315" s="334">
        <v>32</v>
      </c>
      <c r="AF315" s="334">
        <v>14</v>
      </c>
      <c r="AG315" s="334">
        <v>46</v>
      </c>
    </row>
    <row r="316" spans="1:33" x14ac:dyDescent="0.35">
      <c r="A316" s="329" t="s">
        <v>684</v>
      </c>
      <c r="B316" s="335" t="s">
        <v>685</v>
      </c>
      <c r="C316" s="331">
        <v>4540</v>
      </c>
      <c r="D316" s="331">
        <v>4</v>
      </c>
      <c r="E316" s="331">
        <v>596</v>
      </c>
      <c r="F316" s="331">
        <v>1450</v>
      </c>
      <c r="G316" s="331">
        <v>293</v>
      </c>
      <c r="H316" s="331">
        <v>6883</v>
      </c>
      <c r="I316" s="330">
        <v>6590</v>
      </c>
      <c r="J316" s="330">
        <v>0</v>
      </c>
      <c r="K316" s="332">
        <v>87.1</v>
      </c>
      <c r="L316" s="332">
        <v>83.22</v>
      </c>
      <c r="M316" s="332">
        <v>6.98</v>
      </c>
      <c r="N316" s="332">
        <v>92.96</v>
      </c>
      <c r="O316" s="333">
        <v>3898</v>
      </c>
      <c r="P316" s="330">
        <v>97.16</v>
      </c>
      <c r="Q316" s="330">
        <v>88.6</v>
      </c>
      <c r="R316" s="330">
        <v>56.52</v>
      </c>
      <c r="S316" s="330">
        <v>150.09</v>
      </c>
      <c r="T316" s="330">
        <v>1781</v>
      </c>
      <c r="U316" s="330">
        <v>105.91</v>
      </c>
      <c r="V316" s="330">
        <v>487</v>
      </c>
      <c r="W316" s="330">
        <v>170.73</v>
      </c>
      <c r="X316" s="330">
        <v>36</v>
      </c>
      <c r="Y316" s="330">
        <v>0</v>
      </c>
      <c r="Z316" s="330">
        <v>18</v>
      </c>
      <c r="AA316" s="330">
        <v>20</v>
      </c>
      <c r="AB316" s="330">
        <v>5</v>
      </c>
      <c r="AC316" s="330">
        <v>13</v>
      </c>
      <c r="AD316" s="334">
        <v>4540</v>
      </c>
      <c r="AE316" s="334">
        <v>52</v>
      </c>
      <c r="AF316" s="334">
        <v>8</v>
      </c>
      <c r="AG316" s="334">
        <v>60</v>
      </c>
    </row>
    <row r="317" spans="1:33" x14ac:dyDescent="0.35">
      <c r="A317" s="329" t="s">
        <v>686</v>
      </c>
      <c r="B317" s="335" t="s">
        <v>687</v>
      </c>
      <c r="C317" s="331">
        <v>6206</v>
      </c>
      <c r="D317" s="331">
        <v>46</v>
      </c>
      <c r="E317" s="331">
        <v>476</v>
      </c>
      <c r="F317" s="331">
        <v>946</v>
      </c>
      <c r="G317" s="331">
        <v>481</v>
      </c>
      <c r="H317" s="331">
        <v>8155</v>
      </c>
      <c r="I317" s="330">
        <v>7674</v>
      </c>
      <c r="J317" s="330">
        <v>14</v>
      </c>
      <c r="K317" s="332">
        <v>85.43</v>
      </c>
      <c r="L317" s="332">
        <v>86.73</v>
      </c>
      <c r="M317" s="332">
        <v>5.8</v>
      </c>
      <c r="N317" s="332">
        <v>90.79</v>
      </c>
      <c r="O317" s="333">
        <v>5276</v>
      </c>
      <c r="P317" s="330">
        <v>81.430000000000007</v>
      </c>
      <c r="Q317" s="330">
        <v>75.95</v>
      </c>
      <c r="R317" s="330">
        <v>42</v>
      </c>
      <c r="S317" s="330">
        <v>122.66</v>
      </c>
      <c r="T317" s="330">
        <v>1098</v>
      </c>
      <c r="U317" s="330">
        <v>108.98</v>
      </c>
      <c r="V317" s="330">
        <v>860</v>
      </c>
      <c r="W317" s="330">
        <v>195.69</v>
      </c>
      <c r="X317" s="330">
        <v>162</v>
      </c>
      <c r="Y317" s="330">
        <v>0</v>
      </c>
      <c r="Z317" s="330">
        <v>8</v>
      </c>
      <c r="AA317" s="330">
        <v>0</v>
      </c>
      <c r="AB317" s="330">
        <v>8</v>
      </c>
      <c r="AC317" s="330">
        <v>5</v>
      </c>
      <c r="AD317" s="334">
        <v>6142</v>
      </c>
      <c r="AE317" s="334">
        <v>23</v>
      </c>
      <c r="AF317" s="334">
        <v>16</v>
      </c>
      <c r="AG317" s="334">
        <v>39</v>
      </c>
    </row>
    <row r="318" spans="1:33" x14ac:dyDescent="0.35">
      <c r="A318" s="329" t="s">
        <v>688</v>
      </c>
      <c r="B318" s="335" t="s">
        <v>689</v>
      </c>
      <c r="C318" s="331">
        <v>4040</v>
      </c>
      <c r="D318" s="331">
        <v>15</v>
      </c>
      <c r="E318" s="331">
        <v>235</v>
      </c>
      <c r="F318" s="331">
        <v>556</v>
      </c>
      <c r="G318" s="331">
        <v>184</v>
      </c>
      <c r="H318" s="331">
        <v>5030</v>
      </c>
      <c r="I318" s="330">
        <v>4846</v>
      </c>
      <c r="J318" s="330">
        <v>32</v>
      </c>
      <c r="K318" s="332">
        <v>99.77</v>
      </c>
      <c r="L318" s="332">
        <v>98.34</v>
      </c>
      <c r="M318" s="332">
        <v>6.93</v>
      </c>
      <c r="N318" s="332">
        <v>104.08</v>
      </c>
      <c r="O318" s="333">
        <v>3699</v>
      </c>
      <c r="P318" s="330">
        <v>87.79</v>
      </c>
      <c r="Q318" s="330">
        <v>82.98</v>
      </c>
      <c r="R318" s="330">
        <v>34.79</v>
      </c>
      <c r="S318" s="330">
        <v>121.51</v>
      </c>
      <c r="T318" s="330">
        <v>552</v>
      </c>
      <c r="U318" s="330">
        <v>147.66999999999999</v>
      </c>
      <c r="V318" s="330">
        <v>221</v>
      </c>
      <c r="W318" s="330">
        <v>135.07</v>
      </c>
      <c r="X318" s="330">
        <v>35</v>
      </c>
      <c r="Y318" s="330">
        <v>0</v>
      </c>
      <c r="Z318" s="330">
        <v>5</v>
      </c>
      <c r="AA318" s="330">
        <v>0</v>
      </c>
      <c r="AB318" s="330">
        <v>37</v>
      </c>
      <c r="AC318" s="330">
        <v>3</v>
      </c>
      <c r="AD318" s="334">
        <v>4024</v>
      </c>
      <c r="AE318" s="334">
        <v>15</v>
      </c>
      <c r="AF318" s="334">
        <v>7</v>
      </c>
      <c r="AG318" s="334">
        <v>22</v>
      </c>
    </row>
    <row r="319" spans="1:33" x14ac:dyDescent="0.35">
      <c r="A319" s="329" t="s">
        <v>690</v>
      </c>
      <c r="B319" s="335" t="s">
        <v>691</v>
      </c>
      <c r="C319" s="331">
        <v>7961</v>
      </c>
      <c r="D319" s="331">
        <v>7</v>
      </c>
      <c r="E319" s="331">
        <v>108</v>
      </c>
      <c r="F319" s="331">
        <v>898</v>
      </c>
      <c r="G319" s="331">
        <v>627</v>
      </c>
      <c r="H319" s="331">
        <v>9601</v>
      </c>
      <c r="I319" s="330">
        <v>8974</v>
      </c>
      <c r="J319" s="330">
        <v>1</v>
      </c>
      <c r="K319" s="332">
        <v>92.76</v>
      </c>
      <c r="L319" s="332">
        <v>91.02</v>
      </c>
      <c r="M319" s="332">
        <v>4.17</v>
      </c>
      <c r="N319" s="332">
        <v>95</v>
      </c>
      <c r="O319" s="333">
        <v>6815</v>
      </c>
      <c r="P319" s="330">
        <v>84.29</v>
      </c>
      <c r="Q319" s="330">
        <v>85.73</v>
      </c>
      <c r="R319" s="330">
        <v>34.03</v>
      </c>
      <c r="S319" s="330">
        <v>116.94</v>
      </c>
      <c r="T319" s="330">
        <v>859</v>
      </c>
      <c r="U319" s="330">
        <v>114.76</v>
      </c>
      <c r="V319" s="330">
        <v>1145</v>
      </c>
      <c r="W319" s="330">
        <v>222.03</v>
      </c>
      <c r="X319" s="330">
        <v>84</v>
      </c>
      <c r="Y319" s="330">
        <v>0</v>
      </c>
      <c r="Z319" s="330">
        <v>57</v>
      </c>
      <c r="AA319" s="330">
        <v>0</v>
      </c>
      <c r="AB319" s="330">
        <v>44</v>
      </c>
      <c r="AC319" s="330">
        <v>6</v>
      </c>
      <c r="AD319" s="334">
        <v>7961</v>
      </c>
      <c r="AE319" s="334">
        <v>42</v>
      </c>
      <c r="AF319" s="334">
        <v>16</v>
      </c>
      <c r="AG319" s="334">
        <v>58</v>
      </c>
    </row>
    <row r="320" spans="1:33" x14ac:dyDescent="0.35">
      <c r="A320" s="330" t="s">
        <v>692</v>
      </c>
      <c r="B320" s="331" t="s">
        <v>693</v>
      </c>
      <c r="C320" s="335">
        <v>3239</v>
      </c>
      <c r="D320" s="335">
        <v>0</v>
      </c>
      <c r="E320" s="335">
        <v>260</v>
      </c>
      <c r="F320" s="335">
        <v>387</v>
      </c>
      <c r="G320" s="335">
        <v>239</v>
      </c>
      <c r="H320" s="335">
        <v>4125</v>
      </c>
      <c r="I320" s="329">
        <v>3886</v>
      </c>
      <c r="J320" s="329">
        <v>3</v>
      </c>
      <c r="K320" s="338">
        <v>84.93</v>
      </c>
      <c r="L320" s="338">
        <v>84.48</v>
      </c>
      <c r="M320" s="338">
        <v>4.1900000000000004</v>
      </c>
      <c r="N320" s="338">
        <v>87.38</v>
      </c>
      <c r="O320" s="339">
        <v>2840</v>
      </c>
      <c r="P320" s="329">
        <v>98</v>
      </c>
      <c r="Q320" s="329">
        <v>84.03</v>
      </c>
      <c r="R320" s="329">
        <v>36.85</v>
      </c>
      <c r="S320" s="329">
        <v>134.72</v>
      </c>
      <c r="T320" s="329">
        <v>580</v>
      </c>
      <c r="U320" s="329">
        <v>105.78</v>
      </c>
      <c r="V320" s="329">
        <v>341</v>
      </c>
      <c r="W320" s="329">
        <v>0</v>
      </c>
      <c r="X320" s="329">
        <v>0</v>
      </c>
      <c r="Y320" s="329">
        <v>0</v>
      </c>
      <c r="Z320" s="329">
        <v>4</v>
      </c>
      <c r="AA320" s="329">
        <v>6</v>
      </c>
      <c r="AB320" s="329">
        <v>9</v>
      </c>
      <c r="AC320" s="329">
        <v>8</v>
      </c>
      <c r="AD320" s="340">
        <v>3195</v>
      </c>
      <c r="AE320" s="340">
        <v>25</v>
      </c>
      <c r="AF320" s="340">
        <v>35</v>
      </c>
      <c r="AG320" s="340">
        <v>60</v>
      </c>
    </row>
    <row r="321" spans="1:33" x14ac:dyDescent="0.35">
      <c r="A321" s="329" t="s">
        <v>694</v>
      </c>
      <c r="B321" s="335" t="s">
        <v>695</v>
      </c>
      <c r="C321" s="335">
        <v>4401</v>
      </c>
      <c r="D321" s="335">
        <v>0</v>
      </c>
      <c r="E321" s="335">
        <v>2197</v>
      </c>
      <c r="F321" s="335">
        <v>58</v>
      </c>
      <c r="G321" s="335">
        <v>443</v>
      </c>
      <c r="H321" s="335">
        <v>7099</v>
      </c>
      <c r="I321" s="329">
        <v>6656</v>
      </c>
      <c r="J321" s="329">
        <v>0</v>
      </c>
      <c r="K321" s="338">
        <v>86.63</v>
      </c>
      <c r="L321" s="338">
        <v>83.96</v>
      </c>
      <c r="M321" s="338">
        <v>4.5199999999999996</v>
      </c>
      <c r="N321" s="338">
        <v>90.97</v>
      </c>
      <c r="O321" s="339">
        <v>4048</v>
      </c>
      <c r="P321" s="329">
        <v>83.36</v>
      </c>
      <c r="Q321" s="329">
        <v>77.41</v>
      </c>
      <c r="R321" s="329">
        <v>16.91</v>
      </c>
      <c r="S321" s="329">
        <v>100.26</v>
      </c>
      <c r="T321" s="329">
        <v>2122</v>
      </c>
      <c r="U321" s="329">
        <v>97.75</v>
      </c>
      <c r="V321" s="329">
        <v>326</v>
      </c>
      <c r="W321" s="329">
        <v>200.22</v>
      </c>
      <c r="X321" s="329">
        <v>126</v>
      </c>
      <c r="Y321" s="329">
        <v>0</v>
      </c>
      <c r="Z321" s="329">
        <v>38</v>
      </c>
      <c r="AA321" s="329">
        <v>11</v>
      </c>
      <c r="AB321" s="329">
        <v>20</v>
      </c>
      <c r="AC321" s="329">
        <v>18</v>
      </c>
      <c r="AD321" s="340">
        <v>4401</v>
      </c>
      <c r="AE321" s="340">
        <v>29</v>
      </c>
      <c r="AF321" s="340">
        <v>69</v>
      </c>
      <c r="AG321" s="340">
        <v>98</v>
      </c>
    </row>
    <row r="322" spans="1:33" x14ac:dyDescent="0.35">
      <c r="A322" s="329" t="s">
        <v>696</v>
      </c>
      <c r="B322" s="335" t="s">
        <v>697</v>
      </c>
      <c r="C322" s="335">
        <v>3977</v>
      </c>
      <c r="D322" s="335">
        <v>6</v>
      </c>
      <c r="E322" s="335">
        <v>294</v>
      </c>
      <c r="F322" s="335">
        <v>721</v>
      </c>
      <c r="G322" s="335">
        <v>427</v>
      </c>
      <c r="H322" s="335">
        <v>5425</v>
      </c>
      <c r="I322" s="329">
        <v>4998</v>
      </c>
      <c r="J322" s="329">
        <v>76</v>
      </c>
      <c r="K322" s="338">
        <v>91.81</v>
      </c>
      <c r="L322" s="338">
        <v>90.52</v>
      </c>
      <c r="M322" s="338">
        <v>7.6</v>
      </c>
      <c r="N322" s="338">
        <v>95.48</v>
      </c>
      <c r="O322" s="339">
        <v>3064</v>
      </c>
      <c r="P322" s="329">
        <v>83.17</v>
      </c>
      <c r="Q322" s="329">
        <v>75.599999999999994</v>
      </c>
      <c r="R322" s="329">
        <v>29.43</v>
      </c>
      <c r="S322" s="329">
        <v>112.3</v>
      </c>
      <c r="T322" s="329">
        <v>698</v>
      </c>
      <c r="U322" s="329">
        <v>106.06</v>
      </c>
      <c r="V322" s="329">
        <v>502</v>
      </c>
      <c r="W322" s="329">
        <v>0</v>
      </c>
      <c r="X322" s="329">
        <v>0</v>
      </c>
      <c r="Y322" s="329">
        <v>0</v>
      </c>
      <c r="Z322" s="329">
        <v>0</v>
      </c>
      <c r="AA322" s="329">
        <v>6</v>
      </c>
      <c r="AB322" s="329">
        <v>15</v>
      </c>
      <c r="AC322" s="329">
        <v>9</v>
      </c>
      <c r="AD322" s="340">
        <v>3645</v>
      </c>
      <c r="AE322" s="340">
        <v>28</v>
      </c>
      <c r="AF322" s="340">
        <v>9</v>
      </c>
      <c r="AG322" s="340">
        <v>37</v>
      </c>
    </row>
  </sheetData>
  <pageMargins left="0.7" right="0.7" top="0.75" bottom="0.75" header="0.3" footer="0.3"/>
  <pageSetup paperSize="9" orientation="portrait" r:id="rId1"/>
  <headerFooter>
    <oddFooter>&amp;C&amp;1#&amp;"Calibri"&amp;12&amp;K0078D7OFFICIAL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8A0EB-1456-4582-85BE-4817D5A3A9ED}">
  <sheetPr codeName="Sheet11">
    <tabColor rgb="FFFFFF00"/>
  </sheetPr>
  <dimension ref="A1:BD322"/>
  <sheetViews>
    <sheetView zoomScale="80" zoomScaleNormal="80" workbookViewId="0">
      <selection activeCell="C4" sqref="C4:AC4"/>
    </sheetView>
  </sheetViews>
  <sheetFormatPr defaultColWidth="9.1796875" defaultRowHeight="13" x14ac:dyDescent="0.3"/>
  <cols>
    <col min="1" max="2" width="9.1796875" style="145"/>
    <col min="3" max="3" width="10.54296875" style="145" customWidth="1"/>
    <col min="4" max="7" width="9.1796875" style="145"/>
    <col min="8" max="8" width="11" style="145" customWidth="1"/>
    <col min="9" max="10" width="10.453125" style="145" customWidth="1"/>
    <col min="11" max="11" width="10.453125" style="145" bestFit="1" customWidth="1"/>
    <col min="12" max="14" width="9.1796875" style="145"/>
    <col min="15" max="15" width="12.453125" style="145" bestFit="1" customWidth="1"/>
    <col min="16" max="29" width="9.1796875" style="145"/>
    <col min="30" max="30" width="13.26953125" style="145" customWidth="1"/>
    <col min="31" max="33" width="9.1796875" style="145"/>
    <col min="34" max="56" width="9.1796875" style="344"/>
    <col min="57" max="16384" width="9.1796875" style="145"/>
  </cols>
  <sheetData>
    <row r="1" spans="1:33" s="144" customFormat="1" x14ac:dyDescent="0.3">
      <c r="A1" s="134"/>
      <c r="B1" s="134"/>
      <c r="C1" s="135" t="s">
        <v>38</v>
      </c>
      <c r="D1" s="135" t="s">
        <v>38</v>
      </c>
      <c r="E1" s="135" t="s">
        <v>38</v>
      </c>
      <c r="F1" s="135" t="s">
        <v>38</v>
      </c>
      <c r="G1" s="135" t="s">
        <v>38</v>
      </c>
      <c r="H1" s="135" t="s">
        <v>38</v>
      </c>
      <c r="I1" s="136" t="s">
        <v>39</v>
      </c>
      <c r="J1" s="136" t="s">
        <v>39</v>
      </c>
      <c r="K1" s="137" t="s">
        <v>40</v>
      </c>
      <c r="L1" s="137" t="s">
        <v>40</v>
      </c>
      <c r="M1" s="137" t="s">
        <v>40</v>
      </c>
      <c r="N1" s="138" t="s">
        <v>40</v>
      </c>
      <c r="O1" s="137" t="s">
        <v>40</v>
      </c>
      <c r="P1" s="139" t="s">
        <v>41</v>
      </c>
      <c r="Q1" s="139" t="s">
        <v>41</v>
      </c>
      <c r="R1" s="139" t="s">
        <v>41</v>
      </c>
      <c r="S1" s="139" t="s">
        <v>41</v>
      </c>
      <c r="T1" s="139" t="s">
        <v>41</v>
      </c>
      <c r="U1" s="140" t="s">
        <v>42</v>
      </c>
      <c r="V1" s="140" t="s">
        <v>42</v>
      </c>
      <c r="W1" s="141" t="s">
        <v>43</v>
      </c>
      <c r="X1" s="141" t="s">
        <v>43</v>
      </c>
      <c r="Y1" s="142" t="s">
        <v>44</v>
      </c>
      <c r="Z1" s="142" t="s">
        <v>44</v>
      </c>
      <c r="AA1" s="142" t="s">
        <v>44</v>
      </c>
      <c r="AB1" s="142" t="s">
        <v>44</v>
      </c>
      <c r="AC1" s="142" t="s">
        <v>44</v>
      </c>
      <c r="AD1" s="143" t="s">
        <v>45</v>
      </c>
      <c r="AE1" s="143" t="s">
        <v>45</v>
      </c>
      <c r="AF1" s="143" t="s">
        <v>45</v>
      </c>
      <c r="AG1" s="143" t="s">
        <v>45</v>
      </c>
    </row>
    <row r="2" spans="1:33" x14ac:dyDescent="0.3">
      <c r="B2" s="146">
        <v>1</v>
      </c>
      <c r="C2" s="146">
        <v>2</v>
      </c>
      <c r="D2" s="146">
        <v>3</v>
      </c>
      <c r="E2" s="146">
        <v>4</v>
      </c>
      <c r="F2" s="146">
        <v>5</v>
      </c>
      <c r="G2" s="146">
        <v>6</v>
      </c>
      <c r="H2" s="146">
        <v>7</v>
      </c>
      <c r="I2" s="146">
        <v>8</v>
      </c>
      <c r="J2" s="146">
        <v>9</v>
      </c>
      <c r="K2" s="146">
        <v>10</v>
      </c>
      <c r="L2" s="146">
        <v>11</v>
      </c>
      <c r="M2" s="146">
        <v>12</v>
      </c>
      <c r="N2" s="146">
        <v>13</v>
      </c>
      <c r="O2" s="146">
        <v>14</v>
      </c>
      <c r="P2" s="146">
        <v>15</v>
      </c>
      <c r="Q2" s="146">
        <v>16</v>
      </c>
      <c r="R2" s="146">
        <v>17</v>
      </c>
      <c r="S2" s="146">
        <v>18</v>
      </c>
      <c r="T2" s="146">
        <v>19</v>
      </c>
      <c r="U2" s="146">
        <v>20</v>
      </c>
      <c r="V2" s="146">
        <v>21</v>
      </c>
      <c r="W2" s="146">
        <v>22</v>
      </c>
      <c r="X2" s="146">
        <v>23</v>
      </c>
      <c r="Y2" s="146">
        <v>24</v>
      </c>
      <c r="Z2" s="146">
        <v>25</v>
      </c>
      <c r="AA2" s="146">
        <v>26</v>
      </c>
      <c r="AB2" s="146">
        <v>27</v>
      </c>
      <c r="AC2" s="146">
        <v>28</v>
      </c>
      <c r="AD2" s="146">
        <v>29</v>
      </c>
      <c r="AE2" s="146">
        <v>30</v>
      </c>
      <c r="AF2" s="146">
        <v>31</v>
      </c>
      <c r="AG2" s="146">
        <v>32</v>
      </c>
    </row>
    <row r="3" spans="1:33" ht="63" x14ac:dyDescent="0.3">
      <c r="A3" s="145" t="s">
        <v>46</v>
      </c>
      <c r="B3" s="145" t="s">
        <v>47</v>
      </c>
      <c r="C3" s="147" t="s">
        <v>48</v>
      </c>
      <c r="D3" s="147" t="s">
        <v>49</v>
      </c>
      <c r="E3" s="147" t="s">
        <v>50</v>
      </c>
      <c r="F3" s="147" t="s">
        <v>51</v>
      </c>
      <c r="G3" s="147" t="s">
        <v>52</v>
      </c>
      <c r="H3" s="147" t="s">
        <v>53</v>
      </c>
      <c r="I3" s="148" t="s">
        <v>54</v>
      </c>
      <c r="J3" s="148" t="s">
        <v>55</v>
      </c>
      <c r="K3" s="149" t="s">
        <v>56</v>
      </c>
      <c r="L3" s="149" t="s">
        <v>57</v>
      </c>
      <c r="M3" s="149" t="s">
        <v>58</v>
      </c>
      <c r="N3" s="150" t="s">
        <v>59</v>
      </c>
      <c r="O3" s="149" t="s">
        <v>60</v>
      </c>
      <c r="P3" s="151" t="s">
        <v>61</v>
      </c>
      <c r="Q3" s="151" t="s">
        <v>62</v>
      </c>
      <c r="R3" s="151" t="s">
        <v>58</v>
      </c>
      <c r="S3" s="151" t="s">
        <v>63</v>
      </c>
      <c r="T3" s="151" t="s">
        <v>64</v>
      </c>
      <c r="U3" s="152" t="s">
        <v>65</v>
      </c>
      <c r="V3" s="152" t="s">
        <v>66</v>
      </c>
      <c r="W3" s="153" t="s">
        <v>67</v>
      </c>
      <c r="X3" s="153" t="s">
        <v>68</v>
      </c>
      <c r="Y3" s="154" t="s">
        <v>69</v>
      </c>
      <c r="Z3" s="154" t="s">
        <v>70</v>
      </c>
      <c r="AA3" s="154" t="s">
        <v>71</v>
      </c>
      <c r="AB3" s="154" t="s">
        <v>72</v>
      </c>
      <c r="AC3" s="154" t="s">
        <v>73</v>
      </c>
      <c r="AD3" s="155" t="s">
        <v>74</v>
      </c>
      <c r="AE3" s="155" t="s">
        <v>75</v>
      </c>
      <c r="AF3" s="155" t="s">
        <v>76</v>
      </c>
      <c r="AG3" s="155" t="s">
        <v>77</v>
      </c>
    </row>
    <row r="4" spans="1:33" x14ac:dyDescent="0.3">
      <c r="A4" s="342" t="s">
        <v>13</v>
      </c>
      <c r="B4" s="342" t="s">
        <v>13</v>
      </c>
      <c r="C4" s="348">
        <v>2184736</v>
      </c>
      <c r="D4" s="346">
        <v>10643</v>
      </c>
      <c r="E4" s="346">
        <v>141255</v>
      </c>
      <c r="F4" s="346">
        <v>261912</v>
      </c>
      <c r="G4" s="346">
        <v>205804</v>
      </c>
      <c r="H4" s="348">
        <v>2804350</v>
      </c>
      <c r="I4" s="346">
        <v>2598546</v>
      </c>
      <c r="J4" s="346">
        <v>10772</v>
      </c>
      <c r="K4" s="347">
        <v>96.6</v>
      </c>
      <c r="L4" s="347">
        <v>96.19</v>
      </c>
      <c r="M4" s="347">
        <v>7.12</v>
      </c>
      <c r="N4" s="347">
        <v>100.92</v>
      </c>
      <c r="O4" s="348">
        <v>1826469</v>
      </c>
      <c r="P4" s="347">
        <v>93.69</v>
      </c>
      <c r="Q4" s="347">
        <v>85.46</v>
      </c>
      <c r="R4" s="347">
        <v>45.91</v>
      </c>
      <c r="S4" s="347">
        <v>137.56</v>
      </c>
      <c r="T4" s="348">
        <v>334866</v>
      </c>
      <c r="U4" s="347">
        <v>133.31</v>
      </c>
      <c r="V4" s="348">
        <v>272045</v>
      </c>
      <c r="W4" s="347">
        <v>176.5</v>
      </c>
      <c r="X4" s="348">
        <v>16901</v>
      </c>
      <c r="Y4" s="346">
        <v>5225</v>
      </c>
      <c r="Z4" s="346">
        <v>3193</v>
      </c>
      <c r="AA4" s="346">
        <v>2531</v>
      </c>
      <c r="AB4" s="346">
        <v>12576</v>
      </c>
      <c r="AC4" s="346">
        <v>4297</v>
      </c>
      <c r="AD4" s="348">
        <v>2127268</v>
      </c>
      <c r="AE4" s="346">
        <v>15784</v>
      </c>
      <c r="AF4" s="346">
        <v>13111</v>
      </c>
      <c r="AG4" s="346">
        <v>28895</v>
      </c>
    </row>
    <row r="5" spans="1:33" x14ac:dyDescent="0.3">
      <c r="A5" s="343" t="s">
        <v>78</v>
      </c>
      <c r="B5" s="343" t="s">
        <v>78</v>
      </c>
      <c r="C5" s="349">
        <v>116719</v>
      </c>
      <c r="D5" s="349">
        <v>537</v>
      </c>
      <c r="E5" s="349">
        <v>9086</v>
      </c>
      <c r="F5" s="349">
        <v>22179</v>
      </c>
      <c r="G5" s="349">
        <v>15100</v>
      </c>
      <c r="H5" s="346">
        <v>163621</v>
      </c>
      <c r="I5" s="346">
        <v>148521</v>
      </c>
      <c r="J5" s="349">
        <v>541</v>
      </c>
      <c r="K5" s="347">
        <v>89.01</v>
      </c>
      <c r="L5" s="347">
        <v>87.96</v>
      </c>
      <c r="M5" s="347">
        <v>5.26</v>
      </c>
      <c r="N5" s="347">
        <v>92.42</v>
      </c>
      <c r="O5" s="348">
        <v>95236</v>
      </c>
      <c r="P5" s="347">
        <v>89.77</v>
      </c>
      <c r="Q5" s="347">
        <v>79.680000000000007</v>
      </c>
      <c r="R5" s="347">
        <v>43.34</v>
      </c>
      <c r="S5" s="347">
        <v>131.22</v>
      </c>
      <c r="T5" s="348">
        <v>27499</v>
      </c>
      <c r="U5" s="347">
        <v>109.02</v>
      </c>
      <c r="V5" s="348">
        <v>17089</v>
      </c>
      <c r="W5" s="347">
        <v>164.87</v>
      </c>
      <c r="X5" s="348">
        <v>970</v>
      </c>
      <c r="Y5" s="349">
        <v>406</v>
      </c>
      <c r="Z5" s="349">
        <v>219</v>
      </c>
      <c r="AA5" s="349">
        <v>104</v>
      </c>
      <c r="AB5" s="349">
        <v>1130</v>
      </c>
      <c r="AC5" s="349">
        <v>276</v>
      </c>
      <c r="AD5" s="349">
        <v>114246</v>
      </c>
      <c r="AE5" s="349">
        <v>723</v>
      </c>
      <c r="AF5" s="349">
        <v>524</v>
      </c>
      <c r="AG5" s="349">
        <v>1247</v>
      </c>
    </row>
    <row r="6" spans="1:33" x14ac:dyDescent="0.3">
      <c r="A6" s="343" t="s">
        <v>79</v>
      </c>
      <c r="B6" s="343" t="s">
        <v>79</v>
      </c>
      <c r="C6" s="349">
        <v>223417</v>
      </c>
      <c r="D6" s="349">
        <v>1685</v>
      </c>
      <c r="E6" s="349">
        <v>12034</v>
      </c>
      <c r="F6" s="349">
        <v>27963</v>
      </c>
      <c r="G6" s="349">
        <v>23392</v>
      </c>
      <c r="H6" s="346">
        <v>288491</v>
      </c>
      <c r="I6" s="346">
        <v>265099</v>
      </c>
      <c r="J6" s="349">
        <v>1140</v>
      </c>
      <c r="K6" s="347">
        <v>100.52</v>
      </c>
      <c r="L6" s="347">
        <v>100.55</v>
      </c>
      <c r="M6" s="347">
        <v>6.13</v>
      </c>
      <c r="N6" s="347">
        <v>103.79</v>
      </c>
      <c r="O6" s="348">
        <v>184119</v>
      </c>
      <c r="P6" s="347">
        <v>96.04</v>
      </c>
      <c r="Q6" s="347">
        <v>88.48</v>
      </c>
      <c r="R6" s="347">
        <v>42.21</v>
      </c>
      <c r="S6" s="347">
        <v>137.04</v>
      </c>
      <c r="T6" s="348">
        <v>34466</v>
      </c>
      <c r="U6" s="347">
        <v>139.15</v>
      </c>
      <c r="V6" s="348">
        <v>33288</v>
      </c>
      <c r="W6" s="347">
        <v>156.33000000000001</v>
      </c>
      <c r="X6" s="348">
        <v>657</v>
      </c>
      <c r="Y6" s="349">
        <v>783</v>
      </c>
      <c r="Z6" s="349">
        <v>154</v>
      </c>
      <c r="AA6" s="349">
        <v>219</v>
      </c>
      <c r="AB6" s="349">
        <v>1801</v>
      </c>
      <c r="AC6" s="349">
        <v>416</v>
      </c>
      <c r="AD6" s="349">
        <v>221575</v>
      </c>
      <c r="AE6" s="349">
        <v>1438</v>
      </c>
      <c r="AF6" s="349">
        <v>1201</v>
      </c>
      <c r="AG6" s="349">
        <v>2639</v>
      </c>
    </row>
    <row r="7" spans="1:33" x14ac:dyDescent="0.3">
      <c r="A7" s="343" t="s">
        <v>80</v>
      </c>
      <c r="B7" s="343" t="s">
        <v>80</v>
      </c>
      <c r="C7" s="349">
        <v>357842</v>
      </c>
      <c r="D7" s="349">
        <v>5670</v>
      </c>
      <c r="E7" s="349">
        <v>27071</v>
      </c>
      <c r="F7" s="349">
        <v>28003</v>
      </c>
      <c r="G7" s="349">
        <v>51139</v>
      </c>
      <c r="H7" s="346">
        <v>469725</v>
      </c>
      <c r="I7" s="346">
        <v>418586</v>
      </c>
      <c r="J7" s="349">
        <v>3220</v>
      </c>
      <c r="K7" s="347">
        <v>123.2</v>
      </c>
      <c r="L7" s="347">
        <v>126.96</v>
      </c>
      <c r="M7" s="347">
        <v>13.07</v>
      </c>
      <c r="N7" s="347">
        <v>132.85</v>
      </c>
      <c r="O7" s="348">
        <v>289352</v>
      </c>
      <c r="P7" s="347">
        <v>113.06</v>
      </c>
      <c r="Q7" s="347">
        <v>107.44</v>
      </c>
      <c r="R7" s="347">
        <v>60.89</v>
      </c>
      <c r="S7" s="347">
        <v>170.66</v>
      </c>
      <c r="T7" s="348">
        <v>43312</v>
      </c>
      <c r="U7" s="347">
        <v>197</v>
      </c>
      <c r="V7" s="348">
        <v>36351</v>
      </c>
      <c r="W7" s="347">
        <v>231.12</v>
      </c>
      <c r="X7" s="348">
        <v>1692</v>
      </c>
      <c r="Y7" s="349">
        <v>1082</v>
      </c>
      <c r="Z7" s="349">
        <v>99</v>
      </c>
      <c r="AA7" s="349">
        <v>643</v>
      </c>
      <c r="AB7" s="349">
        <v>1975</v>
      </c>
      <c r="AC7" s="349">
        <v>1493</v>
      </c>
      <c r="AD7" s="349">
        <v>336478</v>
      </c>
      <c r="AE7" s="349">
        <v>3270</v>
      </c>
      <c r="AF7" s="349">
        <v>2070</v>
      </c>
      <c r="AG7" s="349">
        <v>5340</v>
      </c>
    </row>
    <row r="8" spans="1:33" x14ac:dyDescent="0.3">
      <c r="A8" s="343" t="s">
        <v>81</v>
      </c>
      <c r="B8" s="343" t="s">
        <v>81</v>
      </c>
      <c r="C8" s="349">
        <v>158846</v>
      </c>
      <c r="D8" s="349">
        <v>214</v>
      </c>
      <c r="E8" s="349">
        <v>6713</v>
      </c>
      <c r="F8" s="349">
        <v>16797</v>
      </c>
      <c r="G8" s="349">
        <v>3560</v>
      </c>
      <c r="H8" s="346">
        <v>186130</v>
      </c>
      <c r="I8" s="346">
        <v>182570</v>
      </c>
      <c r="J8" s="349">
        <v>102</v>
      </c>
      <c r="K8" s="347">
        <v>79.25</v>
      </c>
      <c r="L8" s="347">
        <v>78.27</v>
      </c>
      <c r="M8" s="347">
        <v>6.13</v>
      </c>
      <c r="N8" s="347">
        <v>81.22</v>
      </c>
      <c r="O8" s="348">
        <v>139998</v>
      </c>
      <c r="P8" s="347">
        <v>87.52</v>
      </c>
      <c r="Q8" s="347">
        <v>74.8</v>
      </c>
      <c r="R8" s="347">
        <v>52.48</v>
      </c>
      <c r="S8" s="347">
        <v>135.01</v>
      </c>
      <c r="T8" s="348">
        <v>19505</v>
      </c>
      <c r="U8" s="347">
        <v>97.96</v>
      </c>
      <c r="V8" s="348">
        <v>16166</v>
      </c>
      <c r="W8" s="347">
        <v>160.77000000000001</v>
      </c>
      <c r="X8" s="348">
        <v>2368</v>
      </c>
      <c r="Y8" s="349">
        <v>98</v>
      </c>
      <c r="Z8" s="349">
        <v>389</v>
      </c>
      <c r="AA8" s="349">
        <v>61</v>
      </c>
      <c r="AB8" s="349">
        <v>239</v>
      </c>
      <c r="AC8" s="349">
        <v>70</v>
      </c>
      <c r="AD8" s="349">
        <v>156801</v>
      </c>
      <c r="AE8" s="349">
        <v>1537</v>
      </c>
      <c r="AF8" s="349">
        <v>1522</v>
      </c>
      <c r="AG8" s="349">
        <v>3059</v>
      </c>
    </row>
    <row r="9" spans="1:33" x14ac:dyDescent="0.3">
      <c r="A9" s="343" t="s">
        <v>82</v>
      </c>
      <c r="B9" s="343" t="s">
        <v>82</v>
      </c>
      <c r="C9" s="349">
        <v>431252</v>
      </c>
      <c r="D9" s="349">
        <v>345</v>
      </c>
      <c r="E9" s="349">
        <v>24127</v>
      </c>
      <c r="F9" s="349">
        <v>52070</v>
      </c>
      <c r="G9" s="349">
        <v>16073</v>
      </c>
      <c r="H9" s="346">
        <v>523867</v>
      </c>
      <c r="I9" s="346">
        <v>507794</v>
      </c>
      <c r="J9" s="349">
        <v>517</v>
      </c>
      <c r="K9" s="347">
        <v>83.58</v>
      </c>
      <c r="L9" s="347">
        <v>82.64</v>
      </c>
      <c r="M9" s="347">
        <v>5.05</v>
      </c>
      <c r="N9" s="347">
        <v>86.41</v>
      </c>
      <c r="O9" s="348">
        <v>368761</v>
      </c>
      <c r="P9" s="347">
        <v>85.95</v>
      </c>
      <c r="Q9" s="347">
        <v>76.459999999999994</v>
      </c>
      <c r="R9" s="347">
        <v>40.369999999999997</v>
      </c>
      <c r="S9" s="347">
        <v>124.1</v>
      </c>
      <c r="T9" s="348">
        <v>66255</v>
      </c>
      <c r="U9" s="347">
        <v>105.84</v>
      </c>
      <c r="V9" s="348">
        <v>51246</v>
      </c>
      <c r="W9" s="347">
        <v>159.72</v>
      </c>
      <c r="X9" s="348">
        <v>2810</v>
      </c>
      <c r="Y9" s="349">
        <v>249</v>
      </c>
      <c r="Z9" s="349">
        <v>1298</v>
      </c>
      <c r="AA9" s="349">
        <v>336</v>
      </c>
      <c r="AB9" s="349">
        <v>1202</v>
      </c>
      <c r="AC9" s="349">
        <v>248</v>
      </c>
      <c r="AD9" s="349">
        <v>421054</v>
      </c>
      <c r="AE9" s="349">
        <v>2519</v>
      </c>
      <c r="AF9" s="349">
        <v>2812</v>
      </c>
      <c r="AG9" s="349">
        <v>5331</v>
      </c>
    </row>
    <row r="10" spans="1:33" x14ac:dyDescent="0.3">
      <c r="A10" s="343" t="s">
        <v>83</v>
      </c>
      <c r="B10" s="343" t="s">
        <v>83</v>
      </c>
      <c r="C10" s="349">
        <v>303417</v>
      </c>
      <c r="D10" s="349">
        <v>999</v>
      </c>
      <c r="E10" s="349">
        <v>15953</v>
      </c>
      <c r="F10" s="349">
        <v>38958</v>
      </c>
      <c r="G10" s="349">
        <v>48052</v>
      </c>
      <c r="H10" s="346">
        <v>407379</v>
      </c>
      <c r="I10" s="346">
        <v>359327</v>
      </c>
      <c r="J10" s="349">
        <v>1284</v>
      </c>
      <c r="K10" s="347">
        <v>109.68</v>
      </c>
      <c r="L10" s="347">
        <v>107.94</v>
      </c>
      <c r="M10" s="347">
        <v>6.51</v>
      </c>
      <c r="N10" s="347">
        <v>113.8</v>
      </c>
      <c r="O10" s="348">
        <v>245436</v>
      </c>
      <c r="P10" s="347">
        <v>99.62</v>
      </c>
      <c r="Q10" s="347">
        <v>92.13</v>
      </c>
      <c r="R10" s="347">
        <v>38.61</v>
      </c>
      <c r="S10" s="347">
        <v>136.52000000000001</v>
      </c>
      <c r="T10" s="348">
        <v>43373</v>
      </c>
      <c r="U10" s="347">
        <v>159.16999999999999</v>
      </c>
      <c r="V10" s="348">
        <v>46530</v>
      </c>
      <c r="W10" s="347">
        <v>183.62</v>
      </c>
      <c r="X10" s="348">
        <v>2474</v>
      </c>
      <c r="Y10" s="349">
        <v>1726</v>
      </c>
      <c r="Z10" s="349">
        <v>144</v>
      </c>
      <c r="AA10" s="349">
        <v>322</v>
      </c>
      <c r="AB10" s="349">
        <v>3213</v>
      </c>
      <c r="AC10" s="349">
        <v>902</v>
      </c>
      <c r="AD10" s="349">
        <v>296044</v>
      </c>
      <c r="AE10" s="349">
        <v>2173</v>
      </c>
      <c r="AF10" s="349">
        <v>1476</v>
      </c>
      <c r="AG10" s="349">
        <v>3649</v>
      </c>
    </row>
    <row r="11" spans="1:33" x14ac:dyDescent="0.3">
      <c r="A11" s="343" t="s">
        <v>84</v>
      </c>
      <c r="B11" s="343" t="s">
        <v>84</v>
      </c>
      <c r="C11" s="349">
        <v>200731</v>
      </c>
      <c r="D11" s="349">
        <v>195</v>
      </c>
      <c r="E11" s="349">
        <v>14437</v>
      </c>
      <c r="F11" s="349">
        <v>29938</v>
      </c>
      <c r="G11" s="349">
        <v>22569</v>
      </c>
      <c r="H11" s="346">
        <v>267870</v>
      </c>
      <c r="I11" s="346">
        <v>245301</v>
      </c>
      <c r="J11" s="349">
        <v>839</v>
      </c>
      <c r="K11" s="347">
        <v>93.91</v>
      </c>
      <c r="L11" s="347">
        <v>92.05</v>
      </c>
      <c r="M11" s="347">
        <v>5</v>
      </c>
      <c r="N11" s="347">
        <v>97.33</v>
      </c>
      <c r="O11" s="348">
        <v>164609</v>
      </c>
      <c r="P11" s="347">
        <v>88.6</v>
      </c>
      <c r="Q11" s="347">
        <v>82.5</v>
      </c>
      <c r="R11" s="347">
        <v>35.119999999999997</v>
      </c>
      <c r="S11" s="347">
        <v>122.62</v>
      </c>
      <c r="T11" s="348">
        <v>37126</v>
      </c>
      <c r="U11" s="347">
        <v>125.61</v>
      </c>
      <c r="V11" s="348">
        <v>27624</v>
      </c>
      <c r="W11" s="347">
        <v>154.30000000000001</v>
      </c>
      <c r="X11" s="348">
        <v>2006</v>
      </c>
      <c r="Y11" s="349">
        <v>269</v>
      </c>
      <c r="Z11" s="349">
        <v>207</v>
      </c>
      <c r="AA11" s="349">
        <v>336</v>
      </c>
      <c r="AB11" s="349">
        <v>1206</v>
      </c>
      <c r="AC11" s="349">
        <v>385</v>
      </c>
      <c r="AD11" s="349">
        <v>194205</v>
      </c>
      <c r="AE11" s="349">
        <v>1010</v>
      </c>
      <c r="AF11" s="349">
        <v>1281</v>
      </c>
      <c r="AG11" s="349">
        <v>2291</v>
      </c>
    </row>
    <row r="12" spans="1:33" x14ac:dyDescent="0.3">
      <c r="A12" s="343" t="s">
        <v>85</v>
      </c>
      <c r="B12" s="343" t="s">
        <v>85</v>
      </c>
      <c r="C12" s="349">
        <v>224054</v>
      </c>
      <c r="D12" s="349">
        <v>966</v>
      </c>
      <c r="E12" s="349">
        <v>19396</v>
      </c>
      <c r="F12" s="349">
        <v>27764</v>
      </c>
      <c r="G12" s="349">
        <v>17594</v>
      </c>
      <c r="H12" s="346">
        <v>289774</v>
      </c>
      <c r="I12" s="346">
        <v>272180</v>
      </c>
      <c r="J12" s="349">
        <v>622</v>
      </c>
      <c r="K12" s="347">
        <v>90.01</v>
      </c>
      <c r="L12" s="347">
        <v>88.6</v>
      </c>
      <c r="M12" s="347">
        <v>6.29</v>
      </c>
      <c r="N12" s="347">
        <v>94.28</v>
      </c>
      <c r="O12" s="348">
        <v>194547</v>
      </c>
      <c r="P12" s="347">
        <v>89.6</v>
      </c>
      <c r="Q12" s="347">
        <v>82.57</v>
      </c>
      <c r="R12" s="347">
        <v>59.46</v>
      </c>
      <c r="S12" s="347">
        <v>147.58000000000001</v>
      </c>
      <c r="T12" s="348">
        <v>37900</v>
      </c>
      <c r="U12" s="347">
        <v>113.31</v>
      </c>
      <c r="V12" s="348">
        <v>23299</v>
      </c>
      <c r="W12" s="347">
        <v>191.99</v>
      </c>
      <c r="X12" s="348">
        <v>2866</v>
      </c>
      <c r="Y12" s="349">
        <v>223</v>
      </c>
      <c r="Z12" s="349">
        <v>407</v>
      </c>
      <c r="AA12" s="349">
        <v>328</v>
      </c>
      <c r="AB12" s="349">
        <v>1106</v>
      </c>
      <c r="AC12" s="349">
        <v>344</v>
      </c>
      <c r="AD12" s="349">
        <v>220286</v>
      </c>
      <c r="AE12" s="349">
        <v>1569</v>
      </c>
      <c r="AF12" s="349">
        <v>1180</v>
      </c>
      <c r="AG12" s="349">
        <v>2749</v>
      </c>
    </row>
    <row r="13" spans="1:33" x14ac:dyDescent="0.3">
      <c r="A13" s="343" t="s">
        <v>788</v>
      </c>
      <c r="B13" s="343" t="s">
        <v>788</v>
      </c>
      <c r="C13" s="349">
        <v>168458</v>
      </c>
      <c r="D13" s="349">
        <v>32</v>
      </c>
      <c r="E13" s="349">
        <v>12438</v>
      </c>
      <c r="F13" s="349">
        <v>18240</v>
      </c>
      <c r="G13" s="349">
        <v>8325</v>
      </c>
      <c r="H13" s="346">
        <v>207493</v>
      </c>
      <c r="I13" s="346">
        <v>199168</v>
      </c>
      <c r="J13" s="349">
        <v>2507</v>
      </c>
      <c r="K13" s="347">
        <v>83.05</v>
      </c>
      <c r="L13" s="347">
        <v>82.01</v>
      </c>
      <c r="M13" s="347">
        <v>5.34</v>
      </c>
      <c r="N13" s="347">
        <v>86.15</v>
      </c>
      <c r="O13" s="348">
        <v>144411</v>
      </c>
      <c r="P13" s="347">
        <v>90.11</v>
      </c>
      <c r="Q13" s="347">
        <v>77.37</v>
      </c>
      <c r="R13" s="347">
        <v>45.92</v>
      </c>
      <c r="S13" s="347">
        <v>134.47</v>
      </c>
      <c r="T13" s="348">
        <v>25430</v>
      </c>
      <c r="U13" s="347">
        <v>101.99</v>
      </c>
      <c r="V13" s="348">
        <v>20452</v>
      </c>
      <c r="W13" s="347">
        <v>175.64</v>
      </c>
      <c r="X13" s="348">
        <v>1058</v>
      </c>
      <c r="Y13" s="349">
        <v>389</v>
      </c>
      <c r="Z13" s="349">
        <v>276</v>
      </c>
      <c r="AA13" s="349">
        <v>182</v>
      </c>
      <c r="AB13" s="349">
        <v>704</v>
      </c>
      <c r="AC13" s="349">
        <v>163</v>
      </c>
      <c r="AD13" s="349">
        <v>166579</v>
      </c>
      <c r="AE13" s="349">
        <v>1545</v>
      </c>
      <c r="AF13" s="349">
        <v>1045</v>
      </c>
      <c r="AG13" s="349">
        <v>2590</v>
      </c>
    </row>
    <row r="14" spans="1:33" x14ac:dyDescent="0.3">
      <c r="A14" s="342" t="s">
        <v>86</v>
      </c>
      <c r="B14" s="342" t="s">
        <v>87</v>
      </c>
      <c r="C14" s="349">
        <v>875</v>
      </c>
      <c r="D14" s="349">
        <v>0</v>
      </c>
      <c r="E14" s="349">
        <v>76</v>
      </c>
      <c r="F14" s="349">
        <v>138</v>
      </c>
      <c r="G14" s="349">
        <v>204</v>
      </c>
      <c r="H14" s="346">
        <v>1293</v>
      </c>
      <c r="I14" s="346">
        <v>1089</v>
      </c>
      <c r="J14" s="349">
        <v>15</v>
      </c>
      <c r="K14" s="347">
        <v>113.78</v>
      </c>
      <c r="L14" s="347">
        <v>110.62</v>
      </c>
      <c r="M14" s="347">
        <v>5.99</v>
      </c>
      <c r="N14" s="347">
        <v>118.11</v>
      </c>
      <c r="O14" s="348">
        <v>727</v>
      </c>
      <c r="P14" s="347">
        <v>85.66</v>
      </c>
      <c r="Q14" s="347">
        <v>84.14</v>
      </c>
      <c r="R14" s="347">
        <v>41.87</v>
      </c>
      <c r="S14" s="347">
        <v>127.29</v>
      </c>
      <c r="T14" s="348">
        <v>179</v>
      </c>
      <c r="U14" s="347">
        <v>159.61000000000001</v>
      </c>
      <c r="V14" s="348">
        <v>120</v>
      </c>
      <c r="W14" s="347">
        <v>150.08000000000001</v>
      </c>
      <c r="X14" s="348">
        <v>23</v>
      </c>
      <c r="Y14" s="349">
        <v>0</v>
      </c>
      <c r="Z14" s="349">
        <v>0</v>
      </c>
      <c r="AA14" s="349">
        <v>0</v>
      </c>
      <c r="AB14" s="349">
        <v>0</v>
      </c>
      <c r="AC14" s="349">
        <v>5</v>
      </c>
      <c r="AD14" s="349">
        <v>854</v>
      </c>
      <c r="AE14" s="349">
        <v>4</v>
      </c>
      <c r="AF14" s="349">
        <v>32</v>
      </c>
      <c r="AG14" s="349">
        <v>36</v>
      </c>
    </row>
    <row r="15" spans="1:33" x14ac:dyDescent="0.3">
      <c r="A15" s="342" t="s">
        <v>88</v>
      </c>
      <c r="B15" s="342" t="s">
        <v>89</v>
      </c>
      <c r="C15" s="349">
        <v>8306</v>
      </c>
      <c r="D15" s="349">
        <v>0</v>
      </c>
      <c r="E15" s="349">
        <v>147</v>
      </c>
      <c r="F15" s="349">
        <v>404</v>
      </c>
      <c r="G15" s="349">
        <v>124</v>
      </c>
      <c r="H15" s="346">
        <v>8981</v>
      </c>
      <c r="I15" s="346">
        <v>8857</v>
      </c>
      <c r="J15" s="349">
        <v>19</v>
      </c>
      <c r="K15" s="347">
        <v>86.79</v>
      </c>
      <c r="L15" s="347">
        <v>85.31</v>
      </c>
      <c r="M15" s="347">
        <v>2.4500000000000002</v>
      </c>
      <c r="N15" s="347">
        <v>88.83</v>
      </c>
      <c r="O15" s="348">
        <v>7288</v>
      </c>
      <c r="P15" s="347">
        <v>83.26</v>
      </c>
      <c r="Q15" s="347">
        <v>76.17</v>
      </c>
      <c r="R15" s="347">
        <v>41.78</v>
      </c>
      <c r="S15" s="347">
        <v>123.41</v>
      </c>
      <c r="T15" s="348">
        <v>464</v>
      </c>
      <c r="U15" s="347">
        <v>108.62</v>
      </c>
      <c r="V15" s="348">
        <v>458</v>
      </c>
      <c r="W15" s="347">
        <v>142.12</v>
      </c>
      <c r="X15" s="348">
        <v>49</v>
      </c>
      <c r="Y15" s="349">
        <v>0</v>
      </c>
      <c r="Z15" s="349">
        <v>10</v>
      </c>
      <c r="AA15" s="349">
        <v>12</v>
      </c>
      <c r="AB15" s="349">
        <v>2</v>
      </c>
      <c r="AC15" s="349">
        <v>0</v>
      </c>
      <c r="AD15" s="349">
        <v>7615</v>
      </c>
      <c r="AE15" s="349">
        <v>51</v>
      </c>
      <c r="AF15" s="349">
        <v>107</v>
      </c>
      <c r="AG15" s="349">
        <v>158</v>
      </c>
    </row>
    <row r="16" spans="1:33" x14ac:dyDescent="0.3">
      <c r="A16" s="342" t="s">
        <v>90</v>
      </c>
      <c r="B16" s="342" t="s">
        <v>91</v>
      </c>
      <c r="C16" s="349">
        <v>4709</v>
      </c>
      <c r="D16" s="349">
        <v>0</v>
      </c>
      <c r="E16" s="349">
        <v>171</v>
      </c>
      <c r="F16" s="349">
        <v>2434</v>
      </c>
      <c r="G16" s="349">
        <v>245</v>
      </c>
      <c r="H16" s="346">
        <v>7559</v>
      </c>
      <c r="I16" s="346">
        <v>7314</v>
      </c>
      <c r="J16" s="349">
        <v>2</v>
      </c>
      <c r="K16" s="347">
        <v>90.23</v>
      </c>
      <c r="L16" s="347">
        <v>88.53</v>
      </c>
      <c r="M16" s="347">
        <v>2.37</v>
      </c>
      <c r="N16" s="347">
        <v>92.4</v>
      </c>
      <c r="O16" s="348">
        <v>4271</v>
      </c>
      <c r="P16" s="347">
        <v>85.03</v>
      </c>
      <c r="Q16" s="347">
        <v>79.819999999999993</v>
      </c>
      <c r="R16" s="347">
        <v>9.35</v>
      </c>
      <c r="S16" s="347">
        <v>94.3</v>
      </c>
      <c r="T16" s="348">
        <v>2550</v>
      </c>
      <c r="U16" s="347">
        <v>103.28</v>
      </c>
      <c r="V16" s="348">
        <v>430</v>
      </c>
      <c r="W16" s="347">
        <v>0</v>
      </c>
      <c r="X16" s="348">
        <v>0</v>
      </c>
      <c r="Y16" s="349">
        <v>0</v>
      </c>
      <c r="Z16" s="349">
        <v>24</v>
      </c>
      <c r="AA16" s="349">
        <v>2</v>
      </c>
      <c r="AB16" s="349">
        <v>41</v>
      </c>
      <c r="AC16" s="349">
        <v>1</v>
      </c>
      <c r="AD16" s="349">
        <v>4682</v>
      </c>
      <c r="AE16" s="349">
        <v>27</v>
      </c>
      <c r="AF16" s="349">
        <v>2</v>
      </c>
      <c r="AG16" s="349">
        <v>29</v>
      </c>
    </row>
    <row r="17" spans="1:33" x14ac:dyDescent="0.3">
      <c r="A17" s="342" t="s">
        <v>92</v>
      </c>
      <c r="B17" s="342" t="s">
        <v>93</v>
      </c>
      <c r="C17" s="349">
        <v>3044</v>
      </c>
      <c r="D17" s="349">
        <v>1</v>
      </c>
      <c r="E17" s="349">
        <v>221</v>
      </c>
      <c r="F17" s="349">
        <v>378</v>
      </c>
      <c r="G17" s="349">
        <v>704</v>
      </c>
      <c r="H17" s="346">
        <v>4348</v>
      </c>
      <c r="I17" s="346">
        <v>3644</v>
      </c>
      <c r="J17" s="349">
        <v>7</v>
      </c>
      <c r="K17" s="347">
        <v>110.5</v>
      </c>
      <c r="L17" s="347">
        <v>108.11</v>
      </c>
      <c r="M17" s="347">
        <v>5.29</v>
      </c>
      <c r="N17" s="347">
        <v>114.78</v>
      </c>
      <c r="O17" s="348">
        <v>2233</v>
      </c>
      <c r="P17" s="347">
        <v>96.44</v>
      </c>
      <c r="Q17" s="347">
        <v>89.01</v>
      </c>
      <c r="R17" s="347">
        <v>52.93</v>
      </c>
      <c r="S17" s="347">
        <v>149</v>
      </c>
      <c r="T17" s="348">
        <v>424</v>
      </c>
      <c r="U17" s="347">
        <v>155.04</v>
      </c>
      <c r="V17" s="348">
        <v>741</v>
      </c>
      <c r="W17" s="347">
        <v>0</v>
      </c>
      <c r="X17" s="348">
        <v>0</v>
      </c>
      <c r="Y17" s="349">
        <v>0</v>
      </c>
      <c r="Z17" s="349">
        <v>0</v>
      </c>
      <c r="AA17" s="349">
        <v>6</v>
      </c>
      <c r="AB17" s="349">
        <v>52</v>
      </c>
      <c r="AC17" s="349">
        <v>13</v>
      </c>
      <c r="AD17" s="349">
        <v>3042</v>
      </c>
      <c r="AE17" s="349">
        <v>10</v>
      </c>
      <c r="AF17" s="349">
        <v>3</v>
      </c>
      <c r="AG17" s="349">
        <v>13</v>
      </c>
    </row>
    <row r="18" spans="1:33" x14ac:dyDescent="0.3">
      <c r="A18" s="342" t="s">
        <v>94</v>
      </c>
      <c r="B18" s="342" t="s">
        <v>95</v>
      </c>
      <c r="C18" s="349">
        <v>1638</v>
      </c>
      <c r="D18" s="349">
        <v>0</v>
      </c>
      <c r="E18" s="349">
        <v>179</v>
      </c>
      <c r="F18" s="349">
        <v>284</v>
      </c>
      <c r="G18" s="349">
        <v>191</v>
      </c>
      <c r="H18" s="346">
        <v>2292</v>
      </c>
      <c r="I18" s="346">
        <v>2101</v>
      </c>
      <c r="J18" s="349">
        <v>0</v>
      </c>
      <c r="K18" s="347">
        <v>87.36</v>
      </c>
      <c r="L18" s="347">
        <v>85.8</v>
      </c>
      <c r="M18" s="347">
        <v>5.48</v>
      </c>
      <c r="N18" s="347">
        <v>90.07</v>
      </c>
      <c r="O18" s="348">
        <v>1339</v>
      </c>
      <c r="P18" s="347">
        <v>98.81</v>
      </c>
      <c r="Q18" s="347">
        <v>84.89</v>
      </c>
      <c r="R18" s="347">
        <v>51.48</v>
      </c>
      <c r="S18" s="347">
        <v>146.5</v>
      </c>
      <c r="T18" s="348">
        <v>462</v>
      </c>
      <c r="U18" s="347">
        <v>103.11</v>
      </c>
      <c r="V18" s="348">
        <v>227</v>
      </c>
      <c r="W18" s="347">
        <v>0</v>
      </c>
      <c r="X18" s="348">
        <v>0</v>
      </c>
      <c r="Y18" s="349">
        <v>0</v>
      </c>
      <c r="Z18" s="349">
        <v>6</v>
      </c>
      <c r="AA18" s="349">
        <v>4</v>
      </c>
      <c r="AB18" s="349">
        <v>25</v>
      </c>
      <c r="AC18" s="349">
        <v>3</v>
      </c>
      <c r="AD18" s="349">
        <v>1638</v>
      </c>
      <c r="AE18" s="349">
        <v>6</v>
      </c>
      <c r="AF18" s="349">
        <v>8</v>
      </c>
      <c r="AG18" s="349">
        <v>14</v>
      </c>
    </row>
    <row r="19" spans="1:33" x14ac:dyDescent="0.3">
      <c r="A19" s="342" t="s">
        <v>96</v>
      </c>
      <c r="B19" s="342" t="s">
        <v>97</v>
      </c>
      <c r="C19" s="349">
        <v>2359</v>
      </c>
      <c r="D19" s="349">
        <v>0</v>
      </c>
      <c r="E19" s="349">
        <v>113</v>
      </c>
      <c r="F19" s="349">
        <v>185</v>
      </c>
      <c r="G19" s="349">
        <v>817</v>
      </c>
      <c r="H19" s="346">
        <v>3474</v>
      </c>
      <c r="I19" s="346">
        <v>2657</v>
      </c>
      <c r="J19" s="349">
        <v>16</v>
      </c>
      <c r="K19" s="347">
        <v>101.67</v>
      </c>
      <c r="L19" s="347">
        <v>98.85</v>
      </c>
      <c r="M19" s="347">
        <v>7.44</v>
      </c>
      <c r="N19" s="347">
        <v>107.71</v>
      </c>
      <c r="O19" s="348">
        <v>1768</v>
      </c>
      <c r="P19" s="347">
        <v>114.28</v>
      </c>
      <c r="Q19" s="347">
        <v>82.82</v>
      </c>
      <c r="R19" s="347">
        <v>51.43</v>
      </c>
      <c r="S19" s="347">
        <v>164.25</v>
      </c>
      <c r="T19" s="348">
        <v>247</v>
      </c>
      <c r="U19" s="347">
        <v>142.19999999999999</v>
      </c>
      <c r="V19" s="348">
        <v>527</v>
      </c>
      <c r="W19" s="347">
        <v>205.17</v>
      </c>
      <c r="X19" s="348">
        <v>51</v>
      </c>
      <c r="Y19" s="349">
        <v>0</v>
      </c>
      <c r="Z19" s="349">
        <v>0</v>
      </c>
      <c r="AA19" s="349">
        <v>6</v>
      </c>
      <c r="AB19" s="349">
        <v>78</v>
      </c>
      <c r="AC19" s="349">
        <v>9</v>
      </c>
      <c r="AD19" s="349">
        <v>2319</v>
      </c>
      <c r="AE19" s="349">
        <v>15</v>
      </c>
      <c r="AF19" s="349">
        <v>2</v>
      </c>
      <c r="AG19" s="349">
        <v>17</v>
      </c>
    </row>
    <row r="20" spans="1:33" x14ac:dyDescent="0.3">
      <c r="A20" s="342" t="s">
        <v>98</v>
      </c>
      <c r="B20" s="342" t="s">
        <v>99</v>
      </c>
      <c r="C20" s="349">
        <v>1830</v>
      </c>
      <c r="D20" s="349">
        <v>0</v>
      </c>
      <c r="E20" s="349">
        <v>118</v>
      </c>
      <c r="F20" s="349">
        <v>92</v>
      </c>
      <c r="G20" s="349">
        <v>179</v>
      </c>
      <c r="H20" s="346">
        <v>2219</v>
      </c>
      <c r="I20" s="346">
        <v>2040</v>
      </c>
      <c r="J20" s="349">
        <v>1</v>
      </c>
      <c r="K20" s="347">
        <v>94.43</v>
      </c>
      <c r="L20" s="347">
        <v>94.02</v>
      </c>
      <c r="M20" s="347">
        <v>4.34</v>
      </c>
      <c r="N20" s="347">
        <v>96.87</v>
      </c>
      <c r="O20" s="348">
        <v>1273</v>
      </c>
      <c r="P20" s="347">
        <v>109.78</v>
      </c>
      <c r="Q20" s="347">
        <v>89.88</v>
      </c>
      <c r="R20" s="347">
        <v>59.97</v>
      </c>
      <c r="S20" s="347">
        <v>167.21</v>
      </c>
      <c r="T20" s="348">
        <v>189</v>
      </c>
      <c r="U20" s="347">
        <v>122.12</v>
      </c>
      <c r="V20" s="348">
        <v>533</v>
      </c>
      <c r="W20" s="347">
        <v>109.94</v>
      </c>
      <c r="X20" s="348">
        <v>2</v>
      </c>
      <c r="Y20" s="349">
        <v>0</v>
      </c>
      <c r="Z20" s="349">
        <v>0</v>
      </c>
      <c r="AA20" s="349">
        <v>0</v>
      </c>
      <c r="AB20" s="349">
        <v>8</v>
      </c>
      <c r="AC20" s="349">
        <v>2</v>
      </c>
      <c r="AD20" s="349">
        <v>1830</v>
      </c>
      <c r="AE20" s="349">
        <v>7</v>
      </c>
      <c r="AF20" s="349">
        <v>8</v>
      </c>
      <c r="AG20" s="349">
        <v>15</v>
      </c>
    </row>
    <row r="21" spans="1:33" x14ac:dyDescent="0.3">
      <c r="A21" s="342" t="s">
        <v>100</v>
      </c>
      <c r="B21" s="342" t="s">
        <v>101</v>
      </c>
      <c r="C21" s="349">
        <v>4463</v>
      </c>
      <c r="D21" s="349">
        <v>0</v>
      </c>
      <c r="E21" s="349">
        <v>373</v>
      </c>
      <c r="F21" s="349">
        <v>455</v>
      </c>
      <c r="G21" s="349">
        <v>1262</v>
      </c>
      <c r="H21" s="346">
        <v>6553</v>
      </c>
      <c r="I21" s="346">
        <v>5291</v>
      </c>
      <c r="J21" s="349">
        <v>33</v>
      </c>
      <c r="K21" s="347">
        <v>118.71</v>
      </c>
      <c r="L21" s="347">
        <v>115.12</v>
      </c>
      <c r="M21" s="347">
        <v>8.27</v>
      </c>
      <c r="N21" s="347">
        <v>123.42</v>
      </c>
      <c r="O21" s="348">
        <v>2773</v>
      </c>
      <c r="P21" s="347">
        <v>105.17</v>
      </c>
      <c r="Q21" s="347">
        <v>100.49</v>
      </c>
      <c r="R21" s="347">
        <v>70.03</v>
      </c>
      <c r="S21" s="347">
        <v>175</v>
      </c>
      <c r="T21" s="348">
        <v>669</v>
      </c>
      <c r="U21" s="347">
        <v>174.12</v>
      </c>
      <c r="V21" s="348">
        <v>820</v>
      </c>
      <c r="W21" s="347">
        <v>0</v>
      </c>
      <c r="X21" s="348">
        <v>0</v>
      </c>
      <c r="Y21" s="349">
        <v>0</v>
      </c>
      <c r="Z21" s="349">
        <v>2</v>
      </c>
      <c r="AA21" s="349">
        <v>2</v>
      </c>
      <c r="AB21" s="349">
        <v>125</v>
      </c>
      <c r="AC21" s="349">
        <v>26</v>
      </c>
      <c r="AD21" s="349">
        <v>4448</v>
      </c>
      <c r="AE21" s="349">
        <v>88</v>
      </c>
      <c r="AF21" s="349">
        <v>21</v>
      </c>
      <c r="AG21" s="349">
        <v>109</v>
      </c>
    </row>
    <row r="22" spans="1:33" x14ac:dyDescent="0.3">
      <c r="A22" s="342" t="s">
        <v>102</v>
      </c>
      <c r="B22" s="342" t="s">
        <v>103</v>
      </c>
      <c r="C22" s="349">
        <v>7796</v>
      </c>
      <c r="D22" s="349">
        <v>29</v>
      </c>
      <c r="E22" s="349">
        <v>572</v>
      </c>
      <c r="F22" s="349">
        <v>1151</v>
      </c>
      <c r="G22" s="349">
        <v>1500</v>
      </c>
      <c r="H22" s="346">
        <v>11048</v>
      </c>
      <c r="I22" s="346">
        <v>9548</v>
      </c>
      <c r="J22" s="349">
        <v>19</v>
      </c>
      <c r="K22" s="347">
        <v>128.78</v>
      </c>
      <c r="L22" s="347">
        <v>129.13999999999999</v>
      </c>
      <c r="M22" s="347">
        <v>15.52</v>
      </c>
      <c r="N22" s="347">
        <v>141.71</v>
      </c>
      <c r="O22" s="348">
        <v>5771</v>
      </c>
      <c r="P22" s="347">
        <v>117.76</v>
      </c>
      <c r="Q22" s="347">
        <v>110.7</v>
      </c>
      <c r="R22" s="347">
        <v>55.49</v>
      </c>
      <c r="S22" s="347">
        <v>169.39</v>
      </c>
      <c r="T22" s="348">
        <v>906</v>
      </c>
      <c r="U22" s="347">
        <v>216.2</v>
      </c>
      <c r="V22" s="348">
        <v>1433</v>
      </c>
      <c r="W22" s="347">
        <v>225.96</v>
      </c>
      <c r="X22" s="348">
        <v>41</v>
      </c>
      <c r="Y22" s="349">
        <v>16</v>
      </c>
      <c r="Z22" s="349">
        <v>0</v>
      </c>
      <c r="AA22" s="349">
        <v>7</v>
      </c>
      <c r="AB22" s="349">
        <v>57</v>
      </c>
      <c r="AC22" s="349">
        <v>43</v>
      </c>
      <c r="AD22" s="349">
        <v>7009</v>
      </c>
      <c r="AE22" s="349">
        <v>21</v>
      </c>
      <c r="AF22" s="349">
        <v>73</v>
      </c>
      <c r="AG22" s="349">
        <v>94</v>
      </c>
    </row>
    <row r="23" spans="1:33" x14ac:dyDescent="0.3">
      <c r="A23" s="342" t="s">
        <v>104</v>
      </c>
      <c r="B23" s="342" t="s">
        <v>105</v>
      </c>
      <c r="C23" s="349">
        <v>3141</v>
      </c>
      <c r="D23" s="349">
        <v>0</v>
      </c>
      <c r="E23" s="349">
        <v>340</v>
      </c>
      <c r="F23" s="349">
        <v>672</v>
      </c>
      <c r="G23" s="349">
        <v>328</v>
      </c>
      <c r="H23" s="346">
        <v>4481</v>
      </c>
      <c r="I23" s="346">
        <v>4153</v>
      </c>
      <c r="J23" s="349">
        <v>10</v>
      </c>
      <c r="K23" s="347">
        <v>86.51</v>
      </c>
      <c r="L23" s="347">
        <v>83.19</v>
      </c>
      <c r="M23" s="347">
        <v>4.79</v>
      </c>
      <c r="N23" s="347">
        <v>88.7</v>
      </c>
      <c r="O23" s="348">
        <v>1884</v>
      </c>
      <c r="P23" s="347">
        <v>89.94</v>
      </c>
      <c r="Q23" s="347">
        <v>83.79</v>
      </c>
      <c r="R23" s="347">
        <v>39.19</v>
      </c>
      <c r="S23" s="347">
        <v>125.73</v>
      </c>
      <c r="T23" s="348">
        <v>979</v>
      </c>
      <c r="U23" s="347">
        <v>96.08</v>
      </c>
      <c r="V23" s="348">
        <v>1163</v>
      </c>
      <c r="W23" s="347">
        <v>0</v>
      </c>
      <c r="X23" s="348">
        <v>0</v>
      </c>
      <c r="Y23" s="349">
        <v>0</v>
      </c>
      <c r="Z23" s="349">
        <v>0</v>
      </c>
      <c r="AA23" s="349">
        <v>7</v>
      </c>
      <c r="AB23" s="349">
        <v>23</v>
      </c>
      <c r="AC23" s="349">
        <v>7</v>
      </c>
      <c r="AD23" s="349">
        <v>3136</v>
      </c>
      <c r="AE23" s="349">
        <v>24</v>
      </c>
      <c r="AF23" s="349">
        <v>18</v>
      </c>
      <c r="AG23" s="349">
        <v>42</v>
      </c>
    </row>
    <row r="24" spans="1:33" x14ac:dyDescent="0.3">
      <c r="A24" s="342" t="s">
        <v>106</v>
      </c>
      <c r="B24" s="342" t="s">
        <v>107</v>
      </c>
      <c r="C24" s="349">
        <v>518</v>
      </c>
      <c r="D24" s="349">
        <v>0</v>
      </c>
      <c r="E24" s="349">
        <v>252</v>
      </c>
      <c r="F24" s="349">
        <v>196</v>
      </c>
      <c r="G24" s="349">
        <v>11</v>
      </c>
      <c r="H24" s="346">
        <v>977</v>
      </c>
      <c r="I24" s="346">
        <v>966</v>
      </c>
      <c r="J24" s="349">
        <v>2</v>
      </c>
      <c r="K24" s="347">
        <v>80.8</v>
      </c>
      <c r="L24" s="347">
        <v>77.39</v>
      </c>
      <c r="M24" s="347">
        <v>6.89</v>
      </c>
      <c r="N24" s="347">
        <v>85.27</v>
      </c>
      <c r="O24" s="348">
        <v>474</v>
      </c>
      <c r="P24" s="347">
        <v>100.22</v>
      </c>
      <c r="Q24" s="347">
        <v>78.53</v>
      </c>
      <c r="R24" s="347">
        <v>87.99</v>
      </c>
      <c r="S24" s="347">
        <v>183.26</v>
      </c>
      <c r="T24" s="348">
        <v>391</v>
      </c>
      <c r="U24" s="347">
        <v>109.83</v>
      </c>
      <c r="V24" s="348">
        <v>27</v>
      </c>
      <c r="W24" s="347">
        <v>0</v>
      </c>
      <c r="X24" s="348">
        <v>0</v>
      </c>
      <c r="Y24" s="349">
        <v>22</v>
      </c>
      <c r="Z24" s="349">
        <v>0</v>
      </c>
      <c r="AA24" s="349">
        <v>1</v>
      </c>
      <c r="AB24" s="349">
        <v>0</v>
      </c>
      <c r="AC24" s="349">
        <v>0</v>
      </c>
      <c r="AD24" s="349">
        <v>516</v>
      </c>
      <c r="AE24" s="349">
        <v>0</v>
      </c>
      <c r="AF24" s="349">
        <v>1</v>
      </c>
      <c r="AG24" s="349">
        <v>1</v>
      </c>
    </row>
    <row r="25" spans="1:33" x14ac:dyDescent="0.3">
      <c r="A25" s="342" t="s">
        <v>108</v>
      </c>
      <c r="B25" s="342" t="s">
        <v>109</v>
      </c>
      <c r="C25" s="349">
        <v>5307</v>
      </c>
      <c r="D25" s="349">
        <v>0</v>
      </c>
      <c r="E25" s="349">
        <v>272</v>
      </c>
      <c r="F25" s="349">
        <v>331</v>
      </c>
      <c r="G25" s="349">
        <v>755</v>
      </c>
      <c r="H25" s="346">
        <v>6665</v>
      </c>
      <c r="I25" s="346">
        <v>5910</v>
      </c>
      <c r="J25" s="349">
        <v>0</v>
      </c>
      <c r="K25" s="347">
        <v>111.59</v>
      </c>
      <c r="L25" s="347">
        <v>110.99</v>
      </c>
      <c r="M25" s="347">
        <v>5.46</v>
      </c>
      <c r="N25" s="347">
        <v>114.52</v>
      </c>
      <c r="O25" s="348">
        <v>4985</v>
      </c>
      <c r="P25" s="347">
        <v>100.38</v>
      </c>
      <c r="Q25" s="347">
        <v>92.68</v>
      </c>
      <c r="R25" s="347">
        <v>49.41</v>
      </c>
      <c r="S25" s="347">
        <v>148.82</v>
      </c>
      <c r="T25" s="348">
        <v>512</v>
      </c>
      <c r="U25" s="347">
        <v>132.82</v>
      </c>
      <c r="V25" s="348">
        <v>186</v>
      </c>
      <c r="W25" s="347">
        <v>0</v>
      </c>
      <c r="X25" s="348">
        <v>0</v>
      </c>
      <c r="Y25" s="349">
        <v>0</v>
      </c>
      <c r="Z25" s="349">
        <v>0</v>
      </c>
      <c r="AA25" s="349">
        <v>2</v>
      </c>
      <c r="AB25" s="349">
        <v>14</v>
      </c>
      <c r="AC25" s="349">
        <v>8</v>
      </c>
      <c r="AD25" s="349">
        <v>5307</v>
      </c>
      <c r="AE25" s="349">
        <v>13</v>
      </c>
      <c r="AF25" s="349">
        <v>13</v>
      </c>
      <c r="AG25" s="349">
        <v>26</v>
      </c>
    </row>
    <row r="26" spans="1:33" x14ac:dyDescent="0.3">
      <c r="A26" s="342" t="s">
        <v>110</v>
      </c>
      <c r="B26" s="342" t="s">
        <v>111</v>
      </c>
      <c r="C26" s="349">
        <v>12931</v>
      </c>
      <c r="D26" s="349">
        <v>312</v>
      </c>
      <c r="E26" s="349">
        <v>399</v>
      </c>
      <c r="F26" s="349">
        <v>862</v>
      </c>
      <c r="G26" s="349">
        <v>1430</v>
      </c>
      <c r="H26" s="346">
        <v>15934</v>
      </c>
      <c r="I26" s="346">
        <v>14504</v>
      </c>
      <c r="J26" s="349">
        <v>3</v>
      </c>
      <c r="K26" s="347">
        <v>113.84</v>
      </c>
      <c r="L26" s="347">
        <v>110.77</v>
      </c>
      <c r="M26" s="347">
        <v>5.32</v>
      </c>
      <c r="N26" s="347">
        <v>115.99</v>
      </c>
      <c r="O26" s="348">
        <v>11367</v>
      </c>
      <c r="P26" s="347">
        <v>102.82</v>
      </c>
      <c r="Q26" s="347">
        <v>92.24</v>
      </c>
      <c r="R26" s="347">
        <v>36.94</v>
      </c>
      <c r="S26" s="347">
        <v>137.1</v>
      </c>
      <c r="T26" s="348">
        <v>1112</v>
      </c>
      <c r="U26" s="347">
        <v>155.66999999999999</v>
      </c>
      <c r="V26" s="348">
        <v>1286</v>
      </c>
      <c r="W26" s="347">
        <v>151.15</v>
      </c>
      <c r="X26" s="348">
        <v>2</v>
      </c>
      <c r="Y26" s="349">
        <v>22</v>
      </c>
      <c r="Z26" s="349">
        <v>9</v>
      </c>
      <c r="AA26" s="349">
        <v>1</v>
      </c>
      <c r="AB26" s="349">
        <v>81</v>
      </c>
      <c r="AC26" s="349">
        <v>31</v>
      </c>
      <c r="AD26" s="349">
        <v>12892</v>
      </c>
      <c r="AE26" s="349">
        <v>84</v>
      </c>
      <c r="AF26" s="349">
        <v>30</v>
      </c>
      <c r="AG26" s="349">
        <v>114</v>
      </c>
    </row>
    <row r="27" spans="1:33" x14ac:dyDescent="0.3">
      <c r="A27" s="342" t="s">
        <v>112</v>
      </c>
      <c r="B27" s="342" t="s">
        <v>113</v>
      </c>
      <c r="C27" s="349">
        <v>1102</v>
      </c>
      <c r="D27" s="349">
        <v>0</v>
      </c>
      <c r="E27" s="349">
        <v>284</v>
      </c>
      <c r="F27" s="349">
        <v>141</v>
      </c>
      <c r="G27" s="349">
        <v>127</v>
      </c>
      <c r="H27" s="346">
        <v>1654</v>
      </c>
      <c r="I27" s="346">
        <v>1527</v>
      </c>
      <c r="J27" s="349">
        <v>1</v>
      </c>
      <c r="K27" s="347">
        <v>87.54</v>
      </c>
      <c r="L27" s="347">
        <v>85.68</v>
      </c>
      <c r="M27" s="347">
        <v>3.25</v>
      </c>
      <c r="N27" s="347">
        <v>89.62</v>
      </c>
      <c r="O27" s="348">
        <v>893</v>
      </c>
      <c r="P27" s="347">
        <v>123.58</v>
      </c>
      <c r="Q27" s="347">
        <v>71.3</v>
      </c>
      <c r="R27" s="347">
        <v>76.17</v>
      </c>
      <c r="S27" s="347">
        <v>199.53</v>
      </c>
      <c r="T27" s="348">
        <v>362</v>
      </c>
      <c r="U27" s="347">
        <v>104.15</v>
      </c>
      <c r="V27" s="348">
        <v>191</v>
      </c>
      <c r="W27" s="347">
        <v>147.1</v>
      </c>
      <c r="X27" s="348">
        <v>21</v>
      </c>
      <c r="Y27" s="349">
        <v>0</v>
      </c>
      <c r="Z27" s="349">
        <v>2</v>
      </c>
      <c r="AA27" s="349">
        <v>5</v>
      </c>
      <c r="AB27" s="349">
        <v>11</v>
      </c>
      <c r="AC27" s="349">
        <v>3</v>
      </c>
      <c r="AD27" s="349">
        <v>1099</v>
      </c>
      <c r="AE27" s="349">
        <v>6</v>
      </c>
      <c r="AF27" s="349">
        <v>8</v>
      </c>
      <c r="AG27" s="349">
        <v>14</v>
      </c>
    </row>
    <row r="28" spans="1:33" x14ac:dyDescent="0.3">
      <c r="A28" s="342" t="s">
        <v>114</v>
      </c>
      <c r="B28" s="342" t="s">
        <v>115</v>
      </c>
      <c r="C28" s="349">
        <v>9297</v>
      </c>
      <c r="D28" s="349">
        <v>0</v>
      </c>
      <c r="E28" s="349">
        <v>392</v>
      </c>
      <c r="F28" s="349">
        <v>2110</v>
      </c>
      <c r="G28" s="349">
        <v>687</v>
      </c>
      <c r="H28" s="346">
        <v>12486</v>
      </c>
      <c r="I28" s="346">
        <v>11799</v>
      </c>
      <c r="J28" s="349">
        <v>8</v>
      </c>
      <c r="K28" s="347">
        <v>101.89</v>
      </c>
      <c r="L28" s="347">
        <v>99.03</v>
      </c>
      <c r="M28" s="347">
        <v>4.8</v>
      </c>
      <c r="N28" s="347">
        <v>106.08</v>
      </c>
      <c r="O28" s="348">
        <v>8479</v>
      </c>
      <c r="P28" s="347">
        <v>94.81</v>
      </c>
      <c r="Q28" s="347">
        <v>87.53</v>
      </c>
      <c r="R28" s="347">
        <v>18.43</v>
      </c>
      <c r="S28" s="347">
        <v>112.99</v>
      </c>
      <c r="T28" s="348">
        <v>2201</v>
      </c>
      <c r="U28" s="347">
        <v>138.97999999999999</v>
      </c>
      <c r="V28" s="348">
        <v>728</v>
      </c>
      <c r="W28" s="347">
        <v>121.93</v>
      </c>
      <c r="X28" s="348">
        <v>79</v>
      </c>
      <c r="Y28" s="349">
        <v>0</v>
      </c>
      <c r="Z28" s="349">
        <v>12</v>
      </c>
      <c r="AA28" s="349">
        <v>3</v>
      </c>
      <c r="AB28" s="349">
        <v>22</v>
      </c>
      <c r="AC28" s="349">
        <v>10</v>
      </c>
      <c r="AD28" s="349">
        <v>9231</v>
      </c>
      <c r="AE28" s="349">
        <v>12</v>
      </c>
      <c r="AF28" s="349">
        <v>110</v>
      </c>
      <c r="AG28" s="349">
        <v>122</v>
      </c>
    </row>
    <row r="29" spans="1:33" x14ac:dyDescent="0.3">
      <c r="A29" s="342" t="s">
        <v>116</v>
      </c>
      <c r="B29" s="342" t="s">
        <v>117</v>
      </c>
      <c r="C29" s="349">
        <v>10902</v>
      </c>
      <c r="D29" s="349">
        <v>0</v>
      </c>
      <c r="E29" s="349">
        <v>419</v>
      </c>
      <c r="F29" s="349">
        <v>1114</v>
      </c>
      <c r="G29" s="349">
        <v>1375</v>
      </c>
      <c r="H29" s="346">
        <v>13810</v>
      </c>
      <c r="I29" s="346">
        <v>12435</v>
      </c>
      <c r="J29" s="349">
        <v>0</v>
      </c>
      <c r="K29" s="347">
        <v>99.52</v>
      </c>
      <c r="L29" s="347">
        <v>98.97</v>
      </c>
      <c r="M29" s="347">
        <v>8.6300000000000008</v>
      </c>
      <c r="N29" s="347">
        <v>105.61</v>
      </c>
      <c r="O29" s="348">
        <v>9148</v>
      </c>
      <c r="P29" s="347">
        <v>103.08</v>
      </c>
      <c r="Q29" s="347">
        <v>94.41</v>
      </c>
      <c r="R29" s="347">
        <v>52.78</v>
      </c>
      <c r="S29" s="347">
        <v>154.83000000000001</v>
      </c>
      <c r="T29" s="348">
        <v>1278</v>
      </c>
      <c r="U29" s="347">
        <v>136.6</v>
      </c>
      <c r="V29" s="348">
        <v>1456</v>
      </c>
      <c r="W29" s="347">
        <v>110.03</v>
      </c>
      <c r="X29" s="348">
        <v>5</v>
      </c>
      <c r="Y29" s="349">
        <v>16</v>
      </c>
      <c r="Z29" s="349">
        <v>3</v>
      </c>
      <c r="AA29" s="349">
        <v>5</v>
      </c>
      <c r="AB29" s="349">
        <v>118</v>
      </c>
      <c r="AC29" s="349">
        <v>19</v>
      </c>
      <c r="AD29" s="349">
        <v>10819</v>
      </c>
      <c r="AE29" s="349">
        <v>56</v>
      </c>
      <c r="AF29" s="349">
        <v>18</v>
      </c>
      <c r="AG29" s="349">
        <v>74</v>
      </c>
    </row>
    <row r="30" spans="1:33" x14ac:dyDescent="0.3">
      <c r="A30" s="342" t="s">
        <v>118</v>
      </c>
      <c r="B30" s="342" t="s">
        <v>119</v>
      </c>
      <c r="C30" s="349">
        <v>12120</v>
      </c>
      <c r="D30" s="349">
        <v>60</v>
      </c>
      <c r="E30" s="349">
        <v>158</v>
      </c>
      <c r="F30" s="349">
        <v>1302</v>
      </c>
      <c r="G30" s="349">
        <v>1345</v>
      </c>
      <c r="H30" s="346">
        <v>14985</v>
      </c>
      <c r="I30" s="346">
        <v>13640</v>
      </c>
      <c r="J30" s="349">
        <v>18</v>
      </c>
      <c r="K30" s="347">
        <v>112.22</v>
      </c>
      <c r="L30" s="347">
        <v>109.57</v>
      </c>
      <c r="M30" s="347">
        <v>12.24</v>
      </c>
      <c r="N30" s="347">
        <v>123.59</v>
      </c>
      <c r="O30" s="348">
        <v>9592</v>
      </c>
      <c r="P30" s="347">
        <v>98.35</v>
      </c>
      <c r="Q30" s="347">
        <v>94.11</v>
      </c>
      <c r="R30" s="347">
        <v>36.64</v>
      </c>
      <c r="S30" s="347">
        <v>134.35</v>
      </c>
      <c r="T30" s="348">
        <v>1319</v>
      </c>
      <c r="U30" s="347">
        <v>165.37</v>
      </c>
      <c r="V30" s="348">
        <v>1545</v>
      </c>
      <c r="W30" s="347">
        <v>0</v>
      </c>
      <c r="X30" s="348">
        <v>0</v>
      </c>
      <c r="Y30" s="349">
        <v>1</v>
      </c>
      <c r="Z30" s="349">
        <v>15</v>
      </c>
      <c r="AA30" s="349">
        <v>13</v>
      </c>
      <c r="AB30" s="349">
        <v>26</v>
      </c>
      <c r="AC30" s="349">
        <v>49</v>
      </c>
      <c r="AD30" s="349">
        <v>11267</v>
      </c>
      <c r="AE30" s="349">
        <v>164</v>
      </c>
      <c r="AF30" s="349">
        <v>46</v>
      </c>
      <c r="AG30" s="349">
        <v>210</v>
      </c>
    </row>
    <row r="31" spans="1:33" x14ac:dyDescent="0.3">
      <c r="A31" s="342" t="s">
        <v>120</v>
      </c>
      <c r="B31" s="342" t="s">
        <v>121</v>
      </c>
      <c r="C31" s="349">
        <v>33803</v>
      </c>
      <c r="D31" s="349">
        <v>836</v>
      </c>
      <c r="E31" s="349">
        <v>9396</v>
      </c>
      <c r="F31" s="349">
        <v>4476</v>
      </c>
      <c r="G31" s="349">
        <v>3038</v>
      </c>
      <c r="H31" s="346">
        <v>51549</v>
      </c>
      <c r="I31" s="346">
        <v>48511</v>
      </c>
      <c r="J31" s="349">
        <v>243</v>
      </c>
      <c r="K31" s="347">
        <v>93.74</v>
      </c>
      <c r="L31" s="347">
        <v>92.35</v>
      </c>
      <c r="M31" s="347">
        <v>8.32</v>
      </c>
      <c r="N31" s="347">
        <v>100.16</v>
      </c>
      <c r="O31" s="348">
        <v>30212</v>
      </c>
      <c r="P31" s="347">
        <v>85.78</v>
      </c>
      <c r="Q31" s="347">
        <v>80.540000000000006</v>
      </c>
      <c r="R31" s="347">
        <v>100.53</v>
      </c>
      <c r="S31" s="347">
        <v>185.5</v>
      </c>
      <c r="T31" s="348">
        <v>10478</v>
      </c>
      <c r="U31" s="347">
        <v>118.6</v>
      </c>
      <c r="V31" s="348">
        <v>1731</v>
      </c>
      <c r="W31" s="347">
        <v>183.32</v>
      </c>
      <c r="X31" s="348">
        <v>132</v>
      </c>
      <c r="Y31" s="349">
        <v>75</v>
      </c>
      <c r="Z31" s="349">
        <v>39</v>
      </c>
      <c r="AA31" s="349">
        <v>35</v>
      </c>
      <c r="AB31" s="349">
        <v>62</v>
      </c>
      <c r="AC31" s="349">
        <v>83</v>
      </c>
      <c r="AD31" s="349">
        <v>32407</v>
      </c>
      <c r="AE31" s="349">
        <v>167</v>
      </c>
      <c r="AF31" s="349">
        <v>82</v>
      </c>
      <c r="AG31" s="349">
        <v>249</v>
      </c>
    </row>
    <row r="32" spans="1:33" x14ac:dyDescent="0.3">
      <c r="A32" s="342" t="s">
        <v>122</v>
      </c>
      <c r="B32" s="342" t="s">
        <v>123</v>
      </c>
      <c r="C32" s="349">
        <v>2219</v>
      </c>
      <c r="D32" s="349">
        <v>0</v>
      </c>
      <c r="E32" s="349">
        <v>117</v>
      </c>
      <c r="F32" s="349">
        <v>1361</v>
      </c>
      <c r="G32" s="349">
        <v>412</v>
      </c>
      <c r="H32" s="346">
        <v>4109</v>
      </c>
      <c r="I32" s="346">
        <v>3697</v>
      </c>
      <c r="J32" s="349">
        <v>1</v>
      </c>
      <c r="K32" s="347">
        <v>87.79</v>
      </c>
      <c r="L32" s="347">
        <v>88.81</v>
      </c>
      <c r="M32" s="347">
        <v>4.67</v>
      </c>
      <c r="N32" s="347">
        <v>90.52</v>
      </c>
      <c r="O32" s="348">
        <v>1617</v>
      </c>
      <c r="P32" s="347">
        <v>76.47</v>
      </c>
      <c r="Q32" s="347">
        <v>75.239999999999995</v>
      </c>
      <c r="R32" s="347">
        <v>17.170000000000002</v>
      </c>
      <c r="S32" s="347">
        <v>93.5</v>
      </c>
      <c r="T32" s="348">
        <v>1361</v>
      </c>
      <c r="U32" s="347">
        <v>112.78</v>
      </c>
      <c r="V32" s="348">
        <v>512</v>
      </c>
      <c r="W32" s="347">
        <v>108.87</v>
      </c>
      <c r="X32" s="348">
        <v>112</v>
      </c>
      <c r="Y32" s="349">
        <v>0</v>
      </c>
      <c r="Z32" s="349">
        <v>4</v>
      </c>
      <c r="AA32" s="349">
        <v>3</v>
      </c>
      <c r="AB32" s="349">
        <v>7</v>
      </c>
      <c r="AC32" s="349">
        <v>7</v>
      </c>
      <c r="AD32" s="349">
        <v>2219</v>
      </c>
      <c r="AE32" s="349">
        <v>16</v>
      </c>
      <c r="AF32" s="349">
        <v>6</v>
      </c>
      <c r="AG32" s="349">
        <v>22</v>
      </c>
    </row>
    <row r="33" spans="1:33" x14ac:dyDescent="0.3">
      <c r="A33" s="342" t="s">
        <v>124</v>
      </c>
      <c r="B33" s="342" t="s">
        <v>125</v>
      </c>
      <c r="C33" s="349">
        <v>9942</v>
      </c>
      <c r="D33" s="349">
        <v>0</v>
      </c>
      <c r="E33" s="349">
        <v>534</v>
      </c>
      <c r="F33" s="349">
        <v>1093</v>
      </c>
      <c r="G33" s="349">
        <v>199</v>
      </c>
      <c r="H33" s="346">
        <v>11768</v>
      </c>
      <c r="I33" s="346">
        <v>11569</v>
      </c>
      <c r="J33" s="349">
        <v>1</v>
      </c>
      <c r="K33" s="347">
        <v>79.2</v>
      </c>
      <c r="L33" s="347">
        <v>75.709999999999994</v>
      </c>
      <c r="M33" s="347">
        <v>1.91</v>
      </c>
      <c r="N33" s="347">
        <v>80.89</v>
      </c>
      <c r="O33" s="348">
        <v>8411</v>
      </c>
      <c r="P33" s="347">
        <v>88.55</v>
      </c>
      <c r="Q33" s="347">
        <v>71.12</v>
      </c>
      <c r="R33" s="347">
        <v>60.03</v>
      </c>
      <c r="S33" s="347">
        <v>146.54</v>
      </c>
      <c r="T33" s="348">
        <v>1317</v>
      </c>
      <c r="U33" s="347">
        <v>96.95</v>
      </c>
      <c r="V33" s="348">
        <v>1449</v>
      </c>
      <c r="W33" s="347">
        <v>153.52000000000001</v>
      </c>
      <c r="X33" s="348">
        <v>215</v>
      </c>
      <c r="Y33" s="349">
        <v>0</v>
      </c>
      <c r="Z33" s="349">
        <v>42</v>
      </c>
      <c r="AA33" s="349">
        <v>2</v>
      </c>
      <c r="AB33" s="349">
        <v>1</v>
      </c>
      <c r="AC33" s="349">
        <v>5</v>
      </c>
      <c r="AD33" s="349">
        <v>9933</v>
      </c>
      <c r="AE33" s="349">
        <v>55</v>
      </c>
      <c r="AF33" s="349">
        <v>65</v>
      </c>
      <c r="AG33" s="349">
        <v>120</v>
      </c>
    </row>
    <row r="34" spans="1:33" x14ac:dyDescent="0.3">
      <c r="A34" s="342" t="s">
        <v>126</v>
      </c>
      <c r="B34" s="342" t="s">
        <v>127</v>
      </c>
      <c r="C34" s="349">
        <v>1772</v>
      </c>
      <c r="D34" s="349">
        <v>0</v>
      </c>
      <c r="E34" s="349">
        <v>490</v>
      </c>
      <c r="F34" s="349">
        <v>201</v>
      </c>
      <c r="G34" s="349">
        <v>148</v>
      </c>
      <c r="H34" s="346">
        <v>2611</v>
      </c>
      <c r="I34" s="346">
        <v>2463</v>
      </c>
      <c r="J34" s="349">
        <v>0</v>
      </c>
      <c r="K34" s="347">
        <v>86.95</v>
      </c>
      <c r="L34" s="347">
        <v>84.49</v>
      </c>
      <c r="M34" s="347">
        <v>4.6900000000000004</v>
      </c>
      <c r="N34" s="347">
        <v>90.65</v>
      </c>
      <c r="O34" s="348">
        <v>1191</v>
      </c>
      <c r="P34" s="347">
        <v>113.23</v>
      </c>
      <c r="Q34" s="347">
        <v>84.96</v>
      </c>
      <c r="R34" s="347">
        <v>71.41</v>
      </c>
      <c r="S34" s="347">
        <v>178.73</v>
      </c>
      <c r="T34" s="348">
        <v>605</v>
      </c>
      <c r="U34" s="347">
        <v>106.33</v>
      </c>
      <c r="V34" s="348">
        <v>460</v>
      </c>
      <c r="W34" s="347">
        <v>0</v>
      </c>
      <c r="X34" s="348">
        <v>0</v>
      </c>
      <c r="Y34" s="349">
        <v>0</v>
      </c>
      <c r="Z34" s="349">
        <v>4</v>
      </c>
      <c r="AA34" s="349">
        <v>0</v>
      </c>
      <c r="AB34" s="349">
        <v>0</v>
      </c>
      <c r="AC34" s="349">
        <v>2</v>
      </c>
      <c r="AD34" s="349">
        <v>1681</v>
      </c>
      <c r="AE34" s="349">
        <v>7</v>
      </c>
      <c r="AF34" s="349">
        <v>15</v>
      </c>
      <c r="AG34" s="349">
        <v>22</v>
      </c>
    </row>
    <row r="35" spans="1:33" x14ac:dyDescent="0.3">
      <c r="A35" s="342" t="s">
        <v>128</v>
      </c>
      <c r="B35" s="342" t="s">
        <v>129</v>
      </c>
      <c r="C35" s="349">
        <v>814</v>
      </c>
      <c r="D35" s="349">
        <v>0</v>
      </c>
      <c r="E35" s="349">
        <v>102</v>
      </c>
      <c r="F35" s="349">
        <v>261</v>
      </c>
      <c r="G35" s="349">
        <v>49</v>
      </c>
      <c r="H35" s="346">
        <v>1226</v>
      </c>
      <c r="I35" s="346">
        <v>1177</v>
      </c>
      <c r="J35" s="349">
        <v>0</v>
      </c>
      <c r="K35" s="347">
        <v>90.32</v>
      </c>
      <c r="L35" s="347">
        <v>88.49</v>
      </c>
      <c r="M35" s="347">
        <v>3.79</v>
      </c>
      <c r="N35" s="347">
        <v>92.61</v>
      </c>
      <c r="O35" s="348">
        <v>650</v>
      </c>
      <c r="P35" s="347">
        <v>103.04</v>
      </c>
      <c r="Q35" s="347">
        <v>86.91</v>
      </c>
      <c r="R35" s="347">
        <v>33.840000000000003</v>
      </c>
      <c r="S35" s="347">
        <v>134.05000000000001</v>
      </c>
      <c r="T35" s="348">
        <v>346</v>
      </c>
      <c r="U35" s="347">
        <v>93.92</v>
      </c>
      <c r="V35" s="348">
        <v>130</v>
      </c>
      <c r="W35" s="347">
        <v>0</v>
      </c>
      <c r="X35" s="348">
        <v>0</v>
      </c>
      <c r="Y35" s="349">
        <v>0</v>
      </c>
      <c r="Z35" s="349">
        <v>2</v>
      </c>
      <c r="AA35" s="349">
        <v>0</v>
      </c>
      <c r="AB35" s="349">
        <v>13</v>
      </c>
      <c r="AC35" s="349">
        <v>0</v>
      </c>
      <c r="AD35" s="349">
        <v>762</v>
      </c>
      <c r="AE35" s="349">
        <v>5</v>
      </c>
      <c r="AF35" s="349">
        <v>0</v>
      </c>
      <c r="AG35" s="349">
        <v>5</v>
      </c>
    </row>
    <row r="36" spans="1:33" x14ac:dyDescent="0.3">
      <c r="A36" s="342" t="s">
        <v>130</v>
      </c>
      <c r="B36" s="342" t="s">
        <v>131</v>
      </c>
      <c r="C36" s="349">
        <v>20520</v>
      </c>
      <c r="D36" s="349">
        <v>25</v>
      </c>
      <c r="E36" s="349">
        <v>859</v>
      </c>
      <c r="F36" s="349">
        <v>3995</v>
      </c>
      <c r="G36" s="349">
        <v>343</v>
      </c>
      <c r="H36" s="346">
        <v>25742</v>
      </c>
      <c r="I36" s="346">
        <v>25399</v>
      </c>
      <c r="J36" s="349">
        <v>73</v>
      </c>
      <c r="K36" s="347">
        <v>78.37</v>
      </c>
      <c r="L36" s="347">
        <v>79.680000000000007</v>
      </c>
      <c r="M36" s="347">
        <v>3.65</v>
      </c>
      <c r="N36" s="347">
        <v>81.67</v>
      </c>
      <c r="O36" s="348">
        <v>16983</v>
      </c>
      <c r="P36" s="347">
        <v>77.709999999999994</v>
      </c>
      <c r="Q36" s="347">
        <v>72.16</v>
      </c>
      <c r="R36" s="347">
        <v>35.79</v>
      </c>
      <c r="S36" s="347">
        <v>113.29</v>
      </c>
      <c r="T36" s="348">
        <v>4767</v>
      </c>
      <c r="U36" s="347">
        <v>97.15</v>
      </c>
      <c r="V36" s="348">
        <v>3280</v>
      </c>
      <c r="W36" s="347">
        <v>94.69</v>
      </c>
      <c r="X36" s="348">
        <v>1</v>
      </c>
      <c r="Y36" s="349">
        <v>0</v>
      </c>
      <c r="Z36" s="349">
        <v>113</v>
      </c>
      <c r="AA36" s="349">
        <v>2</v>
      </c>
      <c r="AB36" s="349">
        <v>14</v>
      </c>
      <c r="AC36" s="349">
        <v>7</v>
      </c>
      <c r="AD36" s="349">
        <v>20485</v>
      </c>
      <c r="AE36" s="349">
        <v>74</v>
      </c>
      <c r="AF36" s="349">
        <v>250</v>
      </c>
      <c r="AG36" s="349">
        <v>324</v>
      </c>
    </row>
    <row r="37" spans="1:33" x14ac:dyDescent="0.3">
      <c r="A37" s="342" t="s">
        <v>132</v>
      </c>
      <c r="B37" s="342" t="s">
        <v>133</v>
      </c>
      <c r="C37" s="349">
        <v>4774</v>
      </c>
      <c r="D37" s="349">
        <v>0</v>
      </c>
      <c r="E37" s="349">
        <v>172</v>
      </c>
      <c r="F37" s="349">
        <v>904</v>
      </c>
      <c r="G37" s="349">
        <v>361</v>
      </c>
      <c r="H37" s="346">
        <v>6211</v>
      </c>
      <c r="I37" s="346">
        <v>5850</v>
      </c>
      <c r="J37" s="349">
        <v>1</v>
      </c>
      <c r="K37" s="347">
        <v>80.819999999999993</v>
      </c>
      <c r="L37" s="347">
        <v>77.77</v>
      </c>
      <c r="M37" s="347">
        <v>2.14</v>
      </c>
      <c r="N37" s="347">
        <v>82.94</v>
      </c>
      <c r="O37" s="348">
        <v>4058</v>
      </c>
      <c r="P37" s="347">
        <v>79.53</v>
      </c>
      <c r="Q37" s="347">
        <v>72.12</v>
      </c>
      <c r="R37" s="347">
        <v>25.46</v>
      </c>
      <c r="S37" s="347">
        <v>104.99</v>
      </c>
      <c r="T37" s="348">
        <v>1026</v>
      </c>
      <c r="U37" s="347">
        <v>107.86</v>
      </c>
      <c r="V37" s="348">
        <v>555</v>
      </c>
      <c r="W37" s="347">
        <v>335.65</v>
      </c>
      <c r="X37" s="348">
        <v>6</v>
      </c>
      <c r="Y37" s="349">
        <v>0</v>
      </c>
      <c r="Z37" s="349">
        <v>13</v>
      </c>
      <c r="AA37" s="349">
        <v>0</v>
      </c>
      <c r="AB37" s="349">
        <v>33</v>
      </c>
      <c r="AC37" s="349">
        <v>6</v>
      </c>
      <c r="AD37" s="349">
        <v>4738</v>
      </c>
      <c r="AE37" s="349">
        <v>19</v>
      </c>
      <c r="AF37" s="349">
        <v>15</v>
      </c>
      <c r="AG37" s="349">
        <v>34</v>
      </c>
    </row>
    <row r="38" spans="1:33" x14ac:dyDescent="0.3">
      <c r="A38" s="342" t="s">
        <v>134</v>
      </c>
      <c r="B38" s="342" t="s">
        <v>135</v>
      </c>
      <c r="C38" s="349">
        <v>6868</v>
      </c>
      <c r="D38" s="349">
        <v>20</v>
      </c>
      <c r="E38" s="349">
        <v>1241</v>
      </c>
      <c r="F38" s="349">
        <v>975</v>
      </c>
      <c r="G38" s="349">
        <v>882</v>
      </c>
      <c r="H38" s="346">
        <v>9986</v>
      </c>
      <c r="I38" s="346">
        <v>9104</v>
      </c>
      <c r="J38" s="349">
        <v>20</v>
      </c>
      <c r="K38" s="347">
        <v>105.12</v>
      </c>
      <c r="L38" s="347">
        <v>103.01</v>
      </c>
      <c r="M38" s="347">
        <v>5.88</v>
      </c>
      <c r="N38" s="347">
        <v>109.28</v>
      </c>
      <c r="O38" s="348">
        <v>5846</v>
      </c>
      <c r="P38" s="347">
        <v>98.52</v>
      </c>
      <c r="Q38" s="347">
        <v>84.03</v>
      </c>
      <c r="R38" s="347">
        <v>49.68</v>
      </c>
      <c r="S38" s="347">
        <v>145.77000000000001</v>
      </c>
      <c r="T38" s="348">
        <v>1740</v>
      </c>
      <c r="U38" s="347">
        <v>146.06</v>
      </c>
      <c r="V38" s="348">
        <v>581</v>
      </c>
      <c r="W38" s="347">
        <v>343.62</v>
      </c>
      <c r="X38" s="348">
        <v>50</v>
      </c>
      <c r="Y38" s="349">
        <v>11</v>
      </c>
      <c r="Z38" s="349">
        <v>0</v>
      </c>
      <c r="AA38" s="349">
        <v>2</v>
      </c>
      <c r="AB38" s="349">
        <v>7</v>
      </c>
      <c r="AC38" s="349">
        <v>12</v>
      </c>
      <c r="AD38" s="349">
        <v>6431</v>
      </c>
      <c r="AE38" s="349">
        <v>36</v>
      </c>
      <c r="AF38" s="349">
        <v>34</v>
      </c>
      <c r="AG38" s="349">
        <v>70</v>
      </c>
    </row>
    <row r="39" spans="1:33" x14ac:dyDescent="0.3">
      <c r="A39" s="342" t="s">
        <v>136</v>
      </c>
      <c r="B39" s="342" t="s">
        <v>137</v>
      </c>
      <c r="C39" s="349">
        <v>7413</v>
      </c>
      <c r="D39" s="349">
        <v>0</v>
      </c>
      <c r="E39" s="349">
        <v>259</v>
      </c>
      <c r="F39" s="349">
        <v>545</v>
      </c>
      <c r="G39" s="349">
        <v>800</v>
      </c>
      <c r="H39" s="346">
        <v>9017</v>
      </c>
      <c r="I39" s="346">
        <v>8217</v>
      </c>
      <c r="J39" s="349">
        <v>22</v>
      </c>
      <c r="K39" s="347">
        <v>110.38</v>
      </c>
      <c r="L39" s="347">
        <v>110.04</v>
      </c>
      <c r="M39" s="347">
        <v>8.0299999999999994</v>
      </c>
      <c r="N39" s="347">
        <v>113.48</v>
      </c>
      <c r="O39" s="348">
        <v>6705</v>
      </c>
      <c r="P39" s="347">
        <v>99.4</v>
      </c>
      <c r="Q39" s="347">
        <v>97.67</v>
      </c>
      <c r="R39" s="347">
        <v>36.020000000000003</v>
      </c>
      <c r="S39" s="347">
        <v>133.87</v>
      </c>
      <c r="T39" s="348">
        <v>773</v>
      </c>
      <c r="U39" s="347">
        <v>167.26</v>
      </c>
      <c r="V39" s="348">
        <v>647</v>
      </c>
      <c r="W39" s="347">
        <v>0</v>
      </c>
      <c r="X39" s="348">
        <v>0</v>
      </c>
      <c r="Y39" s="349">
        <v>12</v>
      </c>
      <c r="Z39" s="349">
        <v>9</v>
      </c>
      <c r="AA39" s="349">
        <v>0</v>
      </c>
      <c r="AB39" s="349">
        <v>62</v>
      </c>
      <c r="AC39" s="349">
        <v>12</v>
      </c>
      <c r="AD39" s="349">
        <v>7401</v>
      </c>
      <c r="AE39" s="349">
        <v>29</v>
      </c>
      <c r="AF39" s="349">
        <v>170</v>
      </c>
      <c r="AG39" s="349">
        <v>199</v>
      </c>
    </row>
    <row r="40" spans="1:33" x14ac:dyDescent="0.3">
      <c r="A40" s="342" t="s">
        <v>138</v>
      </c>
      <c r="B40" s="342" t="s">
        <v>139</v>
      </c>
      <c r="C40" s="349">
        <v>26878</v>
      </c>
      <c r="D40" s="349">
        <v>0</v>
      </c>
      <c r="E40" s="349">
        <v>1808</v>
      </c>
      <c r="F40" s="349">
        <v>2846</v>
      </c>
      <c r="G40" s="349">
        <v>584</v>
      </c>
      <c r="H40" s="346">
        <v>32116</v>
      </c>
      <c r="I40" s="346">
        <v>31532</v>
      </c>
      <c r="J40" s="349">
        <v>2102</v>
      </c>
      <c r="K40" s="347">
        <v>79.72</v>
      </c>
      <c r="L40" s="347">
        <v>79.23</v>
      </c>
      <c r="M40" s="347">
        <v>5.34</v>
      </c>
      <c r="N40" s="347">
        <v>84.81</v>
      </c>
      <c r="O40" s="348">
        <v>23401</v>
      </c>
      <c r="P40" s="347">
        <v>85.11</v>
      </c>
      <c r="Q40" s="347">
        <v>75.959999999999994</v>
      </c>
      <c r="R40" s="347">
        <v>44.38</v>
      </c>
      <c r="S40" s="347">
        <v>128.26</v>
      </c>
      <c r="T40" s="348">
        <v>3651</v>
      </c>
      <c r="U40" s="347">
        <v>100.08</v>
      </c>
      <c r="V40" s="348">
        <v>3408</v>
      </c>
      <c r="W40" s="347">
        <v>154.87</v>
      </c>
      <c r="X40" s="348">
        <v>152</v>
      </c>
      <c r="Y40" s="349">
        <v>100</v>
      </c>
      <c r="Z40" s="349">
        <v>59</v>
      </c>
      <c r="AA40" s="349">
        <v>32</v>
      </c>
      <c r="AB40" s="349">
        <v>16</v>
      </c>
      <c r="AC40" s="349">
        <v>16</v>
      </c>
      <c r="AD40" s="349">
        <v>26860</v>
      </c>
      <c r="AE40" s="349">
        <v>306</v>
      </c>
      <c r="AF40" s="349">
        <v>189</v>
      </c>
      <c r="AG40" s="349">
        <v>495</v>
      </c>
    </row>
    <row r="41" spans="1:33" x14ac:dyDescent="0.3">
      <c r="A41" s="342" t="s">
        <v>140</v>
      </c>
      <c r="B41" s="342" t="s">
        <v>141</v>
      </c>
      <c r="C41" s="349">
        <v>9876</v>
      </c>
      <c r="D41" s="349">
        <v>0</v>
      </c>
      <c r="E41" s="349">
        <v>305</v>
      </c>
      <c r="F41" s="349">
        <v>701</v>
      </c>
      <c r="G41" s="349">
        <v>460</v>
      </c>
      <c r="H41" s="346">
        <v>11342</v>
      </c>
      <c r="I41" s="346">
        <v>10882</v>
      </c>
      <c r="J41" s="349">
        <v>0</v>
      </c>
      <c r="K41" s="347">
        <v>97.4</v>
      </c>
      <c r="L41" s="347">
        <v>97.59</v>
      </c>
      <c r="M41" s="347">
        <v>4.08</v>
      </c>
      <c r="N41" s="347">
        <v>98.53</v>
      </c>
      <c r="O41" s="348">
        <v>8725</v>
      </c>
      <c r="P41" s="347">
        <v>90</v>
      </c>
      <c r="Q41" s="347">
        <v>85.75</v>
      </c>
      <c r="R41" s="347">
        <v>44.84</v>
      </c>
      <c r="S41" s="347">
        <v>133.66999999999999</v>
      </c>
      <c r="T41" s="348">
        <v>842</v>
      </c>
      <c r="U41" s="347">
        <v>142.29</v>
      </c>
      <c r="V41" s="348">
        <v>1058</v>
      </c>
      <c r="W41" s="347">
        <v>157.13</v>
      </c>
      <c r="X41" s="348">
        <v>24</v>
      </c>
      <c r="Y41" s="349">
        <v>10</v>
      </c>
      <c r="Z41" s="349">
        <v>10</v>
      </c>
      <c r="AA41" s="349">
        <v>1</v>
      </c>
      <c r="AB41" s="349">
        <v>75</v>
      </c>
      <c r="AC41" s="349">
        <v>5</v>
      </c>
      <c r="AD41" s="349">
        <v>9864</v>
      </c>
      <c r="AE41" s="349">
        <v>22</v>
      </c>
      <c r="AF41" s="349">
        <v>65</v>
      </c>
      <c r="AG41" s="349">
        <v>87</v>
      </c>
    </row>
    <row r="42" spans="1:33" x14ac:dyDescent="0.3">
      <c r="A42" s="342" t="s">
        <v>142</v>
      </c>
      <c r="B42" s="342" t="s">
        <v>143</v>
      </c>
      <c r="C42" s="349">
        <v>7486</v>
      </c>
      <c r="D42" s="349">
        <v>0</v>
      </c>
      <c r="E42" s="349">
        <v>179</v>
      </c>
      <c r="F42" s="349">
        <v>975</v>
      </c>
      <c r="G42" s="349">
        <v>313</v>
      </c>
      <c r="H42" s="346">
        <v>8953</v>
      </c>
      <c r="I42" s="346">
        <v>8640</v>
      </c>
      <c r="J42" s="349">
        <v>0</v>
      </c>
      <c r="K42" s="347">
        <v>89.64</v>
      </c>
      <c r="L42" s="347">
        <v>89.79</v>
      </c>
      <c r="M42" s="347">
        <v>3.25</v>
      </c>
      <c r="N42" s="347">
        <v>90.57</v>
      </c>
      <c r="O42" s="348">
        <v>6742</v>
      </c>
      <c r="P42" s="347">
        <v>82</v>
      </c>
      <c r="Q42" s="347">
        <v>79.180000000000007</v>
      </c>
      <c r="R42" s="347">
        <v>22.44</v>
      </c>
      <c r="S42" s="347">
        <v>104.02</v>
      </c>
      <c r="T42" s="348">
        <v>1112</v>
      </c>
      <c r="U42" s="347">
        <v>114.61</v>
      </c>
      <c r="V42" s="348">
        <v>732</v>
      </c>
      <c r="W42" s="347">
        <v>0</v>
      </c>
      <c r="X42" s="348">
        <v>0</v>
      </c>
      <c r="Y42" s="349">
        <v>36</v>
      </c>
      <c r="Z42" s="349">
        <v>5</v>
      </c>
      <c r="AA42" s="349">
        <v>9</v>
      </c>
      <c r="AB42" s="349">
        <v>28</v>
      </c>
      <c r="AC42" s="349">
        <v>7</v>
      </c>
      <c r="AD42" s="349">
        <v>7486</v>
      </c>
      <c r="AE42" s="349">
        <v>39</v>
      </c>
      <c r="AF42" s="349">
        <v>41</v>
      </c>
      <c r="AG42" s="349">
        <v>80</v>
      </c>
    </row>
    <row r="43" spans="1:33" x14ac:dyDescent="0.3">
      <c r="A43" s="342" t="s">
        <v>144</v>
      </c>
      <c r="B43" s="342" t="s">
        <v>145</v>
      </c>
      <c r="C43" s="349">
        <v>16493</v>
      </c>
      <c r="D43" s="349">
        <v>171</v>
      </c>
      <c r="E43" s="349">
        <v>1038</v>
      </c>
      <c r="F43" s="349">
        <v>1072</v>
      </c>
      <c r="G43" s="349">
        <v>2207</v>
      </c>
      <c r="H43" s="346">
        <v>20981</v>
      </c>
      <c r="I43" s="346">
        <v>18774</v>
      </c>
      <c r="J43" s="349">
        <v>43</v>
      </c>
      <c r="K43" s="347">
        <v>127.79</v>
      </c>
      <c r="L43" s="347">
        <v>130.30000000000001</v>
      </c>
      <c r="M43" s="347">
        <v>11.31</v>
      </c>
      <c r="N43" s="347">
        <v>135.86000000000001</v>
      </c>
      <c r="O43" s="348">
        <v>11794</v>
      </c>
      <c r="P43" s="347">
        <v>116.94</v>
      </c>
      <c r="Q43" s="347">
        <v>98.59</v>
      </c>
      <c r="R43" s="347">
        <v>54.14</v>
      </c>
      <c r="S43" s="347">
        <v>161.74</v>
      </c>
      <c r="T43" s="348">
        <v>1772</v>
      </c>
      <c r="U43" s="347">
        <v>225.14</v>
      </c>
      <c r="V43" s="348">
        <v>1954</v>
      </c>
      <c r="W43" s="347">
        <v>208.69</v>
      </c>
      <c r="X43" s="348">
        <v>139</v>
      </c>
      <c r="Y43" s="349">
        <v>0</v>
      </c>
      <c r="Z43" s="349">
        <v>1</v>
      </c>
      <c r="AA43" s="349">
        <v>22</v>
      </c>
      <c r="AB43" s="349">
        <v>105</v>
      </c>
      <c r="AC43" s="349">
        <v>77</v>
      </c>
      <c r="AD43" s="349">
        <v>14644</v>
      </c>
      <c r="AE43" s="349">
        <v>270</v>
      </c>
      <c r="AF43" s="349">
        <v>26</v>
      </c>
      <c r="AG43" s="349">
        <v>296</v>
      </c>
    </row>
    <row r="44" spans="1:33" x14ac:dyDescent="0.3">
      <c r="A44" s="342" t="s">
        <v>146</v>
      </c>
      <c r="B44" s="342" t="s">
        <v>147</v>
      </c>
      <c r="C44" s="349">
        <v>851</v>
      </c>
      <c r="D44" s="349">
        <v>7</v>
      </c>
      <c r="E44" s="349">
        <v>79</v>
      </c>
      <c r="F44" s="349">
        <v>168</v>
      </c>
      <c r="G44" s="349">
        <v>200</v>
      </c>
      <c r="H44" s="346">
        <v>1305</v>
      </c>
      <c r="I44" s="346">
        <v>1105</v>
      </c>
      <c r="J44" s="349">
        <v>0</v>
      </c>
      <c r="K44" s="347">
        <v>118.82</v>
      </c>
      <c r="L44" s="347">
        <v>116.83</v>
      </c>
      <c r="M44" s="347">
        <v>8.8699999999999992</v>
      </c>
      <c r="N44" s="347">
        <v>127.05</v>
      </c>
      <c r="O44" s="348">
        <v>512</v>
      </c>
      <c r="P44" s="347">
        <v>99.64</v>
      </c>
      <c r="Q44" s="347">
        <v>95.78</v>
      </c>
      <c r="R44" s="347">
        <v>52.76</v>
      </c>
      <c r="S44" s="347">
        <v>152.16999999999999</v>
      </c>
      <c r="T44" s="348">
        <v>241</v>
      </c>
      <c r="U44" s="347">
        <v>146.38999999999999</v>
      </c>
      <c r="V44" s="348">
        <v>109</v>
      </c>
      <c r="W44" s="347">
        <v>0</v>
      </c>
      <c r="X44" s="348">
        <v>0</v>
      </c>
      <c r="Y44" s="349">
        <v>3</v>
      </c>
      <c r="Z44" s="349">
        <v>0</v>
      </c>
      <c r="AA44" s="349">
        <v>0</v>
      </c>
      <c r="AB44" s="349">
        <v>0</v>
      </c>
      <c r="AC44" s="349">
        <v>3</v>
      </c>
      <c r="AD44" s="349">
        <v>624</v>
      </c>
      <c r="AE44" s="349">
        <v>5</v>
      </c>
      <c r="AF44" s="349">
        <v>0</v>
      </c>
      <c r="AG44" s="349">
        <v>5</v>
      </c>
    </row>
    <row r="45" spans="1:33" x14ac:dyDescent="0.3">
      <c r="A45" s="342" t="s">
        <v>148</v>
      </c>
      <c r="B45" s="342" t="s">
        <v>149</v>
      </c>
      <c r="C45" s="349">
        <v>4689</v>
      </c>
      <c r="D45" s="349">
        <v>16</v>
      </c>
      <c r="E45" s="349">
        <v>1007</v>
      </c>
      <c r="F45" s="349">
        <v>953</v>
      </c>
      <c r="G45" s="349">
        <v>885</v>
      </c>
      <c r="H45" s="346">
        <v>7550</v>
      </c>
      <c r="I45" s="346">
        <v>6665</v>
      </c>
      <c r="J45" s="349">
        <v>68</v>
      </c>
      <c r="K45" s="347">
        <v>96.87</v>
      </c>
      <c r="L45" s="347">
        <v>94.4</v>
      </c>
      <c r="M45" s="347">
        <v>9.6300000000000008</v>
      </c>
      <c r="N45" s="347">
        <v>104.61</v>
      </c>
      <c r="O45" s="348">
        <v>3781</v>
      </c>
      <c r="P45" s="347">
        <v>94.3</v>
      </c>
      <c r="Q45" s="347">
        <v>82.94</v>
      </c>
      <c r="R45" s="347">
        <v>67.180000000000007</v>
      </c>
      <c r="S45" s="347">
        <v>158.49</v>
      </c>
      <c r="T45" s="348">
        <v>1193</v>
      </c>
      <c r="U45" s="347">
        <v>164.62</v>
      </c>
      <c r="V45" s="348">
        <v>455</v>
      </c>
      <c r="W45" s="347">
        <v>149.86000000000001</v>
      </c>
      <c r="X45" s="348">
        <v>26</v>
      </c>
      <c r="Y45" s="349">
        <v>21</v>
      </c>
      <c r="Z45" s="349">
        <v>0</v>
      </c>
      <c r="AA45" s="349">
        <v>3</v>
      </c>
      <c r="AB45" s="349">
        <v>30</v>
      </c>
      <c r="AC45" s="349">
        <v>34</v>
      </c>
      <c r="AD45" s="349">
        <v>4293</v>
      </c>
      <c r="AE45" s="349">
        <v>37</v>
      </c>
      <c r="AF45" s="349">
        <v>30</v>
      </c>
      <c r="AG45" s="349">
        <v>67</v>
      </c>
    </row>
    <row r="46" spans="1:33" x14ac:dyDescent="0.3">
      <c r="A46" s="342" t="s">
        <v>150</v>
      </c>
      <c r="B46" s="342" t="s">
        <v>151</v>
      </c>
      <c r="C46" s="349">
        <v>8851</v>
      </c>
      <c r="D46" s="349">
        <v>41</v>
      </c>
      <c r="E46" s="349">
        <v>2711</v>
      </c>
      <c r="F46" s="349">
        <v>1039</v>
      </c>
      <c r="G46" s="349">
        <v>1423</v>
      </c>
      <c r="H46" s="346">
        <v>14065</v>
      </c>
      <c r="I46" s="346">
        <v>12642</v>
      </c>
      <c r="J46" s="349">
        <v>94</v>
      </c>
      <c r="K46" s="347">
        <v>98.27</v>
      </c>
      <c r="L46" s="347">
        <v>96.98</v>
      </c>
      <c r="M46" s="347">
        <v>9.9700000000000006</v>
      </c>
      <c r="N46" s="347">
        <v>105.34</v>
      </c>
      <c r="O46" s="348">
        <v>7054</v>
      </c>
      <c r="P46" s="347">
        <v>90.57</v>
      </c>
      <c r="Q46" s="347">
        <v>89.66</v>
      </c>
      <c r="R46" s="347">
        <v>41.22</v>
      </c>
      <c r="S46" s="347">
        <v>130.06</v>
      </c>
      <c r="T46" s="348">
        <v>3071</v>
      </c>
      <c r="U46" s="347">
        <v>137.71</v>
      </c>
      <c r="V46" s="348">
        <v>1181</v>
      </c>
      <c r="W46" s="347">
        <v>143.13999999999999</v>
      </c>
      <c r="X46" s="348">
        <v>65</v>
      </c>
      <c r="Y46" s="349">
        <v>5</v>
      </c>
      <c r="Z46" s="349">
        <v>4</v>
      </c>
      <c r="AA46" s="349">
        <v>4</v>
      </c>
      <c r="AB46" s="349">
        <v>57</v>
      </c>
      <c r="AC46" s="349">
        <v>36</v>
      </c>
      <c r="AD46" s="349">
        <v>8450</v>
      </c>
      <c r="AE46" s="349">
        <v>42</v>
      </c>
      <c r="AF46" s="349">
        <v>32</v>
      </c>
      <c r="AG46" s="349">
        <v>74</v>
      </c>
    </row>
    <row r="47" spans="1:33" x14ac:dyDescent="0.3">
      <c r="A47" s="342" t="s">
        <v>152</v>
      </c>
      <c r="B47" s="342" t="s">
        <v>153</v>
      </c>
      <c r="C47" s="349">
        <v>4992</v>
      </c>
      <c r="D47" s="349">
        <v>0</v>
      </c>
      <c r="E47" s="349">
        <v>145</v>
      </c>
      <c r="F47" s="349">
        <v>559</v>
      </c>
      <c r="G47" s="349">
        <v>423</v>
      </c>
      <c r="H47" s="346">
        <v>6119</v>
      </c>
      <c r="I47" s="346">
        <v>5696</v>
      </c>
      <c r="J47" s="349">
        <v>0</v>
      </c>
      <c r="K47" s="347">
        <v>93.18</v>
      </c>
      <c r="L47" s="347">
        <v>90.02</v>
      </c>
      <c r="M47" s="347">
        <v>2.5099999999999998</v>
      </c>
      <c r="N47" s="347">
        <v>94.87</v>
      </c>
      <c r="O47" s="348">
        <v>3698</v>
      </c>
      <c r="P47" s="347">
        <v>91.2</v>
      </c>
      <c r="Q47" s="347">
        <v>79.59</v>
      </c>
      <c r="R47" s="347">
        <v>32.51</v>
      </c>
      <c r="S47" s="347">
        <v>123.61</v>
      </c>
      <c r="T47" s="348">
        <v>702</v>
      </c>
      <c r="U47" s="347">
        <v>113.11</v>
      </c>
      <c r="V47" s="348">
        <v>1143</v>
      </c>
      <c r="W47" s="347">
        <v>0</v>
      </c>
      <c r="X47" s="348">
        <v>0</v>
      </c>
      <c r="Y47" s="349">
        <v>44</v>
      </c>
      <c r="Z47" s="349">
        <v>4</v>
      </c>
      <c r="AA47" s="349">
        <v>4</v>
      </c>
      <c r="AB47" s="349">
        <v>34</v>
      </c>
      <c r="AC47" s="349">
        <v>3</v>
      </c>
      <c r="AD47" s="349">
        <v>4992</v>
      </c>
      <c r="AE47" s="349">
        <v>35</v>
      </c>
      <c r="AF47" s="349">
        <v>25</v>
      </c>
      <c r="AG47" s="349">
        <v>60</v>
      </c>
    </row>
    <row r="48" spans="1:33" x14ac:dyDescent="0.3">
      <c r="A48" s="342" t="s">
        <v>154</v>
      </c>
      <c r="B48" s="342" t="s">
        <v>155</v>
      </c>
      <c r="C48" s="349">
        <v>16202</v>
      </c>
      <c r="D48" s="349">
        <v>108</v>
      </c>
      <c r="E48" s="349">
        <v>600</v>
      </c>
      <c r="F48" s="349">
        <v>2012</v>
      </c>
      <c r="G48" s="349">
        <v>1221</v>
      </c>
      <c r="H48" s="346">
        <v>20143</v>
      </c>
      <c r="I48" s="346">
        <v>18922</v>
      </c>
      <c r="J48" s="349">
        <v>21</v>
      </c>
      <c r="K48" s="347">
        <v>116.32</v>
      </c>
      <c r="L48" s="347">
        <v>112.21</v>
      </c>
      <c r="M48" s="347">
        <v>11.1</v>
      </c>
      <c r="N48" s="347">
        <v>122.78</v>
      </c>
      <c r="O48" s="348">
        <v>13350</v>
      </c>
      <c r="P48" s="347">
        <v>112.3</v>
      </c>
      <c r="Q48" s="347">
        <v>100.32</v>
      </c>
      <c r="R48" s="347">
        <v>52.08</v>
      </c>
      <c r="S48" s="347">
        <v>163.71</v>
      </c>
      <c r="T48" s="348">
        <v>2085</v>
      </c>
      <c r="U48" s="347">
        <v>177.19</v>
      </c>
      <c r="V48" s="348">
        <v>1800</v>
      </c>
      <c r="W48" s="347">
        <v>0</v>
      </c>
      <c r="X48" s="348">
        <v>0</v>
      </c>
      <c r="Y48" s="349">
        <v>13</v>
      </c>
      <c r="Z48" s="349">
        <v>5</v>
      </c>
      <c r="AA48" s="349">
        <v>31</v>
      </c>
      <c r="AB48" s="349">
        <v>46</v>
      </c>
      <c r="AC48" s="349">
        <v>36</v>
      </c>
      <c r="AD48" s="349">
        <v>15361</v>
      </c>
      <c r="AE48" s="349">
        <v>145</v>
      </c>
      <c r="AF48" s="349">
        <v>79</v>
      </c>
      <c r="AG48" s="349">
        <v>224</v>
      </c>
    </row>
    <row r="49" spans="1:33" x14ac:dyDescent="0.3">
      <c r="A49" s="342" t="s">
        <v>156</v>
      </c>
      <c r="B49" s="342" t="s">
        <v>157</v>
      </c>
      <c r="C49" s="349">
        <v>3473</v>
      </c>
      <c r="D49" s="349">
        <v>0</v>
      </c>
      <c r="E49" s="349">
        <v>93</v>
      </c>
      <c r="F49" s="349">
        <v>1002</v>
      </c>
      <c r="G49" s="349">
        <v>452</v>
      </c>
      <c r="H49" s="346">
        <v>5020</v>
      </c>
      <c r="I49" s="346">
        <v>4568</v>
      </c>
      <c r="J49" s="349">
        <v>0</v>
      </c>
      <c r="K49" s="347">
        <v>92.8</v>
      </c>
      <c r="L49" s="347">
        <v>92.59</v>
      </c>
      <c r="M49" s="347">
        <v>4.7699999999999996</v>
      </c>
      <c r="N49" s="347">
        <v>95.66</v>
      </c>
      <c r="O49" s="348">
        <v>3096</v>
      </c>
      <c r="P49" s="347">
        <v>86.57</v>
      </c>
      <c r="Q49" s="347">
        <v>85.9</v>
      </c>
      <c r="R49" s="347">
        <v>25.83</v>
      </c>
      <c r="S49" s="347">
        <v>112.13</v>
      </c>
      <c r="T49" s="348">
        <v>1053</v>
      </c>
      <c r="U49" s="347">
        <v>117.04</v>
      </c>
      <c r="V49" s="348">
        <v>336</v>
      </c>
      <c r="W49" s="347">
        <v>0</v>
      </c>
      <c r="X49" s="348">
        <v>0</v>
      </c>
      <c r="Y49" s="349">
        <v>0</v>
      </c>
      <c r="Z49" s="349">
        <v>6</v>
      </c>
      <c r="AA49" s="349">
        <v>1</v>
      </c>
      <c r="AB49" s="349">
        <v>11</v>
      </c>
      <c r="AC49" s="349">
        <v>8</v>
      </c>
      <c r="AD49" s="349">
        <v>3473</v>
      </c>
      <c r="AE49" s="349">
        <v>10</v>
      </c>
      <c r="AF49" s="349">
        <v>22</v>
      </c>
      <c r="AG49" s="349">
        <v>32</v>
      </c>
    </row>
    <row r="50" spans="1:33" x14ac:dyDescent="0.3">
      <c r="A50" s="342" t="s">
        <v>158</v>
      </c>
      <c r="B50" s="342" t="s">
        <v>159</v>
      </c>
      <c r="C50" s="349">
        <v>4764</v>
      </c>
      <c r="D50" s="349">
        <v>0</v>
      </c>
      <c r="E50" s="349">
        <v>103</v>
      </c>
      <c r="F50" s="349">
        <v>378</v>
      </c>
      <c r="G50" s="349">
        <v>377</v>
      </c>
      <c r="H50" s="346">
        <v>5622</v>
      </c>
      <c r="I50" s="346">
        <v>5245</v>
      </c>
      <c r="J50" s="349">
        <v>0</v>
      </c>
      <c r="K50" s="347">
        <v>114.58</v>
      </c>
      <c r="L50" s="347">
        <v>112.39</v>
      </c>
      <c r="M50" s="347">
        <v>8.2200000000000006</v>
      </c>
      <c r="N50" s="347">
        <v>119.61</v>
      </c>
      <c r="O50" s="348">
        <v>3912</v>
      </c>
      <c r="P50" s="347">
        <v>101.75</v>
      </c>
      <c r="Q50" s="347">
        <v>93.44</v>
      </c>
      <c r="R50" s="347">
        <v>36.299999999999997</v>
      </c>
      <c r="S50" s="347">
        <v>137.66</v>
      </c>
      <c r="T50" s="348">
        <v>481</v>
      </c>
      <c r="U50" s="347">
        <v>172.73</v>
      </c>
      <c r="V50" s="348">
        <v>827</v>
      </c>
      <c r="W50" s="347">
        <v>0</v>
      </c>
      <c r="X50" s="348">
        <v>0</v>
      </c>
      <c r="Y50" s="349">
        <v>0</v>
      </c>
      <c r="Z50" s="349">
        <v>7</v>
      </c>
      <c r="AA50" s="349">
        <v>0</v>
      </c>
      <c r="AB50" s="349">
        <v>8</v>
      </c>
      <c r="AC50" s="349">
        <v>13</v>
      </c>
      <c r="AD50" s="349">
        <v>4764</v>
      </c>
      <c r="AE50" s="349">
        <v>19</v>
      </c>
      <c r="AF50" s="349">
        <v>7</v>
      </c>
      <c r="AG50" s="349">
        <v>26</v>
      </c>
    </row>
    <row r="51" spans="1:33" x14ac:dyDescent="0.3">
      <c r="A51" s="342" t="s">
        <v>160</v>
      </c>
      <c r="B51" s="342" t="s">
        <v>161</v>
      </c>
      <c r="C51" s="349">
        <v>1096</v>
      </c>
      <c r="D51" s="349">
        <v>0</v>
      </c>
      <c r="E51" s="349">
        <v>121</v>
      </c>
      <c r="F51" s="349">
        <v>108</v>
      </c>
      <c r="G51" s="349">
        <v>119</v>
      </c>
      <c r="H51" s="346">
        <v>1444</v>
      </c>
      <c r="I51" s="346">
        <v>1325</v>
      </c>
      <c r="J51" s="349">
        <v>9</v>
      </c>
      <c r="K51" s="347">
        <v>81.2</v>
      </c>
      <c r="L51" s="347">
        <v>78.83</v>
      </c>
      <c r="M51" s="347">
        <v>7.51</v>
      </c>
      <c r="N51" s="347">
        <v>87.52</v>
      </c>
      <c r="O51" s="348">
        <v>904</v>
      </c>
      <c r="P51" s="347">
        <v>99.03</v>
      </c>
      <c r="Q51" s="347">
        <v>71.64</v>
      </c>
      <c r="R51" s="347">
        <v>65.34</v>
      </c>
      <c r="S51" s="347">
        <v>164.05</v>
      </c>
      <c r="T51" s="348">
        <v>202</v>
      </c>
      <c r="U51" s="347">
        <v>98.6</v>
      </c>
      <c r="V51" s="348">
        <v>179</v>
      </c>
      <c r="W51" s="347">
        <v>201.67</v>
      </c>
      <c r="X51" s="348">
        <v>27</v>
      </c>
      <c r="Y51" s="349">
        <v>0</v>
      </c>
      <c r="Z51" s="349">
        <v>2</v>
      </c>
      <c r="AA51" s="349">
        <v>3</v>
      </c>
      <c r="AB51" s="349">
        <v>12</v>
      </c>
      <c r="AC51" s="349">
        <v>3</v>
      </c>
      <c r="AD51" s="349">
        <v>1096</v>
      </c>
      <c r="AE51" s="349">
        <v>1</v>
      </c>
      <c r="AF51" s="349">
        <v>1</v>
      </c>
      <c r="AG51" s="349">
        <v>2</v>
      </c>
    </row>
    <row r="52" spans="1:33" x14ac:dyDescent="0.3">
      <c r="A52" s="342" t="s">
        <v>775</v>
      </c>
      <c r="B52" s="342" t="s">
        <v>770</v>
      </c>
      <c r="C52" s="349">
        <v>25238</v>
      </c>
      <c r="D52" s="349">
        <v>3</v>
      </c>
      <c r="E52" s="349">
        <v>988</v>
      </c>
      <c r="F52" s="349">
        <v>3268</v>
      </c>
      <c r="G52" s="349">
        <v>2496</v>
      </c>
      <c r="H52" s="346">
        <v>31993</v>
      </c>
      <c r="I52" s="346">
        <v>29497</v>
      </c>
      <c r="J52" s="349">
        <v>172</v>
      </c>
      <c r="K52" s="347">
        <v>111.74</v>
      </c>
      <c r="L52" s="347">
        <v>111.41</v>
      </c>
      <c r="M52" s="347">
        <v>5.25</v>
      </c>
      <c r="N52" s="347">
        <v>115.16</v>
      </c>
      <c r="O52" s="348">
        <v>20898</v>
      </c>
      <c r="P52" s="347">
        <v>105.62</v>
      </c>
      <c r="Q52" s="347">
        <v>100.24</v>
      </c>
      <c r="R52" s="347">
        <v>30.13</v>
      </c>
      <c r="S52" s="347">
        <v>133.68</v>
      </c>
      <c r="T52" s="348">
        <v>3839</v>
      </c>
      <c r="U52" s="347">
        <v>165.94</v>
      </c>
      <c r="V52" s="348">
        <v>3739</v>
      </c>
      <c r="W52" s="347">
        <v>154.24</v>
      </c>
      <c r="X52" s="348">
        <v>58</v>
      </c>
      <c r="Y52" s="349">
        <v>645</v>
      </c>
      <c r="Z52" s="349">
        <v>40</v>
      </c>
      <c r="AA52" s="349">
        <v>12</v>
      </c>
      <c r="AB52" s="349">
        <v>136</v>
      </c>
      <c r="AC52" s="349">
        <v>71</v>
      </c>
      <c r="AD52" s="349">
        <v>24888</v>
      </c>
      <c r="AE52" s="349">
        <v>197</v>
      </c>
      <c r="AF52" s="349">
        <v>225</v>
      </c>
      <c r="AG52" s="349">
        <v>422</v>
      </c>
    </row>
    <row r="53" spans="1:33" x14ac:dyDescent="0.3">
      <c r="A53" s="342" t="s">
        <v>162</v>
      </c>
      <c r="B53" s="342" t="s">
        <v>163</v>
      </c>
      <c r="C53" s="349">
        <v>4606</v>
      </c>
      <c r="D53" s="349">
        <v>0</v>
      </c>
      <c r="E53" s="349">
        <v>359</v>
      </c>
      <c r="F53" s="349">
        <v>1444</v>
      </c>
      <c r="G53" s="349">
        <v>22</v>
      </c>
      <c r="H53" s="346">
        <v>6431</v>
      </c>
      <c r="I53" s="346">
        <v>6409</v>
      </c>
      <c r="J53" s="349">
        <v>4</v>
      </c>
      <c r="K53" s="347">
        <v>81.47</v>
      </c>
      <c r="L53" s="347">
        <v>79.23</v>
      </c>
      <c r="M53" s="347">
        <v>2.69</v>
      </c>
      <c r="N53" s="347">
        <v>83.93</v>
      </c>
      <c r="O53" s="348">
        <v>3827</v>
      </c>
      <c r="P53" s="347">
        <v>80.56</v>
      </c>
      <c r="Q53" s="347">
        <v>70.77</v>
      </c>
      <c r="R53" s="347">
        <v>36.96</v>
      </c>
      <c r="S53" s="347">
        <v>117.2</v>
      </c>
      <c r="T53" s="348">
        <v>1618</v>
      </c>
      <c r="U53" s="347">
        <v>97.08</v>
      </c>
      <c r="V53" s="348">
        <v>740</v>
      </c>
      <c r="W53" s="347">
        <v>266.41000000000003</v>
      </c>
      <c r="X53" s="348">
        <v>100</v>
      </c>
      <c r="Y53" s="349">
        <v>1</v>
      </c>
      <c r="Z53" s="349">
        <v>20</v>
      </c>
      <c r="AA53" s="349">
        <v>21</v>
      </c>
      <c r="AB53" s="349">
        <v>3</v>
      </c>
      <c r="AC53" s="349">
        <v>0</v>
      </c>
      <c r="AD53" s="349">
        <v>4573</v>
      </c>
      <c r="AE53" s="349">
        <v>47</v>
      </c>
      <c r="AF53" s="349">
        <v>12</v>
      </c>
      <c r="AG53" s="349">
        <v>59</v>
      </c>
    </row>
    <row r="54" spans="1:33" x14ac:dyDescent="0.3">
      <c r="A54" s="342" t="s">
        <v>164</v>
      </c>
      <c r="B54" s="342" t="s">
        <v>165</v>
      </c>
      <c r="C54" s="349">
        <v>3788</v>
      </c>
      <c r="D54" s="349">
        <v>0</v>
      </c>
      <c r="E54" s="349">
        <v>511</v>
      </c>
      <c r="F54" s="349">
        <v>588</v>
      </c>
      <c r="G54" s="349">
        <v>141</v>
      </c>
      <c r="H54" s="346">
        <v>5028</v>
      </c>
      <c r="I54" s="346">
        <v>4887</v>
      </c>
      <c r="J54" s="349">
        <v>0</v>
      </c>
      <c r="K54" s="347">
        <v>82.65</v>
      </c>
      <c r="L54" s="347">
        <v>81.05</v>
      </c>
      <c r="M54" s="347">
        <v>5.56</v>
      </c>
      <c r="N54" s="347">
        <v>86.08</v>
      </c>
      <c r="O54" s="348">
        <v>3024</v>
      </c>
      <c r="P54" s="347">
        <v>89.94</v>
      </c>
      <c r="Q54" s="347">
        <v>76.739999999999995</v>
      </c>
      <c r="R54" s="347">
        <v>48.99</v>
      </c>
      <c r="S54" s="347">
        <v>133.62</v>
      </c>
      <c r="T54" s="348">
        <v>821</v>
      </c>
      <c r="U54" s="347">
        <v>105.08</v>
      </c>
      <c r="V54" s="348">
        <v>507</v>
      </c>
      <c r="W54" s="347">
        <v>125.98</v>
      </c>
      <c r="X54" s="348">
        <v>17</v>
      </c>
      <c r="Y54" s="349">
        <v>4</v>
      </c>
      <c r="Z54" s="349">
        <v>4</v>
      </c>
      <c r="AA54" s="349">
        <v>0</v>
      </c>
      <c r="AB54" s="349">
        <v>0</v>
      </c>
      <c r="AC54" s="349">
        <v>3</v>
      </c>
      <c r="AD54" s="349">
        <v>3414</v>
      </c>
      <c r="AE54" s="349">
        <v>16</v>
      </c>
      <c r="AF54" s="349">
        <v>13</v>
      </c>
      <c r="AG54" s="349">
        <v>29</v>
      </c>
    </row>
    <row r="55" spans="1:33" x14ac:dyDescent="0.3">
      <c r="A55" s="342" t="s">
        <v>166</v>
      </c>
      <c r="B55" s="342" t="s">
        <v>167</v>
      </c>
      <c r="C55" s="349">
        <v>12454</v>
      </c>
      <c r="D55" s="349">
        <v>0</v>
      </c>
      <c r="E55" s="349">
        <v>394</v>
      </c>
      <c r="F55" s="349">
        <v>1076</v>
      </c>
      <c r="G55" s="349">
        <v>223</v>
      </c>
      <c r="H55" s="346">
        <v>14147</v>
      </c>
      <c r="I55" s="346">
        <v>13924</v>
      </c>
      <c r="J55" s="349">
        <v>9</v>
      </c>
      <c r="K55" s="347">
        <v>78.87</v>
      </c>
      <c r="L55" s="347">
        <v>77.290000000000006</v>
      </c>
      <c r="M55" s="347">
        <v>7</v>
      </c>
      <c r="N55" s="347">
        <v>85.56</v>
      </c>
      <c r="O55" s="348">
        <v>11674</v>
      </c>
      <c r="P55" s="347">
        <v>88.55</v>
      </c>
      <c r="Q55" s="347">
        <v>76.17</v>
      </c>
      <c r="R55" s="347">
        <v>39.82</v>
      </c>
      <c r="S55" s="347">
        <v>128.12</v>
      </c>
      <c r="T55" s="348">
        <v>1284</v>
      </c>
      <c r="U55" s="347">
        <v>99.95</v>
      </c>
      <c r="V55" s="348">
        <v>705</v>
      </c>
      <c r="W55" s="347">
        <v>96.57</v>
      </c>
      <c r="X55" s="348">
        <v>10</v>
      </c>
      <c r="Y55" s="349">
        <v>68</v>
      </c>
      <c r="Z55" s="349">
        <v>37</v>
      </c>
      <c r="AA55" s="349">
        <v>4</v>
      </c>
      <c r="AB55" s="349">
        <v>1</v>
      </c>
      <c r="AC55" s="349">
        <v>5</v>
      </c>
      <c r="AD55" s="349">
        <v>12430</v>
      </c>
      <c r="AE55" s="349">
        <v>69</v>
      </c>
      <c r="AF55" s="349">
        <v>143</v>
      </c>
      <c r="AG55" s="349">
        <v>212</v>
      </c>
    </row>
    <row r="56" spans="1:33" x14ac:dyDescent="0.3">
      <c r="A56" s="342" t="s">
        <v>168</v>
      </c>
      <c r="B56" s="342" t="s">
        <v>169</v>
      </c>
      <c r="C56" s="349">
        <v>3831</v>
      </c>
      <c r="D56" s="349">
        <v>595</v>
      </c>
      <c r="E56" s="349">
        <v>466</v>
      </c>
      <c r="F56" s="349">
        <v>495</v>
      </c>
      <c r="G56" s="349">
        <v>737</v>
      </c>
      <c r="H56" s="346">
        <v>6124</v>
      </c>
      <c r="I56" s="346">
        <v>5387</v>
      </c>
      <c r="J56" s="349">
        <v>0</v>
      </c>
      <c r="K56" s="347">
        <v>109.37</v>
      </c>
      <c r="L56" s="347">
        <v>109.97</v>
      </c>
      <c r="M56" s="347">
        <v>8.86</v>
      </c>
      <c r="N56" s="347">
        <v>115.39</v>
      </c>
      <c r="O56" s="348">
        <v>2641</v>
      </c>
      <c r="P56" s="347">
        <v>97.52</v>
      </c>
      <c r="Q56" s="347">
        <v>94.57</v>
      </c>
      <c r="R56" s="347">
        <v>67.06</v>
      </c>
      <c r="S56" s="347">
        <v>164.51</v>
      </c>
      <c r="T56" s="348">
        <v>867</v>
      </c>
      <c r="U56" s="347">
        <v>155.01</v>
      </c>
      <c r="V56" s="348">
        <v>947</v>
      </c>
      <c r="W56" s="347">
        <v>167.41</v>
      </c>
      <c r="X56" s="348">
        <v>2</v>
      </c>
      <c r="Y56" s="349">
        <v>7</v>
      </c>
      <c r="Z56" s="349">
        <v>2</v>
      </c>
      <c r="AA56" s="349">
        <v>5</v>
      </c>
      <c r="AB56" s="349">
        <v>14</v>
      </c>
      <c r="AC56" s="349">
        <v>45</v>
      </c>
      <c r="AD56" s="349">
        <v>3814</v>
      </c>
      <c r="AE56" s="349">
        <v>59</v>
      </c>
      <c r="AF56" s="349">
        <v>6</v>
      </c>
      <c r="AG56" s="349">
        <v>65</v>
      </c>
    </row>
    <row r="57" spans="1:33" x14ac:dyDescent="0.3">
      <c r="A57" s="342" t="s">
        <v>170</v>
      </c>
      <c r="B57" s="342" t="s">
        <v>171</v>
      </c>
      <c r="C57" s="349">
        <v>8329</v>
      </c>
      <c r="D57" s="349">
        <v>975</v>
      </c>
      <c r="E57" s="349">
        <v>1496</v>
      </c>
      <c r="F57" s="349">
        <v>936</v>
      </c>
      <c r="G57" s="349">
        <v>545</v>
      </c>
      <c r="H57" s="346">
        <v>12281</v>
      </c>
      <c r="I57" s="346">
        <v>11736</v>
      </c>
      <c r="J57" s="349">
        <v>234</v>
      </c>
      <c r="K57" s="347">
        <v>134.75</v>
      </c>
      <c r="L57" s="347">
        <v>141.04</v>
      </c>
      <c r="M57" s="347">
        <v>14.37</v>
      </c>
      <c r="N57" s="347">
        <v>147.66999999999999</v>
      </c>
      <c r="O57" s="348">
        <v>6132</v>
      </c>
      <c r="P57" s="347">
        <v>113.2</v>
      </c>
      <c r="Q57" s="347">
        <v>114.46</v>
      </c>
      <c r="R57" s="347">
        <v>79.52</v>
      </c>
      <c r="S57" s="347">
        <v>190.85</v>
      </c>
      <c r="T57" s="348">
        <v>2250</v>
      </c>
      <c r="U57" s="347">
        <v>217.09</v>
      </c>
      <c r="V57" s="348">
        <v>469</v>
      </c>
      <c r="W57" s="347">
        <v>260.8</v>
      </c>
      <c r="X57" s="348">
        <v>57</v>
      </c>
      <c r="Y57" s="349">
        <v>0</v>
      </c>
      <c r="Z57" s="349">
        <v>0</v>
      </c>
      <c r="AA57" s="349">
        <v>32</v>
      </c>
      <c r="AB57" s="349">
        <v>3</v>
      </c>
      <c r="AC57" s="349">
        <v>12</v>
      </c>
      <c r="AD57" s="349">
        <v>6929</v>
      </c>
      <c r="AE57" s="349">
        <v>232</v>
      </c>
      <c r="AF57" s="349">
        <v>20</v>
      </c>
      <c r="AG57" s="349">
        <v>252</v>
      </c>
    </row>
    <row r="58" spans="1:33" x14ac:dyDescent="0.3">
      <c r="A58" s="342" t="s">
        <v>172</v>
      </c>
      <c r="B58" s="342" t="s">
        <v>173</v>
      </c>
      <c r="C58" s="349">
        <v>1720</v>
      </c>
      <c r="D58" s="349">
        <v>2</v>
      </c>
      <c r="E58" s="349">
        <v>231</v>
      </c>
      <c r="F58" s="349">
        <v>271</v>
      </c>
      <c r="G58" s="349">
        <v>480</v>
      </c>
      <c r="H58" s="346">
        <v>2704</v>
      </c>
      <c r="I58" s="346">
        <v>2224</v>
      </c>
      <c r="J58" s="349">
        <v>0</v>
      </c>
      <c r="K58" s="347">
        <v>92.1</v>
      </c>
      <c r="L58" s="347">
        <v>89.89</v>
      </c>
      <c r="M58" s="347">
        <v>5.36</v>
      </c>
      <c r="N58" s="347">
        <v>95.43</v>
      </c>
      <c r="O58" s="348">
        <v>1345</v>
      </c>
      <c r="P58" s="347">
        <v>91.37</v>
      </c>
      <c r="Q58" s="347">
        <v>80.89</v>
      </c>
      <c r="R58" s="347">
        <v>65.59</v>
      </c>
      <c r="S58" s="347">
        <v>156.96</v>
      </c>
      <c r="T58" s="348">
        <v>354</v>
      </c>
      <c r="U58" s="347">
        <v>114.81</v>
      </c>
      <c r="V58" s="348">
        <v>334</v>
      </c>
      <c r="W58" s="347">
        <v>215.84</v>
      </c>
      <c r="X58" s="348">
        <v>69</v>
      </c>
      <c r="Y58" s="349">
        <v>0</v>
      </c>
      <c r="Z58" s="349">
        <v>1</v>
      </c>
      <c r="AA58" s="349">
        <v>0</v>
      </c>
      <c r="AB58" s="349">
        <v>20</v>
      </c>
      <c r="AC58" s="349">
        <v>8</v>
      </c>
      <c r="AD58" s="349">
        <v>1698</v>
      </c>
      <c r="AE58" s="349">
        <v>6</v>
      </c>
      <c r="AF58" s="349">
        <v>4</v>
      </c>
      <c r="AG58" s="349">
        <v>10</v>
      </c>
    </row>
    <row r="59" spans="1:33" x14ac:dyDescent="0.3">
      <c r="A59" s="342" t="s">
        <v>174</v>
      </c>
      <c r="B59" s="342" t="s">
        <v>175</v>
      </c>
      <c r="C59" s="349">
        <v>2067</v>
      </c>
      <c r="D59" s="349">
        <v>0</v>
      </c>
      <c r="E59" s="349">
        <v>179</v>
      </c>
      <c r="F59" s="349">
        <v>380</v>
      </c>
      <c r="G59" s="349">
        <v>525</v>
      </c>
      <c r="H59" s="346">
        <v>3151</v>
      </c>
      <c r="I59" s="346">
        <v>2626</v>
      </c>
      <c r="J59" s="349">
        <v>0</v>
      </c>
      <c r="K59" s="347">
        <v>104.35</v>
      </c>
      <c r="L59" s="347">
        <v>103.04</v>
      </c>
      <c r="M59" s="347">
        <v>7.98</v>
      </c>
      <c r="N59" s="347">
        <v>110.89</v>
      </c>
      <c r="O59" s="348">
        <v>1379</v>
      </c>
      <c r="P59" s="347">
        <v>90.32</v>
      </c>
      <c r="Q59" s="347">
        <v>81.48</v>
      </c>
      <c r="R59" s="347">
        <v>51.96</v>
      </c>
      <c r="S59" s="347">
        <v>140.83000000000001</v>
      </c>
      <c r="T59" s="348">
        <v>535</v>
      </c>
      <c r="U59" s="347">
        <v>152.35</v>
      </c>
      <c r="V59" s="348">
        <v>399</v>
      </c>
      <c r="W59" s="347">
        <v>120.23</v>
      </c>
      <c r="X59" s="348">
        <v>6</v>
      </c>
      <c r="Y59" s="349">
        <v>0</v>
      </c>
      <c r="Z59" s="349">
        <v>0</v>
      </c>
      <c r="AA59" s="349">
        <v>1</v>
      </c>
      <c r="AB59" s="349">
        <v>34</v>
      </c>
      <c r="AC59" s="349">
        <v>10</v>
      </c>
      <c r="AD59" s="349">
        <v>1881</v>
      </c>
      <c r="AE59" s="349">
        <v>9</v>
      </c>
      <c r="AF59" s="349">
        <v>11</v>
      </c>
      <c r="AG59" s="349">
        <v>20</v>
      </c>
    </row>
    <row r="60" spans="1:33" x14ac:dyDescent="0.3">
      <c r="A60" s="342" t="s">
        <v>176</v>
      </c>
      <c r="B60" s="342" t="s">
        <v>177</v>
      </c>
      <c r="C60" s="349">
        <v>7170</v>
      </c>
      <c r="D60" s="349">
        <v>11</v>
      </c>
      <c r="E60" s="349">
        <v>287</v>
      </c>
      <c r="F60" s="349">
        <v>337</v>
      </c>
      <c r="G60" s="349">
        <v>272</v>
      </c>
      <c r="H60" s="346">
        <v>8077</v>
      </c>
      <c r="I60" s="346">
        <v>7805</v>
      </c>
      <c r="J60" s="349">
        <v>0</v>
      </c>
      <c r="K60" s="347">
        <v>82.58</v>
      </c>
      <c r="L60" s="347">
        <v>79.42</v>
      </c>
      <c r="M60" s="347">
        <v>4.01</v>
      </c>
      <c r="N60" s="347">
        <v>85.62</v>
      </c>
      <c r="O60" s="348">
        <v>5710</v>
      </c>
      <c r="P60" s="347">
        <v>99.04</v>
      </c>
      <c r="Q60" s="347">
        <v>78.180000000000007</v>
      </c>
      <c r="R60" s="347">
        <v>60.84</v>
      </c>
      <c r="S60" s="347">
        <v>158.76</v>
      </c>
      <c r="T60" s="348">
        <v>542</v>
      </c>
      <c r="U60" s="347">
        <v>93.17</v>
      </c>
      <c r="V60" s="348">
        <v>1453</v>
      </c>
      <c r="W60" s="347">
        <v>0</v>
      </c>
      <c r="X60" s="348">
        <v>0</v>
      </c>
      <c r="Y60" s="349">
        <v>0</v>
      </c>
      <c r="Z60" s="349">
        <v>25</v>
      </c>
      <c r="AA60" s="349">
        <v>11</v>
      </c>
      <c r="AB60" s="349">
        <v>8</v>
      </c>
      <c r="AC60" s="349">
        <v>3</v>
      </c>
      <c r="AD60" s="349">
        <v>7155</v>
      </c>
      <c r="AE60" s="349">
        <v>68</v>
      </c>
      <c r="AF60" s="349">
        <v>21</v>
      </c>
      <c r="AG60" s="349">
        <v>89</v>
      </c>
    </row>
    <row r="61" spans="1:33" x14ac:dyDescent="0.3">
      <c r="A61" s="342" t="s">
        <v>178</v>
      </c>
      <c r="B61" s="342" t="s">
        <v>179</v>
      </c>
      <c r="C61" s="349">
        <v>457</v>
      </c>
      <c r="D61" s="349">
        <v>0</v>
      </c>
      <c r="E61" s="349">
        <v>71</v>
      </c>
      <c r="F61" s="349">
        <v>73</v>
      </c>
      <c r="G61" s="349">
        <v>94</v>
      </c>
      <c r="H61" s="346">
        <v>695</v>
      </c>
      <c r="I61" s="346">
        <v>601</v>
      </c>
      <c r="J61" s="349">
        <v>0</v>
      </c>
      <c r="K61" s="347">
        <v>108.32</v>
      </c>
      <c r="L61" s="347">
        <v>106.78</v>
      </c>
      <c r="M61" s="347">
        <v>8.6300000000000008</v>
      </c>
      <c r="N61" s="347">
        <v>113.29</v>
      </c>
      <c r="O61" s="348">
        <v>365</v>
      </c>
      <c r="P61" s="347">
        <v>93.22</v>
      </c>
      <c r="Q61" s="347">
        <v>83.25</v>
      </c>
      <c r="R61" s="347">
        <v>65.83</v>
      </c>
      <c r="S61" s="347">
        <v>157.44</v>
      </c>
      <c r="T61" s="348">
        <v>123</v>
      </c>
      <c r="U61" s="347">
        <v>150.75</v>
      </c>
      <c r="V61" s="348">
        <v>77</v>
      </c>
      <c r="W61" s="347">
        <v>0</v>
      </c>
      <c r="X61" s="348">
        <v>0</v>
      </c>
      <c r="Y61" s="349">
        <v>0</v>
      </c>
      <c r="Z61" s="349">
        <v>1</v>
      </c>
      <c r="AA61" s="349">
        <v>0</v>
      </c>
      <c r="AB61" s="349">
        <v>0</v>
      </c>
      <c r="AC61" s="349">
        <v>1</v>
      </c>
      <c r="AD61" s="349">
        <v>457</v>
      </c>
      <c r="AE61" s="349">
        <v>1</v>
      </c>
      <c r="AF61" s="349">
        <v>0</v>
      </c>
      <c r="AG61" s="349">
        <v>1</v>
      </c>
    </row>
    <row r="62" spans="1:33" x14ac:dyDescent="0.3">
      <c r="A62" s="342" t="s">
        <v>180</v>
      </c>
      <c r="B62" s="342" t="s">
        <v>181</v>
      </c>
      <c r="C62" s="349">
        <v>10301</v>
      </c>
      <c r="D62" s="349">
        <v>0</v>
      </c>
      <c r="E62" s="349">
        <v>310</v>
      </c>
      <c r="F62" s="349">
        <v>789</v>
      </c>
      <c r="G62" s="349">
        <v>2084</v>
      </c>
      <c r="H62" s="346">
        <v>13484</v>
      </c>
      <c r="I62" s="346">
        <v>11400</v>
      </c>
      <c r="J62" s="349">
        <v>415</v>
      </c>
      <c r="K62" s="347">
        <v>103.05</v>
      </c>
      <c r="L62" s="347">
        <v>104.02</v>
      </c>
      <c r="M62" s="347">
        <v>5.0999999999999996</v>
      </c>
      <c r="N62" s="347">
        <v>104.61</v>
      </c>
      <c r="O62" s="348">
        <v>8453</v>
      </c>
      <c r="P62" s="347">
        <v>97.38</v>
      </c>
      <c r="Q62" s="347">
        <v>87.5</v>
      </c>
      <c r="R62" s="347">
        <v>35.81</v>
      </c>
      <c r="S62" s="347">
        <v>129.33000000000001</v>
      </c>
      <c r="T62" s="348">
        <v>1001</v>
      </c>
      <c r="U62" s="347">
        <v>149.41</v>
      </c>
      <c r="V62" s="348">
        <v>1689</v>
      </c>
      <c r="W62" s="347">
        <v>123.65</v>
      </c>
      <c r="X62" s="348">
        <v>50</v>
      </c>
      <c r="Y62" s="349">
        <v>75</v>
      </c>
      <c r="Z62" s="349">
        <v>10</v>
      </c>
      <c r="AA62" s="349">
        <v>2</v>
      </c>
      <c r="AB62" s="349">
        <v>189</v>
      </c>
      <c r="AC62" s="349">
        <v>22</v>
      </c>
      <c r="AD62" s="349">
        <v>10225</v>
      </c>
      <c r="AE62" s="349">
        <v>32</v>
      </c>
      <c r="AF62" s="349">
        <v>32</v>
      </c>
      <c r="AG62" s="349">
        <v>64</v>
      </c>
    </row>
    <row r="63" spans="1:33" x14ac:dyDescent="0.3">
      <c r="A63" s="342" t="s">
        <v>182</v>
      </c>
      <c r="B63" s="342" t="s">
        <v>183</v>
      </c>
      <c r="C63" s="349">
        <v>3223</v>
      </c>
      <c r="D63" s="349">
        <v>0</v>
      </c>
      <c r="E63" s="349">
        <v>346</v>
      </c>
      <c r="F63" s="349">
        <v>253</v>
      </c>
      <c r="G63" s="349">
        <v>714</v>
      </c>
      <c r="H63" s="346">
        <v>4536</v>
      </c>
      <c r="I63" s="346">
        <v>3822</v>
      </c>
      <c r="J63" s="349">
        <v>0</v>
      </c>
      <c r="K63" s="347">
        <v>92.68</v>
      </c>
      <c r="L63" s="347">
        <v>90.16</v>
      </c>
      <c r="M63" s="347">
        <v>6.87</v>
      </c>
      <c r="N63" s="347">
        <v>98.13</v>
      </c>
      <c r="O63" s="348">
        <v>2229</v>
      </c>
      <c r="P63" s="347">
        <v>98.48</v>
      </c>
      <c r="Q63" s="347">
        <v>83.15</v>
      </c>
      <c r="R63" s="347">
        <v>64.349999999999994</v>
      </c>
      <c r="S63" s="347">
        <v>160.66999999999999</v>
      </c>
      <c r="T63" s="348">
        <v>447</v>
      </c>
      <c r="U63" s="347">
        <v>112.32</v>
      </c>
      <c r="V63" s="348">
        <v>914</v>
      </c>
      <c r="W63" s="347">
        <v>116.54</v>
      </c>
      <c r="X63" s="348">
        <v>69</v>
      </c>
      <c r="Y63" s="349">
        <v>0</v>
      </c>
      <c r="Z63" s="349">
        <v>2</v>
      </c>
      <c r="AA63" s="349">
        <v>1</v>
      </c>
      <c r="AB63" s="349">
        <v>52</v>
      </c>
      <c r="AC63" s="349">
        <v>17</v>
      </c>
      <c r="AD63" s="349">
        <v>3223</v>
      </c>
      <c r="AE63" s="349">
        <v>15</v>
      </c>
      <c r="AF63" s="349">
        <v>6</v>
      </c>
      <c r="AG63" s="349">
        <v>21</v>
      </c>
    </row>
    <row r="64" spans="1:33" x14ac:dyDescent="0.3">
      <c r="A64" s="342" t="s">
        <v>184</v>
      </c>
      <c r="B64" s="342" t="s">
        <v>185</v>
      </c>
      <c r="C64" s="349">
        <v>9771</v>
      </c>
      <c r="D64" s="349">
        <v>250</v>
      </c>
      <c r="E64" s="349">
        <v>325</v>
      </c>
      <c r="F64" s="349">
        <v>288</v>
      </c>
      <c r="G64" s="349">
        <v>750</v>
      </c>
      <c r="H64" s="346">
        <v>11384</v>
      </c>
      <c r="I64" s="346">
        <v>10634</v>
      </c>
      <c r="J64" s="349">
        <v>2</v>
      </c>
      <c r="K64" s="347">
        <v>102.63</v>
      </c>
      <c r="L64" s="347">
        <v>100.82</v>
      </c>
      <c r="M64" s="347">
        <v>11.16</v>
      </c>
      <c r="N64" s="347">
        <v>107.97</v>
      </c>
      <c r="O64" s="348">
        <v>8611</v>
      </c>
      <c r="P64" s="347">
        <v>100.26</v>
      </c>
      <c r="Q64" s="347">
        <v>91.7</v>
      </c>
      <c r="R64" s="347">
        <v>87.45</v>
      </c>
      <c r="S64" s="347">
        <v>183.48</v>
      </c>
      <c r="T64" s="348">
        <v>517</v>
      </c>
      <c r="U64" s="347">
        <v>147.77000000000001</v>
      </c>
      <c r="V64" s="348">
        <v>1019</v>
      </c>
      <c r="W64" s="347">
        <v>0</v>
      </c>
      <c r="X64" s="348">
        <v>0</v>
      </c>
      <c r="Y64" s="349">
        <v>0</v>
      </c>
      <c r="Z64" s="349">
        <v>3</v>
      </c>
      <c r="AA64" s="349">
        <v>0</v>
      </c>
      <c r="AB64" s="349">
        <v>34</v>
      </c>
      <c r="AC64" s="349">
        <v>13</v>
      </c>
      <c r="AD64" s="349">
        <v>9766</v>
      </c>
      <c r="AE64" s="349">
        <v>99</v>
      </c>
      <c r="AF64" s="349">
        <v>47</v>
      </c>
      <c r="AG64" s="349">
        <v>146</v>
      </c>
    </row>
    <row r="65" spans="1:33" x14ac:dyDescent="0.3">
      <c r="A65" s="342" t="s">
        <v>186</v>
      </c>
      <c r="B65" s="342" t="s">
        <v>187</v>
      </c>
      <c r="C65" s="349">
        <v>1891</v>
      </c>
      <c r="D65" s="349">
        <v>0</v>
      </c>
      <c r="E65" s="349">
        <v>401</v>
      </c>
      <c r="F65" s="349">
        <v>223</v>
      </c>
      <c r="G65" s="349">
        <v>328</v>
      </c>
      <c r="H65" s="346">
        <v>2843</v>
      </c>
      <c r="I65" s="346">
        <v>2515</v>
      </c>
      <c r="J65" s="349">
        <v>1</v>
      </c>
      <c r="K65" s="347">
        <v>96.16</v>
      </c>
      <c r="L65" s="347">
        <v>92.69</v>
      </c>
      <c r="M65" s="347">
        <v>6.59</v>
      </c>
      <c r="N65" s="347">
        <v>101.66</v>
      </c>
      <c r="O65" s="348">
        <v>1476</v>
      </c>
      <c r="P65" s="347">
        <v>86.79</v>
      </c>
      <c r="Q65" s="347">
        <v>82.81</v>
      </c>
      <c r="R65" s="347">
        <v>61.98</v>
      </c>
      <c r="S65" s="347">
        <v>141.84</v>
      </c>
      <c r="T65" s="348">
        <v>465</v>
      </c>
      <c r="U65" s="347">
        <v>135.24</v>
      </c>
      <c r="V65" s="348">
        <v>328</v>
      </c>
      <c r="W65" s="347">
        <v>239.96</v>
      </c>
      <c r="X65" s="348">
        <v>110</v>
      </c>
      <c r="Y65" s="349">
        <v>0</v>
      </c>
      <c r="Z65" s="349">
        <v>1</v>
      </c>
      <c r="AA65" s="349">
        <v>21</v>
      </c>
      <c r="AB65" s="349">
        <v>5</v>
      </c>
      <c r="AC65" s="349">
        <v>7</v>
      </c>
      <c r="AD65" s="349">
        <v>1734</v>
      </c>
      <c r="AE65" s="349">
        <v>6</v>
      </c>
      <c r="AF65" s="349">
        <v>65</v>
      </c>
      <c r="AG65" s="349">
        <v>71</v>
      </c>
    </row>
    <row r="66" spans="1:33" x14ac:dyDescent="0.3">
      <c r="A66" s="342" t="s">
        <v>188</v>
      </c>
      <c r="B66" s="342" t="s">
        <v>189</v>
      </c>
      <c r="C66" s="349">
        <v>7037</v>
      </c>
      <c r="D66" s="349">
        <v>10</v>
      </c>
      <c r="E66" s="349">
        <v>216</v>
      </c>
      <c r="F66" s="349">
        <v>1510</v>
      </c>
      <c r="G66" s="349">
        <v>1027</v>
      </c>
      <c r="H66" s="346">
        <v>9800</v>
      </c>
      <c r="I66" s="346">
        <v>8773</v>
      </c>
      <c r="J66" s="349">
        <v>5</v>
      </c>
      <c r="K66" s="347">
        <v>106.2</v>
      </c>
      <c r="L66" s="347">
        <v>105.96</v>
      </c>
      <c r="M66" s="347">
        <v>6.2</v>
      </c>
      <c r="N66" s="347">
        <v>108.21</v>
      </c>
      <c r="O66" s="348">
        <v>5075</v>
      </c>
      <c r="P66" s="347">
        <v>96.47</v>
      </c>
      <c r="Q66" s="347">
        <v>97.35</v>
      </c>
      <c r="R66" s="347">
        <v>20.52</v>
      </c>
      <c r="S66" s="347">
        <v>115.91</v>
      </c>
      <c r="T66" s="348">
        <v>1525</v>
      </c>
      <c r="U66" s="347">
        <v>162.16</v>
      </c>
      <c r="V66" s="348">
        <v>1904</v>
      </c>
      <c r="W66" s="347">
        <v>195.76</v>
      </c>
      <c r="X66" s="348">
        <v>166</v>
      </c>
      <c r="Y66" s="349">
        <v>22</v>
      </c>
      <c r="Z66" s="349">
        <v>8</v>
      </c>
      <c r="AA66" s="349">
        <v>2</v>
      </c>
      <c r="AB66" s="349">
        <v>104</v>
      </c>
      <c r="AC66" s="349">
        <v>16</v>
      </c>
      <c r="AD66" s="349">
        <v>6932</v>
      </c>
      <c r="AE66" s="349">
        <v>12</v>
      </c>
      <c r="AF66" s="349">
        <v>40</v>
      </c>
      <c r="AG66" s="349">
        <v>52</v>
      </c>
    </row>
    <row r="67" spans="1:33" x14ac:dyDescent="0.3">
      <c r="A67" s="342" t="s">
        <v>190</v>
      </c>
      <c r="B67" s="342" t="s">
        <v>191</v>
      </c>
      <c r="C67" s="349">
        <v>17548</v>
      </c>
      <c r="D67" s="349">
        <v>4</v>
      </c>
      <c r="E67" s="349">
        <v>910</v>
      </c>
      <c r="F67" s="349">
        <v>2916</v>
      </c>
      <c r="G67" s="349">
        <v>1324</v>
      </c>
      <c r="H67" s="346">
        <v>22702</v>
      </c>
      <c r="I67" s="346">
        <v>21378</v>
      </c>
      <c r="J67" s="349">
        <v>32</v>
      </c>
      <c r="K67" s="347">
        <v>90.3</v>
      </c>
      <c r="L67" s="347">
        <v>89.11</v>
      </c>
      <c r="M67" s="347">
        <v>5.97</v>
      </c>
      <c r="N67" s="347">
        <v>93.17</v>
      </c>
      <c r="O67" s="348">
        <v>13323</v>
      </c>
      <c r="P67" s="347">
        <v>89.27</v>
      </c>
      <c r="Q67" s="347">
        <v>80.39</v>
      </c>
      <c r="R67" s="347">
        <v>32.1</v>
      </c>
      <c r="S67" s="347">
        <v>112.64</v>
      </c>
      <c r="T67" s="348">
        <v>3379</v>
      </c>
      <c r="U67" s="347">
        <v>111.66</v>
      </c>
      <c r="V67" s="348">
        <v>4120</v>
      </c>
      <c r="W67" s="347">
        <v>105.96</v>
      </c>
      <c r="X67" s="348">
        <v>177</v>
      </c>
      <c r="Y67" s="349">
        <v>49</v>
      </c>
      <c r="Z67" s="349">
        <v>21</v>
      </c>
      <c r="AA67" s="349">
        <v>8</v>
      </c>
      <c r="AB67" s="349">
        <v>166</v>
      </c>
      <c r="AC67" s="349">
        <v>13</v>
      </c>
      <c r="AD67" s="349">
        <v>17474</v>
      </c>
      <c r="AE67" s="349">
        <v>130</v>
      </c>
      <c r="AF67" s="349">
        <v>87</v>
      </c>
      <c r="AG67" s="349">
        <v>217</v>
      </c>
    </row>
    <row r="68" spans="1:33" x14ac:dyDescent="0.3">
      <c r="A68" s="342" t="s">
        <v>192</v>
      </c>
      <c r="B68" s="342" t="s">
        <v>193</v>
      </c>
      <c r="C68" s="349">
        <v>14723</v>
      </c>
      <c r="D68" s="349">
        <v>12</v>
      </c>
      <c r="E68" s="349">
        <v>880</v>
      </c>
      <c r="F68" s="349">
        <v>2999</v>
      </c>
      <c r="G68" s="349">
        <v>1804</v>
      </c>
      <c r="H68" s="346">
        <v>20418</v>
      </c>
      <c r="I68" s="346">
        <v>18614</v>
      </c>
      <c r="J68" s="349">
        <v>0</v>
      </c>
      <c r="K68" s="347">
        <v>93.29</v>
      </c>
      <c r="L68" s="347">
        <v>95.09</v>
      </c>
      <c r="M68" s="347">
        <v>4.66</v>
      </c>
      <c r="N68" s="347">
        <v>95.08</v>
      </c>
      <c r="O68" s="348">
        <v>12066</v>
      </c>
      <c r="P68" s="347">
        <v>92.64</v>
      </c>
      <c r="Q68" s="347">
        <v>89.03</v>
      </c>
      <c r="R68" s="347">
        <v>34.64</v>
      </c>
      <c r="S68" s="347">
        <v>117.19</v>
      </c>
      <c r="T68" s="348">
        <v>3051</v>
      </c>
      <c r="U68" s="347">
        <v>113.99</v>
      </c>
      <c r="V68" s="348">
        <v>2354</v>
      </c>
      <c r="W68" s="347">
        <v>158.66999999999999</v>
      </c>
      <c r="X68" s="348">
        <v>495</v>
      </c>
      <c r="Y68" s="349">
        <v>24</v>
      </c>
      <c r="Z68" s="349">
        <v>31</v>
      </c>
      <c r="AA68" s="349">
        <v>3</v>
      </c>
      <c r="AB68" s="349">
        <v>97</v>
      </c>
      <c r="AC68" s="349">
        <v>28</v>
      </c>
      <c r="AD68" s="349">
        <v>14577</v>
      </c>
      <c r="AE68" s="349">
        <v>81</v>
      </c>
      <c r="AF68" s="349">
        <v>86</v>
      </c>
      <c r="AG68" s="349">
        <v>167</v>
      </c>
    </row>
    <row r="69" spans="1:33" x14ac:dyDescent="0.3">
      <c r="A69" s="342" t="s">
        <v>194</v>
      </c>
      <c r="B69" s="342" t="s">
        <v>195</v>
      </c>
      <c r="C69" s="349">
        <v>852</v>
      </c>
      <c r="D69" s="349">
        <v>0</v>
      </c>
      <c r="E69" s="349">
        <v>163</v>
      </c>
      <c r="F69" s="349">
        <v>499</v>
      </c>
      <c r="G69" s="349">
        <v>104</v>
      </c>
      <c r="H69" s="346">
        <v>1618</v>
      </c>
      <c r="I69" s="346">
        <v>1514</v>
      </c>
      <c r="J69" s="349">
        <v>0</v>
      </c>
      <c r="K69" s="347">
        <v>88.12</v>
      </c>
      <c r="L69" s="347">
        <v>85.83</v>
      </c>
      <c r="M69" s="347">
        <v>6.53</v>
      </c>
      <c r="N69" s="347">
        <v>91.09</v>
      </c>
      <c r="O69" s="348">
        <v>649</v>
      </c>
      <c r="P69" s="347">
        <v>91.12</v>
      </c>
      <c r="Q69" s="347">
        <v>82.65</v>
      </c>
      <c r="R69" s="347">
        <v>24.16</v>
      </c>
      <c r="S69" s="347">
        <v>114.49</v>
      </c>
      <c r="T69" s="348">
        <v>577</v>
      </c>
      <c r="U69" s="347">
        <v>102.28</v>
      </c>
      <c r="V69" s="348">
        <v>100</v>
      </c>
      <c r="W69" s="347">
        <v>282.97000000000003</v>
      </c>
      <c r="X69" s="348">
        <v>25</v>
      </c>
      <c r="Y69" s="349">
        <v>0</v>
      </c>
      <c r="Z69" s="349">
        <v>2</v>
      </c>
      <c r="AA69" s="349">
        <v>1</v>
      </c>
      <c r="AB69" s="349">
        <v>2</v>
      </c>
      <c r="AC69" s="349">
        <v>0</v>
      </c>
      <c r="AD69" s="349">
        <v>748</v>
      </c>
      <c r="AE69" s="349">
        <v>6</v>
      </c>
      <c r="AF69" s="349">
        <v>3</v>
      </c>
      <c r="AG69" s="349">
        <v>9</v>
      </c>
    </row>
    <row r="70" spans="1:33" x14ac:dyDescent="0.3">
      <c r="A70" s="342" t="s">
        <v>196</v>
      </c>
      <c r="B70" s="342" t="s">
        <v>197</v>
      </c>
      <c r="C70" s="349">
        <v>7457</v>
      </c>
      <c r="D70" s="349">
        <v>0</v>
      </c>
      <c r="E70" s="349">
        <v>157</v>
      </c>
      <c r="F70" s="349">
        <v>738</v>
      </c>
      <c r="G70" s="349">
        <v>775</v>
      </c>
      <c r="H70" s="346">
        <v>9127</v>
      </c>
      <c r="I70" s="346">
        <v>8352</v>
      </c>
      <c r="J70" s="349">
        <v>3</v>
      </c>
      <c r="K70" s="347">
        <v>106.9</v>
      </c>
      <c r="L70" s="347">
        <v>113.14</v>
      </c>
      <c r="M70" s="347">
        <v>6.93</v>
      </c>
      <c r="N70" s="347">
        <v>110.08</v>
      </c>
      <c r="O70" s="348">
        <v>6279</v>
      </c>
      <c r="P70" s="347">
        <v>96.91</v>
      </c>
      <c r="Q70" s="347">
        <v>93.63</v>
      </c>
      <c r="R70" s="347">
        <v>31.13</v>
      </c>
      <c r="S70" s="347">
        <v>126.53</v>
      </c>
      <c r="T70" s="348">
        <v>678</v>
      </c>
      <c r="U70" s="347">
        <v>163.44</v>
      </c>
      <c r="V70" s="348">
        <v>1128</v>
      </c>
      <c r="W70" s="347">
        <v>144.91</v>
      </c>
      <c r="X70" s="348">
        <v>4</v>
      </c>
      <c r="Y70" s="349">
        <v>3</v>
      </c>
      <c r="Z70" s="349">
        <v>5</v>
      </c>
      <c r="AA70" s="349">
        <v>1</v>
      </c>
      <c r="AB70" s="349">
        <v>57</v>
      </c>
      <c r="AC70" s="349">
        <v>18</v>
      </c>
      <c r="AD70" s="349">
        <v>7435</v>
      </c>
      <c r="AE70" s="349">
        <v>77</v>
      </c>
      <c r="AF70" s="349">
        <v>4</v>
      </c>
      <c r="AG70" s="349">
        <v>81</v>
      </c>
    </row>
    <row r="71" spans="1:33" x14ac:dyDescent="0.3">
      <c r="A71" s="342" t="s">
        <v>198</v>
      </c>
      <c r="B71" s="342" t="s">
        <v>199</v>
      </c>
      <c r="C71" s="349">
        <v>6038</v>
      </c>
      <c r="D71" s="349">
        <v>57</v>
      </c>
      <c r="E71" s="349">
        <v>383</v>
      </c>
      <c r="F71" s="349">
        <v>654</v>
      </c>
      <c r="G71" s="349">
        <v>242</v>
      </c>
      <c r="H71" s="346">
        <v>7374</v>
      </c>
      <c r="I71" s="346">
        <v>7132</v>
      </c>
      <c r="J71" s="349">
        <v>3</v>
      </c>
      <c r="K71" s="347">
        <v>81.66</v>
      </c>
      <c r="L71" s="347">
        <v>78.849999999999994</v>
      </c>
      <c r="M71" s="347">
        <v>5.8</v>
      </c>
      <c r="N71" s="347">
        <v>85.91</v>
      </c>
      <c r="O71" s="348">
        <v>5080</v>
      </c>
      <c r="P71" s="347">
        <v>85.83</v>
      </c>
      <c r="Q71" s="347">
        <v>70.19</v>
      </c>
      <c r="R71" s="347">
        <v>31.66</v>
      </c>
      <c r="S71" s="347">
        <v>115.75</v>
      </c>
      <c r="T71" s="348">
        <v>873</v>
      </c>
      <c r="U71" s="347">
        <v>104.11</v>
      </c>
      <c r="V71" s="348">
        <v>905</v>
      </c>
      <c r="W71" s="347">
        <v>0</v>
      </c>
      <c r="X71" s="348">
        <v>0</v>
      </c>
      <c r="Y71" s="349">
        <v>7</v>
      </c>
      <c r="Z71" s="349">
        <v>6</v>
      </c>
      <c r="AA71" s="349">
        <v>0</v>
      </c>
      <c r="AB71" s="349">
        <v>41</v>
      </c>
      <c r="AC71" s="349">
        <v>5</v>
      </c>
      <c r="AD71" s="349">
        <v>5946</v>
      </c>
      <c r="AE71" s="349">
        <v>57</v>
      </c>
      <c r="AF71" s="349">
        <v>12</v>
      </c>
      <c r="AG71" s="349">
        <v>69</v>
      </c>
    </row>
    <row r="72" spans="1:33" x14ac:dyDescent="0.3">
      <c r="A72" s="342" t="s">
        <v>200</v>
      </c>
      <c r="B72" s="342" t="s">
        <v>201</v>
      </c>
      <c r="C72" s="349">
        <v>194</v>
      </c>
      <c r="D72" s="349">
        <v>0</v>
      </c>
      <c r="E72" s="349">
        <v>17</v>
      </c>
      <c r="F72" s="349">
        <v>19</v>
      </c>
      <c r="G72" s="349">
        <v>0</v>
      </c>
      <c r="H72" s="346">
        <v>230</v>
      </c>
      <c r="I72" s="346">
        <v>230</v>
      </c>
      <c r="J72" s="349">
        <v>0</v>
      </c>
      <c r="K72" s="347">
        <v>128.55000000000001</v>
      </c>
      <c r="L72" s="347">
        <v>130.63</v>
      </c>
      <c r="M72" s="347">
        <v>11.65</v>
      </c>
      <c r="N72" s="347">
        <v>140.19999999999999</v>
      </c>
      <c r="O72" s="348">
        <v>160</v>
      </c>
      <c r="P72" s="347">
        <v>116.55</v>
      </c>
      <c r="Q72" s="347">
        <v>118.36</v>
      </c>
      <c r="R72" s="347">
        <v>113.3</v>
      </c>
      <c r="S72" s="347">
        <v>229.85</v>
      </c>
      <c r="T72" s="348">
        <v>36</v>
      </c>
      <c r="U72" s="347">
        <v>213.28</v>
      </c>
      <c r="V72" s="348">
        <v>34</v>
      </c>
      <c r="W72" s="347">
        <v>0</v>
      </c>
      <c r="X72" s="348">
        <v>0</v>
      </c>
      <c r="Y72" s="349">
        <v>0</v>
      </c>
      <c r="Z72" s="349">
        <v>0</v>
      </c>
      <c r="AA72" s="349">
        <v>0</v>
      </c>
      <c r="AB72" s="349">
        <v>0</v>
      </c>
      <c r="AC72" s="349">
        <v>0</v>
      </c>
      <c r="AD72" s="349">
        <v>194</v>
      </c>
      <c r="AE72" s="349">
        <v>1</v>
      </c>
      <c r="AF72" s="349">
        <v>0</v>
      </c>
      <c r="AG72" s="349">
        <v>1</v>
      </c>
    </row>
    <row r="73" spans="1:33" x14ac:dyDescent="0.3">
      <c r="A73" s="342" t="s">
        <v>202</v>
      </c>
      <c r="B73" s="342" t="s">
        <v>203</v>
      </c>
      <c r="C73" s="349">
        <v>4300</v>
      </c>
      <c r="D73" s="349">
        <v>135</v>
      </c>
      <c r="E73" s="349">
        <v>604</v>
      </c>
      <c r="F73" s="349">
        <v>357</v>
      </c>
      <c r="G73" s="349">
        <v>338</v>
      </c>
      <c r="H73" s="346">
        <v>5734</v>
      </c>
      <c r="I73" s="346">
        <v>5396</v>
      </c>
      <c r="J73" s="349">
        <v>18</v>
      </c>
      <c r="K73" s="347">
        <v>104.41</v>
      </c>
      <c r="L73" s="347">
        <v>103.27</v>
      </c>
      <c r="M73" s="347">
        <v>6.01</v>
      </c>
      <c r="N73" s="347">
        <v>109.19</v>
      </c>
      <c r="O73" s="348">
        <v>2756</v>
      </c>
      <c r="P73" s="347">
        <v>109.77</v>
      </c>
      <c r="Q73" s="347">
        <v>87.62</v>
      </c>
      <c r="R73" s="347">
        <v>50.21</v>
      </c>
      <c r="S73" s="347">
        <v>154.61000000000001</v>
      </c>
      <c r="T73" s="348">
        <v>655</v>
      </c>
      <c r="U73" s="347">
        <v>135.72999999999999</v>
      </c>
      <c r="V73" s="348">
        <v>1127</v>
      </c>
      <c r="W73" s="347">
        <v>146.29</v>
      </c>
      <c r="X73" s="348">
        <v>34</v>
      </c>
      <c r="Y73" s="349">
        <v>0</v>
      </c>
      <c r="Z73" s="349">
        <v>0</v>
      </c>
      <c r="AA73" s="349">
        <v>52</v>
      </c>
      <c r="AB73" s="349">
        <v>23</v>
      </c>
      <c r="AC73" s="349">
        <v>9</v>
      </c>
      <c r="AD73" s="349">
        <v>4233</v>
      </c>
      <c r="AE73" s="349">
        <v>24</v>
      </c>
      <c r="AF73" s="349">
        <v>18</v>
      </c>
      <c r="AG73" s="349">
        <v>42</v>
      </c>
    </row>
    <row r="74" spans="1:33" x14ac:dyDescent="0.3">
      <c r="A74" s="342" t="s">
        <v>204</v>
      </c>
      <c r="B74" s="342" t="s">
        <v>205</v>
      </c>
      <c r="C74" s="349">
        <v>5551</v>
      </c>
      <c r="D74" s="349">
        <v>0</v>
      </c>
      <c r="E74" s="349">
        <v>77</v>
      </c>
      <c r="F74" s="349">
        <v>309</v>
      </c>
      <c r="G74" s="349">
        <v>7</v>
      </c>
      <c r="H74" s="346">
        <v>5944</v>
      </c>
      <c r="I74" s="346">
        <v>5937</v>
      </c>
      <c r="J74" s="349">
        <v>20</v>
      </c>
      <c r="K74" s="347">
        <v>86.96</v>
      </c>
      <c r="L74" s="347">
        <v>83.82</v>
      </c>
      <c r="M74" s="347">
        <v>1.4</v>
      </c>
      <c r="N74" s="347">
        <v>88.25</v>
      </c>
      <c r="O74" s="348">
        <v>5211</v>
      </c>
      <c r="P74" s="347">
        <v>80.42</v>
      </c>
      <c r="Q74" s="347">
        <v>75.41</v>
      </c>
      <c r="R74" s="347">
        <v>45.8</v>
      </c>
      <c r="S74" s="347">
        <v>125.47</v>
      </c>
      <c r="T74" s="348">
        <v>367</v>
      </c>
      <c r="U74" s="347">
        <v>94.17</v>
      </c>
      <c r="V74" s="348">
        <v>307</v>
      </c>
      <c r="W74" s="347">
        <v>0</v>
      </c>
      <c r="X74" s="348">
        <v>0</v>
      </c>
      <c r="Y74" s="349">
        <v>0</v>
      </c>
      <c r="Z74" s="349">
        <v>16</v>
      </c>
      <c r="AA74" s="349">
        <v>8</v>
      </c>
      <c r="AB74" s="349">
        <v>0</v>
      </c>
      <c r="AC74" s="349">
        <v>1</v>
      </c>
      <c r="AD74" s="349">
        <v>5518</v>
      </c>
      <c r="AE74" s="349">
        <v>5</v>
      </c>
      <c r="AF74" s="349">
        <v>160</v>
      </c>
      <c r="AG74" s="349">
        <v>165</v>
      </c>
    </row>
    <row r="75" spans="1:33" x14ac:dyDescent="0.3">
      <c r="A75" s="342" t="s">
        <v>206</v>
      </c>
      <c r="B75" s="342" t="s">
        <v>207</v>
      </c>
      <c r="C75" s="349">
        <v>18923</v>
      </c>
      <c r="D75" s="349">
        <v>0</v>
      </c>
      <c r="E75" s="349">
        <v>862</v>
      </c>
      <c r="F75" s="349">
        <v>2538</v>
      </c>
      <c r="G75" s="349">
        <v>2585</v>
      </c>
      <c r="H75" s="346">
        <v>24908</v>
      </c>
      <c r="I75" s="346">
        <v>22323</v>
      </c>
      <c r="J75" s="349">
        <v>14</v>
      </c>
      <c r="K75" s="347">
        <v>84.2</v>
      </c>
      <c r="L75" s="347">
        <v>79.92</v>
      </c>
      <c r="M75" s="347">
        <v>3.79</v>
      </c>
      <c r="N75" s="347">
        <v>87.36</v>
      </c>
      <c r="O75" s="348">
        <v>13932</v>
      </c>
      <c r="P75" s="347">
        <v>83.43</v>
      </c>
      <c r="Q75" s="347">
        <v>72.14</v>
      </c>
      <c r="R75" s="347">
        <v>44.12</v>
      </c>
      <c r="S75" s="347">
        <v>126.04</v>
      </c>
      <c r="T75" s="348">
        <v>3091</v>
      </c>
      <c r="U75" s="347">
        <v>122.21</v>
      </c>
      <c r="V75" s="348">
        <v>3465</v>
      </c>
      <c r="W75" s="347">
        <v>119.79</v>
      </c>
      <c r="X75" s="348">
        <v>174</v>
      </c>
      <c r="Y75" s="349">
        <v>0</v>
      </c>
      <c r="Z75" s="349">
        <v>15</v>
      </c>
      <c r="AA75" s="349">
        <v>54</v>
      </c>
      <c r="AB75" s="349">
        <v>148</v>
      </c>
      <c r="AC75" s="349">
        <v>38</v>
      </c>
      <c r="AD75" s="349">
        <v>18463</v>
      </c>
      <c r="AE75" s="349">
        <v>142</v>
      </c>
      <c r="AF75" s="349">
        <v>34</v>
      </c>
      <c r="AG75" s="349">
        <v>176</v>
      </c>
    </row>
    <row r="76" spans="1:33" x14ac:dyDescent="0.3">
      <c r="A76" s="342" t="s">
        <v>208</v>
      </c>
      <c r="B76" s="342" t="s">
        <v>209</v>
      </c>
      <c r="C76" s="349">
        <v>5562</v>
      </c>
      <c r="D76" s="349">
        <v>0</v>
      </c>
      <c r="E76" s="349">
        <v>55</v>
      </c>
      <c r="F76" s="349">
        <v>552</v>
      </c>
      <c r="G76" s="349">
        <v>794</v>
      </c>
      <c r="H76" s="346">
        <v>6963</v>
      </c>
      <c r="I76" s="346">
        <v>6169</v>
      </c>
      <c r="J76" s="349">
        <v>0</v>
      </c>
      <c r="K76" s="347">
        <v>105.09</v>
      </c>
      <c r="L76" s="347">
        <v>100.65</v>
      </c>
      <c r="M76" s="347">
        <v>4.24</v>
      </c>
      <c r="N76" s="347">
        <v>106.86</v>
      </c>
      <c r="O76" s="348">
        <v>4388</v>
      </c>
      <c r="P76" s="347">
        <v>97.58</v>
      </c>
      <c r="Q76" s="347">
        <v>87.96</v>
      </c>
      <c r="R76" s="347">
        <v>24.12</v>
      </c>
      <c r="S76" s="347">
        <v>121.35</v>
      </c>
      <c r="T76" s="348">
        <v>547</v>
      </c>
      <c r="U76" s="347">
        <v>139.03</v>
      </c>
      <c r="V76" s="348">
        <v>949</v>
      </c>
      <c r="W76" s="347">
        <v>178.79</v>
      </c>
      <c r="X76" s="348">
        <v>53</v>
      </c>
      <c r="Y76" s="349">
        <v>0</v>
      </c>
      <c r="Z76" s="349">
        <v>0</v>
      </c>
      <c r="AA76" s="349">
        <v>3</v>
      </c>
      <c r="AB76" s="349">
        <v>56</v>
      </c>
      <c r="AC76" s="349">
        <v>9</v>
      </c>
      <c r="AD76" s="349">
        <v>5330</v>
      </c>
      <c r="AE76" s="349">
        <v>36</v>
      </c>
      <c r="AF76" s="349">
        <v>69</v>
      </c>
      <c r="AG76" s="349">
        <v>105</v>
      </c>
    </row>
    <row r="77" spans="1:33" x14ac:dyDescent="0.3">
      <c r="A77" s="342" t="s">
        <v>210</v>
      </c>
      <c r="B77" s="342" t="s">
        <v>211</v>
      </c>
      <c r="C77" s="349">
        <v>45876</v>
      </c>
      <c r="D77" s="349">
        <v>12</v>
      </c>
      <c r="E77" s="349">
        <v>1035</v>
      </c>
      <c r="F77" s="349">
        <v>1445</v>
      </c>
      <c r="G77" s="349">
        <v>341</v>
      </c>
      <c r="H77" s="346">
        <v>48709</v>
      </c>
      <c r="I77" s="346">
        <v>48368</v>
      </c>
      <c r="J77" s="349">
        <v>73</v>
      </c>
      <c r="K77" s="347">
        <v>73.5</v>
      </c>
      <c r="L77" s="347">
        <v>73.53</v>
      </c>
      <c r="M77" s="347">
        <v>3.95</v>
      </c>
      <c r="N77" s="347">
        <v>74.069999999999993</v>
      </c>
      <c r="O77" s="348">
        <v>41359</v>
      </c>
      <c r="P77" s="347">
        <v>102.58</v>
      </c>
      <c r="Q77" s="347">
        <v>76.44</v>
      </c>
      <c r="R77" s="347">
        <v>60.63</v>
      </c>
      <c r="S77" s="347">
        <v>161.94</v>
      </c>
      <c r="T77" s="348">
        <v>2013</v>
      </c>
      <c r="U77" s="347">
        <v>91.91</v>
      </c>
      <c r="V77" s="348">
        <v>3996</v>
      </c>
      <c r="W77" s="347">
        <v>143.78</v>
      </c>
      <c r="X77" s="348">
        <v>165</v>
      </c>
      <c r="Y77" s="349">
        <v>20</v>
      </c>
      <c r="Z77" s="349">
        <v>118</v>
      </c>
      <c r="AA77" s="349">
        <v>35</v>
      </c>
      <c r="AB77" s="349">
        <v>35</v>
      </c>
      <c r="AC77" s="349">
        <v>17</v>
      </c>
      <c r="AD77" s="349">
        <v>45827</v>
      </c>
      <c r="AE77" s="349">
        <v>622</v>
      </c>
      <c r="AF77" s="349">
        <v>314</v>
      </c>
      <c r="AG77" s="349">
        <v>936</v>
      </c>
    </row>
    <row r="78" spans="1:33" x14ac:dyDescent="0.3">
      <c r="A78" s="342" t="s">
        <v>212</v>
      </c>
      <c r="B78" s="342" t="s">
        <v>213</v>
      </c>
      <c r="C78" s="349">
        <v>22332</v>
      </c>
      <c r="D78" s="349">
        <v>0</v>
      </c>
      <c r="E78" s="349">
        <v>815</v>
      </c>
      <c r="F78" s="349">
        <v>1712</v>
      </c>
      <c r="G78" s="349">
        <v>611</v>
      </c>
      <c r="H78" s="346">
        <v>25470</v>
      </c>
      <c r="I78" s="346">
        <v>24859</v>
      </c>
      <c r="J78" s="349">
        <v>6</v>
      </c>
      <c r="K78" s="347">
        <v>86.21</v>
      </c>
      <c r="L78" s="347">
        <v>85.67</v>
      </c>
      <c r="M78" s="347">
        <v>5.6</v>
      </c>
      <c r="N78" s="347">
        <v>91.42</v>
      </c>
      <c r="O78" s="348">
        <v>19767</v>
      </c>
      <c r="P78" s="347">
        <v>92.18</v>
      </c>
      <c r="Q78" s="347">
        <v>84.21</v>
      </c>
      <c r="R78" s="347">
        <v>55.1</v>
      </c>
      <c r="S78" s="347">
        <v>146.38999999999999</v>
      </c>
      <c r="T78" s="348">
        <v>2053</v>
      </c>
      <c r="U78" s="347">
        <v>114.24</v>
      </c>
      <c r="V78" s="348">
        <v>2248</v>
      </c>
      <c r="W78" s="347">
        <v>0</v>
      </c>
      <c r="X78" s="348">
        <v>0</v>
      </c>
      <c r="Y78" s="349">
        <v>0</v>
      </c>
      <c r="Z78" s="349">
        <v>52</v>
      </c>
      <c r="AA78" s="349">
        <v>43</v>
      </c>
      <c r="AB78" s="349">
        <v>23</v>
      </c>
      <c r="AC78" s="349">
        <v>17</v>
      </c>
      <c r="AD78" s="349">
        <v>22199</v>
      </c>
      <c r="AE78" s="349">
        <v>126</v>
      </c>
      <c r="AF78" s="349">
        <v>170</v>
      </c>
      <c r="AG78" s="349">
        <v>296</v>
      </c>
    </row>
    <row r="79" spans="1:33" x14ac:dyDescent="0.3">
      <c r="A79" s="342" t="s">
        <v>214</v>
      </c>
      <c r="B79" s="342" t="s">
        <v>215</v>
      </c>
      <c r="C79" s="349">
        <v>2250</v>
      </c>
      <c r="D79" s="349">
        <v>0</v>
      </c>
      <c r="E79" s="349">
        <v>66</v>
      </c>
      <c r="F79" s="349">
        <v>182</v>
      </c>
      <c r="G79" s="349">
        <v>74</v>
      </c>
      <c r="H79" s="346">
        <v>2572</v>
      </c>
      <c r="I79" s="346">
        <v>2498</v>
      </c>
      <c r="J79" s="349">
        <v>23</v>
      </c>
      <c r="K79" s="347">
        <v>86.31</v>
      </c>
      <c r="L79" s="347">
        <v>82.74</v>
      </c>
      <c r="M79" s="347">
        <v>6.2</v>
      </c>
      <c r="N79" s="347">
        <v>90.19</v>
      </c>
      <c r="O79" s="348">
        <v>1524</v>
      </c>
      <c r="P79" s="347">
        <v>83.88</v>
      </c>
      <c r="Q79" s="347">
        <v>68.03</v>
      </c>
      <c r="R79" s="347">
        <v>31.95</v>
      </c>
      <c r="S79" s="347">
        <v>115.15</v>
      </c>
      <c r="T79" s="348">
        <v>188</v>
      </c>
      <c r="U79" s="347">
        <v>97.02</v>
      </c>
      <c r="V79" s="348">
        <v>681</v>
      </c>
      <c r="W79" s="347">
        <v>159.62</v>
      </c>
      <c r="X79" s="348">
        <v>34</v>
      </c>
      <c r="Y79" s="349">
        <v>0</v>
      </c>
      <c r="Z79" s="349">
        <v>4</v>
      </c>
      <c r="AA79" s="349">
        <v>1</v>
      </c>
      <c r="AB79" s="349">
        <v>6</v>
      </c>
      <c r="AC79" s="349">
        <v>2</v>
      </c>
      <c r="AD79" s="349">
        <v>2228</v>
      </c>
      <c r="AE79" s="349">
        <v>24</v>
      </c>
      <c r="AF79" s="349">
        <v>8</v>
      </c>
      <c r="AG79" s="349">
        <v>32</v>
      </c>
    </row>
    <row r="80" spans="1:33" x14ac:dyDescent="0.3">
      <c r="A80" s="342" t="s">
        <v>216</v>
      </c>
      <c r="B80" s="342" t="s">
        <v>217</v>
      </c>
      <c r="C80" s="349">
        <v>2136</v>
      </c>
      <c r="D80" s="349">
        <v>0</v>
      </c>
      <c r="E80" s="349">
        <v>161</v>
      </c>
      <c r="F80" s="349">
        <v>286</v>
      </c>
      <c r="G80" s="349">
        <v>431</v>
      </c>
      <c r="H80" s="346">
        <v>3014</v>
      </c>
      <c r="I80" s="346">
        <v>2583</v>
      </c>
      <c r="J80" s="349">
        <v>7</v>
      </c>
      <c r="K80" s="347">
        <v>112.75</v>
      </c>
      <c r="L80" s="347">
        <v>106.1</v>
      </c>
      <c r="M80" s="347">
        <v>9.15</v>
      </c>
      <c r="N80" s="347">
        <v>121.05</v>
      </c>
      <c r="O80" s="348">
        <v>1615</v>
      </c>
      <c r="P80" s="347">
        <v>107.45</v>
      </c>
      <c r="Q80" s="347">
        <v>98.54</v>
      </c>
      <c r="R80" s="347">
        <v>40.26</v>
      </c>
      <c r="S80" s="347">
        <v>147.32</v>
      </c>
      <c r="T80" s="348">
        <v>205</v>
      </c>
      <c r="U80" s="347">
        <v>160.38</v>
      </c>
      <c r="V80" s="348">
        <v>419</v>
      </c>
      <c r="W80" s="347">
        <v>294.32</v>
      </c>
      <c r="X80" s="348">
        <v>103</v>
      </c>
      <c r="Y80" s="349">
        <v>0</v>
      </c>
      <c r="Z80" s="349">
        <v>0</v>
      </c>
      <c r="AA80" s="349">
        <v>3</v>
      </c>
      <c r="AB80" s="349">
        <v>13</v>
      </c>
      <c r="AC80" s="349">
        <v>9</v>
      </c>
      <c r="AD80" s="349">
        <v>2107</v>
      </c>
      <c r="AE80" s="349">
        <v>11</v>
      </c>
      <c r="AF80" s="349">
        <v>3</v>
      </c>
      <c r="AG80" s="349">
        <v>14</v>
      </c>
    </row>
    <row r="81" spans="1:33" x14ac:dyDescent="0.3">
      <c r="A81" s="342" t="s">
        <v>218</v>
      </c>
      <c r="B81" s="342" t="s">
        <v>219</v>
      </c>
      <c r="C81" s="349">
        <v>11429</v>
      </c>
      <c r="D81" s="349">
        <v>83</v>
      </c>
      <c r="E81" s="349">
        <v>1048</v>
      </c>
      <c r="F81" s="349">
        <v>833</v>
      </c>
      <c r="G81" s="349">
        <v>2351</v>
      </c>
      <c r="H81" s="346">
        <v>15744</v>
      </c>
      <c r="I81" s="346">
        <v>13393</v>
      </c>
      <c r="J81" s="349">
        <v>32</v>
      </c>
      <c r="K81" s="347">
        <v>124.02</v>
      </c>
      <c r="L81" s="347">
        <v>122.99</v>
      </c>
      <c r="M81" s="347">
        <v>10.81</v>
      </c>
      <c r="N81" s="347">
        <v>131.56</v>
      </c>
      <c r="O81" s="348">
        <v>8751</v>
      </c>
      <c r="P81" s="347">
        <v>103.54</v>
      </c>
      <c r="Q81" s="347">
        <v>96.42</v>
      </c>
      <c r="R81" s="347">
        <v>68.45</v>
      </c>
      <c r="S81" s="347">
        <v>171.08</v>
      </c>
      <c r="T81" s="348">
        <v>1124</v>
      </c>
      <c r="U81" s="347">
        <v>189.05</v>
      </c>
      <c r="V81" s="348">
        <v>2049</v>
      </c>
      <c r="W81" s="347">
        <v>142.35</v>
      </c>
      <c r="X81" s="348">
        <v>34</v>
      </c>
      <c r="Y81" s="349">
        <v>5</v>
      </c>
      <c r="Z81" s="349">
        <v>2</v>
      </c>
      <c r="AA81" s="349">
        <v>17</v>
      </c>
      <c r="AB81" s="349">
        <v>74</v>
      </c>
      <c r="AC81" s="349">
        <v>38</v>
      </c>
      <c r="AD81" s="349">
        <v>11159</v>
      </c>
      <c r="AE81" s="349">
        <v>67</v>
      </c>
      <c r="AF81" s="349">
        <v>32</v>
      </c>
      <c r="AG81" s="349">
        <v>99</v>
      </c>
    </row>
    <row r="82" spans="1:33" x14ac:dyDescent="0.3">
      <c r="A82" s="342" t="s">
        <v>220</v>
      </c>
      <c r="B82" s="342" t="s">
        <v>221</v>
      </c>
      <c r="C82" s="349">
        <v>3024</v>
      </c>
      <c r="D82" s="349">
        <v>0</v>
      </c>
      <c r="E82" s="349">
        <v>239</v>
      </c>
      <c r="F82" s="349">
        <v>275</v>
      </c>
      <c r="G82" s="349">
        <v>353</v>
      </c>
      <c r="H82" s="346">
        <v>3891</v>
      </c>
      <c r="I82" s="346">
        <v>3538</v>
      </c>
      <c r="J82" s="349">
        <v>0</v>
      </c>
      <c r="K82" s="347">
        <v>118.14</v>
      </c>
      <c r="L82" s="347">
        <v>115.4</v>
      </c>
      <c r="M82" s="347">
        <v>7.21</v>
      </c>
      <c r="N82" s="347">
        <v>124.3</v>
      </c>
      <c r="O82" s="348">
        <v>1957</v>
      </c>
      <c r="P82" s="347">
        <v>120.72</v>
      </c>
      <c r="Q82" s="347">
        <v>100.12</v>
      </c>
      <c r="R82" s="347">
        <v>33.53</v>
      </c>
      <c r="S82" s="347">
        <v>153.34</v>
      </c>
      <c r="T82" s="348">
        <v>402</v>
      </c>
      <c r="U82" s="347">
        <v>175.43</v>
      </c>
      <c r="V82" s="348">
        <v>830</v>
      </c>
      <c r="W82" s="347">
        <v>156.55000000000001</v>
      </c>
      <c r="X82" s="348">
        <v>9</v>
      </c>
      <c r="Y82" s="349">
        <v>132</v>
      </c>
      <c r="Z82" s="349">
        <v>0</v>
      </c>
      <c r="AA82" s="349">
        <v>2</v>
      </c>
      <c r="AB82" s="349">
        <v>4</v>
      </c>
      <c r="AC82" s="349">
        <v>8</v>
      </c>
      <c r="AD82" s="349">
        <v>2973</v>
      </c>
      <c r="AE82" s="349">
        <v>32</v>
      </c>
      <c r="AF82" s="349">
        <v>21</v>
      </c>
      <c r="AG82" s="349">
        <v>53</v>
      </c>
    </row>
    <row r="83" spans="1:33" x14ac:dyDescent="0.3">
      <c r="A83" s="342" t="s">
        <v>222</v>
      </c>
      <c r="B83" s="342" t="s">
        <v>223</v>
      </c>
      <c r="C83" s="349">
        <v>2172</v>
      </c>
      <c r="D83" s="349">
        <v>6</v>
      </c>
      <c r="E83" s="349">
        <v>324</v>
      </c>
      <c r="F83" s="349">
        <v>529</v>
      </c>
      <c r="G83" s="349">
        <v>134</v>
      </c>
      <c r="H83" s="346">
        <v>3165</v>
      </c>
      <c r="I83" s="346">
        <v>3031</v>
      </c>
      <c r="J83" s="349">
        <v>3</v>
      </c>
      <c r="K83" s="347">
        <v>80.040000000000006</v>
      </c>
      <c r="L83" s="347">
        <v>77.17</v>
      </c>
      <c r="M83" s="347">
        <v>4.51</v>
      </c>
      <c r="N83" s="347">
        <v>82.92</v>
      </c>
      <c r="O83" s="348">
        <v>1349</v>
      </c>
      <c r="P83" s="347">
        <v>93.36</v>
      </c>
      <c r="Q83" s="347">
        <v>78.44</v>
      </c>
      <c r="R83" s="347">
        <v>57.54</v>
      </c>
      <c r="S83" s="347">
        <v>150.62</v>
      </c>
      <c r="T83" s="348">
        <v>616</v>
      </c>
      <c r="U83" s="347">
        <v>100.05</v>
      </c>
      <c r="V83" s="348">
        <v>624</v>
      </c>
      <c r="W83" s="347">
        <v>104.77</v>
      </c>
      <c r="X83" s="348">
        <v>38</v>
      </c>
      <c r="Y83" s="349">
        <v>24</v>
      </c>
      <c r="Z83" s="349">
        <v>4</v>
      </c>
      <c r="AA83" s="349">
        <v>0</v>
      </c>
      <c r="AB83" s="349">
        <v>7</v>
      </c>
      <c r="AC83" s="349">
        <v>5</v>
      </c>
      <c r="AD83" s="349">
        <v>2159</v>
      </c>
      <c r="AE83" s="349">
        <v>13</v>
      </c>
      <c r="AF83" s="349">
        <v>23</v>
      </c>
      <c r="AG83" s="349">
        <v>36</v>
      </c>
    </row>
    <row r="84" spans="1:33" x14ac:dyDescent="0.3">
      <c r="A84" s="342" t="s">
        <v>224</v>
      </c>
      <c r="B84" s="342" t="s">
        <v>225</v>
      </c>
      <c r="C84" s="349">
        <v>1752</v>
      </c>
      <c r="D84" s="349">
        <v>12</v>
      </c>
      <c r="E84" s="349">
        <v>179</v>
      </c>
      <c r="F84" s="349">
        <v>107</v>
      </c>
      <c r="G84" s="349">
        <v>1074</v>
      </c>
      <c r="H84" s="346">
        <v>3124</v>
      </c>
      <c r="I84" s="346">
        <v>2050</v>
      </c>
      <c r="J84" s="349">
        <v>0</v>
      </c>
      <c r="K84" s="347">
        <v>109.35</v>
      </c>
      <c r="L84" s="347">
        <v>105.42</v>
      </c>
      <c r="M84" s="347">
        <v>7.64</v>
      </c>
      <c r="N84" s="347">
        <v>116.45</v>
      </c>
      <c r="O84" s="348">
        <v>851</v>
      </c>
      <c r="P84" s="347">
        <v>127.2</v>
      </c>
      <c r="Q84" s="347">
        <v>87.26</v>
      </c>
      <c r="R84" s="347">
        <v>48.41</v>
      </c>
      <c r="S84" s="347">
        <v>170.17</v>
      </c>
      <c r="T84" s="348">
        <v>169</v>
      </c>
      <c r="U84" s="347">
        <v>162.87</v>
      </c>
      <c r="V84" s="348">
        <v>468</v>
      </c>
      <c r="W84" s="347">
        <v>0</v>
      </c>
      <c r="X84" s="348">
        <v>0</v>
      </c>
      <c r="Y84" s="349">
        <v>0</v>
      </c>
      <c r="Z84" s="349">
        <v>0</v>
      </c>
      <c r="AA84" s="349">
        <v>7</v>
      </c>
      <c r="AB84" s="349">
        <v>92</v>
      </c>
      <c r="AC84" s="349">
        <v>21</v>
      </c>
      <c r="AD84" s="349">
        <v>1373</v>
      </c>
      <c r="AE84" s="349">
        <v>5</v>
      </c>
      <c r="AF84" s="349">
        <v>0</v>
      </c>
      <c r="AG84" s="349">
        <v>5</v>
      </c>
    </row>
    <row r="85" spans="1:33" x14ac:dyDescent="0.3">
      <c r="A85" s="342" t="s">
        <v>226</v>
      </c>
      <c r="B85" s="342" t="s">
        <v>227</v>
      </c>
      <c r="C85" s="349">
        <v>6149</v>
      </c>
      <c r="D85" s="349">
        <v>100</v>
      </c>
      <c r="E85" s="349">
        <v>732</v>
      </c>
      <c r="F85" s="349">
        <v>1361</v>
      </c>
      <c r="G85" s="349">
        <v>521</v>
      </c>
      <c r="H85" s="346">
        <v>8863</v>
      </c>
      <c r="I85" s="346">
        <v>8342</v>
      </c>
      <c r="J85" s="349">
        <v>16</v>
      </c>
      <c r="K85" s="347">
        <v>89.96</v>
      </c>
      <c r="L85" s="347">
        <v>87.92</v>
      </c>
      <c r="M85" s="347">
        <v>6.4</v>
      </c>
      <c r="N85" s="347">
        <v>94.54</v>
      </c>
      <c r="O85" s="348">
        <v>5408</v>
      </c>
      <c r="P85" s="347">
        <v>84.73</v>
      </c>
      <c r="Q85" s="347">
        <v>78.400000000000006</v>
      </c>
      <c r="R85" s="347">
        <v>51.85</v>
      </c>
      <c r="S85" s="347">
        <v>135.16999999999999</v>
      </c>
      <c r="T85" s="348">
        <v>1539</v>
      </c>
      <c r="U85" s="347">
        <v>106.72</v>
      </c>
      <c r="V85" s="348">
        <v>557</v>
      </c>
      <c r="W85" s="347">
        <v>164.13</v>
      </c>
      <c r="X85" s="348">
        <v>107</v>
      </c>
      <c r="Y85" s="349">
        <v>35</v>
      </c>
      <c r="Z85" s="349">
        <v>22</v>
      </c>
      <c r="AA85" s="349">
        <v>2</v>
      </c>
      <c r="AB85" s="349">
        <v>21</v>
      </c>
      <c r="AC85" s="349">
        <v>15</v>
      </c>
      <c r="AD85" s="349">
        <v>5947</v>
      </c>
      <c r="AE85" s="349">
        <v>52</v>
      </c>
      <c r="AF85" s="349">
        <v>14</v>
      </c>
      <c r="AG85" s="349">
        <v>66</v>
      </c>
    </row>
    <row r="86" spans="1:33" x14ac:dyDescent="0.3">
      <c r="A86" s="342" t="s">
        <v>228</v>
      </c>
      <c r="B86" s="342" t="s">
        <v>229</v>
      </c>
      <c r="C86" s="349">
        <v>3823</v>
      </c>
      <c r="D86" s="349">
        <v>0</v>
      </c>
      <c r="E86" s="349">
        <v>59</v>
      </c>
      <c r="F86" s="349">
        <v>280</v>
      </c>
      <c r="G86" s="349">
        <v>241</v>
      </c>
      <c r="H86" s="346">
        <v>4403</v>
      </c>
      <c r="I86" s="346">
        <v>4162</v>
      </c>
      <c r="J86" s="349">
        <v>82</v>
      </c>
      <c r="K86" s="347">
        <v>93.13</v>
      </c>
      <c r="L86" s="347">
        <v>95.12</v>
      </c>
      <c r="M86" s="347">
        <v>2.99</v>
      </c>
      <c r="N86" s="347">
        <v>95.76</v>
      </c>
      <c r="O86" s="348">
        <v>3378</v>
      </c>
      <c r="P86" s="347">
        <v>87.78</v>
      </c>
      <c r="Q86" s="347">
        <v>85.17</v>
      </c>
      <c r="R86" s="347">
        <v>31.32</v>
      </c>
      <c r="S86" s="347">
        <v>118.9</v>
      </c>
      <c r="T86" s="348">
        <v>319</v>
      </c>
      <c r="U86" s="347">
        <v>112.19</v>
      </c>
      <c r="V86" s="348">
        <v>334</v>
      </c>
      <c r="W86" s="347">
        <v>194.81</v>
      </c>
      <c r="X86" s="348">
        <v>2</v>
      </c>
      <c r="Y86" s="349">
        <v>0</v>
      </c>
      <c r="Z86" s="349">
        <v>7</v>
      </c>
      <c r="AA86" s="349">
        <v>1</v>
      </c>
      <c r="AB86" s="349">
        <v>17</v>
      </c>
      <c r="AC86" s="349">
        <v>1</v>
      </c>
      <c r="AD86" s="349">
        <v>3686</v>
      </c>
      <c r="AE86" s="349">
        <v>14</v>
      </c>
      <c r="AF86" s="349">
        <v>9</v>
      </c>
      <c r="AG86" s="349">
        <v>23</v>
      </c>
    </row>
    <row r="87" spans="1:33" x14ac:dyDescent="0.3">
      <c r="A87" s="342" t="s">
        <v>230</v>
      </c>
      <c r="B87" s="342" t="s">
        <v>231</v>
      </c>
      <c r="C87" s="349">
        <v>2525</v>
      </c>
      <c r="D87" s="349">
        <v>3</v>
      </c>
      <c r="E87" s="349">
        <v>797</v>
      </c>
      <c r="F87" s="349">
        <v>924</v>
      </c>
      <c r="G87" s="349">
        <v>324</v>
      </c>
      <c r="H87" s="346">
        <v>4573</v>
      </c>
      <c r="I87" s="346">
        <v>4249</v>
      </c>
      <c r="J87" s="349">
        <v>2</v>
      </c>
      <c r="K87" s="347">
        <v>82.49</v>
      </c>
      <c r="L87" s="347">
        <v>80.02</v>
      </c>
      <c r="M87" s="347">
        <v>5.29</v>
      </c>
      <c r="N87" s="347">
        <v>85.53</v>
      </c>
      <c r="O87" s="348">
        <v>1695</v>
      </c>
      <c r="P87" s="347">
        <v>102.08</v>
      </c>
      <c r="Q87" s="347">
        <v>80.06</v>
      </c>
      <c r="R87" s="347">
        <v>40.18</v>
      </c>
      <c r="S87" s="347">
        <v>141.57</v>
      </c>
      <c r="T87" s="348">
        <v>1412</v>
      </c>
      <c r="U87" s="347">
        <v>96.8</v>
      </c>
      <c r="V87" s="348">
        <v>723</v>
      </c>
      <c r="W87" s="347">
        <v>162.13999999999999</v>
      </c>
      <c r="X87" s="348">
        <v>127</v>
      </c>
      <c r="Y87" s="349">
        <v>0</v>
      </c>
      <c r="Z87" s="349">
        <v>0</v>
      </c>
      <c r="AA87" s="349">
        <v>5</v>
      </c>
      <c r="AB87" s="349">
        <v>16</v>
      </c>
      <c r="AC87" s="349">
        <v>3</v>
      </c>
      <c r="AD87" s="349">
        <v>2454</v>
      </c>
      <c r="AE87" s="349">
        <v>22</v>
      </c>
      <c r="AF87" s="349">
        <v>19</v>
      </c>
      <c r="AG87" s="349">
        <v>41</v>
      </c>
    </row>
    <row r="88" spans="1:33" x14ac:dyDescent="0.3">
      <c r="A88" s="342" t="s">
        <v>232</v>
      </c>
      <c r="B88" s="342" t="s">
        <v>233</v>
      </c>
      <c r="C88" s="349">
        <v>16451</v>
      </c>
      <c r="D88" s="349">
        <v>26</v>
      </c>
      <c r="E88" s="349">
        <v>757</v>
      </c>
      <c r="F88" s="349">
        <v>3985</v>
      </c>
      <c r="G88" s="349">
        <v>1310</v>
      </c>
      <c r="H88" s="346">
        <v>22529</v>
      </c>
      <c r="I88" s="346">
        <v>21219</v>
      </c>
      <c r="J88" s="349">
        <v>315</v>
      </c>
      <c r="K88" s="347">
        <v>100.17</v>
      </c>
      <c r="L88" s="347">
        <v>99.91</v>
      </c>
      <c r="M88" s="347">
        <v>3.73</v>
      </c>
      <c r="N88" s="347">
        <v>102.63</v>
      </c>
      <c r="O88" s="348">
        <v>14375</v>
      </c>
      <c r="P88" s="347">
        <v>89.64</v>
      </c>
      <c r="Q88" s="347">
        <v>88.38</v>
      </c>
      <c r="R88" s="347">
        <v>21.67</v>
      </c>
      <c r="S88" s="347">
        <v>110.75</v>
      </c>
      <c r="T88" s="348">
        <v>4107</v>
      </c>
      <c r="U88" s="347">
        <v>139.16999999999999</v>
      </c>
      <c r="V88" s="348">
        <v>1762</v>
      </c>
      <c r="W88" s="347">
        <v>170.76</v>
      </c>
      <c r="X88" s="348">
        <v>87</v>
      </c>
      <c r="Y88" s="349">
        <v>65</v>
      </c>
      <c r="Z88" s="349">
        <v>11</v>
      </c>
      <c r="AA88" s="349">
        <v>50</v>
      </c>
      <c r="AB88" s="349">
        <v>70</v>
      </c>
      <c r="AC88" s="349">
        <v>23</v>
      </c>
      <c r="AD88" s="349">
        <v>16123</v>
      </c>
      <c r="AE88" s="349">
        <v>56</v>
      </c>
      <c r="AF88" s="349">
        <v>85</v>
      </c>
      <c r="AG88" s="349">
        <v>141</v>
      </c>
    </row>
    <row r="89" spans="1:33" x14ac:dyDescent="0.3">
      <c r="A89" s="342" t="s">
        <v>234</v>
      </c>
      <c r="B89" s="342" t="s">
        <v>235</v>
      </c>
      <c r="C89" s="349">
        <v>2101</v>
      </c>
      <c r="D89" s="349">
        <v>0</v>
      </c>
      <c r="E89" s="349">
        <v>135</v>
      </c>
      <c r="F89" s="349">
        <v>550</v>
      </c>
      <c r="G89" s="349">
        <v>266</v>
      </c>
      <c r="H89" s="346">
        <v>3052</v>
      </c>
      <c r="I89" s="346">
        <v>2786</v>
      </c>
      <c r="J89" s="349">
        <v>31</v>
      </c>
      <c r="K89" s="347">
        <v>91.44</v>
      </c>
      <c r="L89" s="347">
        <v>89.47</v>
      </c>
      <c r="M89" s="347">
        <v>6.89</v>
      </c>
      <c r="N89" s="347">
        <v>96.63</v>
      </c>
      <c r="O89" s="348">
        <v>1700</v>
      </c>
      <c r="P89" s="347">
        <v>107.38</v>
      </c>
      <c r="Q89" s="347">
        <v>89.42</v>
      </c>
      <c r="R89" s="347">
        <v>40.98</v>
      </c>
      <c r="S89" s="347">
        <v>145.32</v>
      </c>
      <c r="T89" s="348">
        <v>675</v>
      </c>
      <c r="U89" s="347">
        <v>126.73</v>
      </c>
      <c r="V89" s="348">
        <v>276</v>
      </c>
      <c r="W89" s="347">
        <v>0</v>
      </c>
      <c r="X89" s="348">
        <v>0</v>
      </c>
      <c r="Y89" s="349">
        <v>0</v>
      </c>
      <c r="Z89" s="349">
        <v>0</v>
      </c>
      <c r="AA89" s="349">
        <v>0</v>
      </c>
      <c r="AB89" s="349">
        <v>10</v>
      </c>
      <c r="AC89" s="349">
        <v>5</v>
      </c>
      <c r="AD89" s="349">
        <v>2013</v>
      </c>
      <c r="AE89" s="349">
        <v>34</v>
      </c>
      <c r="AF89" s="349">
        <v>20</v>
      </c>
      <c r="AG89" s="349">
        <v>54</v>
      </c>
    </row>
    <row r="90" spans="1:33" x14ac:dyDescent="0.3">
      <c r="A90" s="342" t="s">
        <v>236</v>
      </c>
      <c r="B90" s="342" t="s">
        <v>237</v>
      </c>
      <c r="C90" s="349">
        <v>3898</v>
      </c>
      <c r="D90" s="349">
        <v>0</v>
      </c>
      <c r="E90" s="349">
        <v>418</v>
      </c>
      <c r="F90" s="349">
        <v>790</v>
      </c>
      <c r="G90" s="349">
        <v>703</v>
      </c>
      <c r="H90" s="346">
        <v>5809</v>
      </c>
      <c r="I90" s="346">
        <v>5106</v>
      </c>
      <c r="J90" s="349">
        <v>1</v>
      </c>
      <c r="K90" s="347">
        <v>94.34</v>
      </c>
      <c r="L90" s="347">
        <v>91.68</v>
      </c>
      <c r="M90" s="347">
        <v>6.54</v>
      </c>
      <c r="N90" s="347">
        <v>99.81</v>
      </c>
      <c r="O90" s="348">
        <v>3222</v>
      </c>
      <c r="P90" s="347">
        <v>112.5</v>
      </c>
      <c r="Q90" s="347">
        <v>95.99</v>
      </c>
      <c r="R90" s="347">
        <v>59.87</v>
      </c>
      <c r="S90" s="347">
        <v>170.04</v>
      </c>
      <c r="T90" s="348">
        <v>952</v>
      </c>
      <c r="U90" s="347">
        <v>112.93</v>
      </c>
      <c r="V90" s="348">
        <v>589</v>
      </c>
      <c r="W90" s="347">
        <v>115.33</v>
      </c>
      <c r="X90" s="348">
        <v>8</v>
      </c>
      <c r="Y90" s="349">
        <v>0</v>
      </c>
      <c r="Z90" s="349">
        <v>3</v>
      </c>
      <c r="AA90" s="349">
        <v>6</v>
      </c>
      <c r="AB90" s="349">
        <v>27</v>
      </c>
      <c r="AC90" s="349">
        <v>14</v>
      </c>
      <c r="AD90" s="349">
        <v>3898</v>
      </c>
      <c r="AE90" s="349">
        <v>19</v>
      </c>
      <c r="AF90" s="349">
        <v>15</v>
      </c>
      <c r="AG90" s="349">
        <v>34</v>
      </c>
    </row>
    <row r="91" spans="1:33" x14ac:dyDescent="0.3">
      <c r="A91" s="342" t="s">
        <v>238</v>
      </c>
      <c r="B91" s="342" t="s">
        <v>239</v>
      </c>
      <c r="C91" s="349">
        <v>10675</v>
      </c>
      <c r="D91" s="349">
        <v>331</v>
      </c>
      <c r="E91" s="349">
        <v>973</v>
      </c>
      <c r="F91" s="349">
        <v>751</v>
      </c>
      <c r="G91" s="349">
        <v>3039</v>
      </c>
      <c r="H91" s="346">
        <v>15769</v>
      </c>
      <c r="I91" s="346">
        <v>12730</v>
      </c>
      <c r="J91" s="349">
        <v>87</v>
      </c>
      <c r="K91" s="347">
        <v>129.21</v>
      </c>
      <c r="L91" s="347">
        <v>129.88</v>
      </c>
      <c r="M91" s="347">
        <v>11.32</v>
      </c>
      <c r="N91" s="347">
        <v>137.46</v>
      </c>
      <c r="O91" s="348">
        <v>8209</v>
      </c>
      <c r="P91" s="347">
        <v>124.05</v>
      </c>
      <c r="Q91" s="347">
        <v>117.29</v>
      </c>
      <c r="R91" s="347">
        <v>52.82</v>
      </c>
      <c r="S91" s="347">
        <v>173.64</v>
      </c>
      <c r="T91" s="348">
        <v>1094</v>
      </c>
      <c r="U91" s="347">
        <v>202.91</v>
      </c>
      <c r="V91" s="348">
        <v>1605</v>
      </c>
      <c r="W91" s="347">
        <v>198.28</v>
      </c>
      <c r="X91" s="348">
        <v>44</v>
      </c>
      <c r="Y91" s="349">
        <v>16</v>
      </c>
      <c r="Z91" s="349">
        <v>4</v>
      </c>
      <c r="AA91" s="349">
        <v>8</v>
      </c>
      <c r="AB91" s="349">
        <v>192</v>
      </c>
      <c r="AC91" s="349">
        <v>50</v>
      </c>
      <c r="AD91" s="349">
        <v>10288</v>
      </c>
      <c r="AE91" s="349">
        <v>44</v>
      </c>
      <c r="AF91" s="349">
        <v>85</v>
      </c>
      <c r="AG91" s="349">
        <v>129</v>
      </c>
    </row>
    <row r="92" spans="1:33" x14ac:dyDescent="0.3">
      <c r="A92" s="342" t="s">
        <v>240</v>
      </c>
      <c r="B92" s="342" t="s">
        <v>241</v>
      </c>
      <c r="C92" s="349">
        <v>4186</v>
      </c>
      <c r="D92" s="349">
        <v>5</v>
      </c>
      <c r="E92" s="349">
        <v>118</v>
      </c>
      <c r="F92" s="349">
        <v>1022</v>
      </c>
      <c r="G92" s="349">
        <v>460</v>
      </c>
      <c r="H92" s="346">
        <v>5791</v>
      </c>
      <c r="I92" s="346">
        <v>5331</v>
      </c>
      <c r="J92" s="349">
        <v>0</v>
      </c>
      <c r="K92" s="347">
        <v>103.01</v>
      </c>
      <c r="L92" s="347">
        <v>103.28</v>
      </c>
      <c r="M92" s="347">
        <v>3.06</v>
      </c>
      <c r="N92" s="347">
        <v>104.19</v>
      </c>
      <c r="O92" s="348">
        <v>3661</v>
      </c>
      <c r="P92" s="347">
        <v>97.09</v>
      </c>
      <c r="Q92" s="347">
        <v>95.64</v>
      </c>
      <c r="R92" s="347">
        <v>27.69</v>
      </c>
      <c r="S92" s="347">
        <v>124.55</v>
      </c>
      <c r="T92" s="348">
        <v>1123</v>
      </c>
      <c r="U92" s="347">
        <v>133.28</v>
      </c>
      <c r="V92" s="348">
        <v>435</v>
      </c>
      <c r="W92" s="347">
        <v>0</v>
      </c>
      <c r="X92" s="348">
        <v>0</v>
      </c>
      <c r="Y92" s="349">
        <v>0</v>
      </c>
      <c r="Z92" s="349">
        <v>3</v>
      </c>
      <c r="AA92" s="349">
        <v>9</v>
      </c>
      <c r="AB92" s="349">
        <v>22</v>
      </c>
      <c r="AC92" s="349">
        <v>11</v>
      </c>
      <c r="AD92" s="349">
        <v>4178</v>
      </c>
      <c r="AE92" s="349">
        <v>9</v>
      </c>
      <c r="AF92" s="349">
        <v>55</v>
      </c>
      <c r="AG92" s="349">
        <v>64</v>
      </c>
    </row>
    <row r="93" spans="1:33" x14ac:dyDescent="0.3">
      <c r="A93" s="342" t="s">
        <v>242</v>
      </c>
      <c r="B93" s="342" t="s">
        <v>243</v>
      </c>
      <c r="C93" s="349">
        <v>2504</v>
      </c>
      <c r="D93" s="349">
        <v>1</v>
      </c>
      <c r="E93" s="349">
        <v>195</v>
      </c>
      <c r="F93" s="349">
        <v>145</v>
      </c>
      <c r="G93" s="349">
        <v>868</v>
      </c>
      <c r="H93" s="346">
        <v>3713</v>
      </c>
      <c r="I93" s="346">
        <v>2845</v>
      </c>
      <c r="J93" s="349">
        <v>0</v>
      </c>
      <c r="K93" s="347">
        <v>94.62</v>
      </c>
      <c r="L93" s="347">
        <v>91.84</v>
      </c>
      <c r="M93" s="347">
        <v>3.69</v>
      </c>
      <c r="N93" s="347">
        <v>97.2</v>
      </c>
      <c r="O93" s="348">
        <v>1552</v>
      </c>
      <c r="P93" s="347">
        <v>105.54</v>
      </c>
      <c r="Q93" s="347">
        <v>80.66</v>
      </c>
      <c r="R93" s="347">
        <v>54.57</v>
      </c>
      <c r="S93" s="347">
        <v>158.26</v>
      </c>
      <c r="T93" s="348">
        <v>237</v>
      </c>
      <c r="U93" s="347">
        <v>132.77000000000001</v>
      </c>
      <c r="V93" s="348">
        <v>735</v>
      </c>
      <c r="W93" s="347">
        <v>0</v>
      </c>
      <c r="X93" s="348">
        <v>0</v>
      </c>
      <c r="Y93" s="349">
        <v>0</v>
      </c>
      <c r="Z93" s="349">
        <v>0</v>
      </c>
      <c r="AA93" s="349">
        <v>17</v>
      </c>
      <c r="AB93" s="349">
        <v>77</v>
      </c>
      <c r="AC93" s="349">
        <v>12</v>
      </c>
      <c r="AD93" s="349">
        <v>2459</v>
      </c>
      <c r="AE93" s="349">
        <v>12</v>
      </c>
      <c r="AF93" s="349">
        <v>5</v>
      </c>
      <c r="AG93" s="349">
        <v>17</v>
      </c>
    </row>
    <row r="94" spans="1:33" x14ac:dyDescent="0.3">
      <c r="A94" s="342" t="s">
        <v>244</v>
      </c>
      <c r="B94" s="342" t="s">
        <v>245</v>
      </c>
      <c r="C94" s="349">
        <v>5807</v>
      </c>
      <c r="D94" s="349">
        <v>0</v>
      </c>
      <c r="E94" s="349">
        <v>123</v>
      </c>
      <c r="F94" s="349">
        <v>785</v>
      </c>
      <c r="G94" s="349">
        <v>697</v>
      </c>
      <c r="H94" s="346">
        <v>7412</v>
      </c>
      <c r="I94" s="346">
        <v>6715</v>
      </c>
      <c r="J94" s="349">
        <v>0</v>
      </c>
      <c r="K94" s="347">
        <v>116.51</v>
      </c>
      <c r="L94" s="347">
        <v>113.17</v>
      </c>
      <c r="M94" s="347">
        <v>4.4000000000000004</v>
      </c>
      <c r="N94" s="347">
        <v>118.05</v>
      </c>
      <c r="O94" s="348">
        <v>4246</v>
      </c>
      <c r="P94" s="347">
        <v>97.43</v>
      </c>
      <c r="Q94" s="347">
        <v>93.75</v>
      </c>
      <c r="R94" s="347">
        <v>15.69</v>
      </c>
      <c r="S94" s="347">
        <v>112.45</v>
      </c>
      <c r="T94" s="348">
        <v>889</v>
      </c>
      <c r="U94" s="347">
        <v>158.22</v>
      </c>
      <c r="V94" s="348">
        <v>1178</v>
      </c>
      <c r="W94" s="347">
        <v>0</v>
      </c>
      <c r="X94" s="348">
        <v>0</v>
      </c>
      <c r="Y94" s="349">
        <v>6</v>
      </c>
      <c r="Z94" s="349">
        <v>3</v>
      </c>
      <c r="AA94" s="349">
        <v>0</v>
      </c>
      <c r="AB94" s="349">
        <v>29</v>
      </c>
      <c r="AC94" s="349">
        <v>15</v>
      </c>
      <c r="AD94" s="349">
        <v>5534</v>
      </c>
      <c r="AE94" s="349">
        <v>31</v>
      </c>
      <c r="AF94" s="349">
        <v>1</v>
      </c>
      <c r="AG94" s="349">
        <v>32</v>
      </c>
    </row>
    <row r="95" spans="1:33" x14ac:dyDescent="0.3">
      <c r="A95" s="342" t="s">
        <v>246</v>
      </c>
      <c r="B95" s="342" t="s">
        <v>247</v>
      </c>
      <c r="C95" s="349">
        <v>7169</v>
      </c>
      <c r="D95" s="349">
        <v>0</v>
      </c>
      <c r="E95" s="349">
        <v>181</v>
      </c>
      <c r="F95" s="349">
        <v>1059</v>
      </c>
      <c r="G95" s="349">
        <v>953</v>
      </c>
      <c r="H95" s="346">
        <v>9362</v>
      </c>
      <c r="I95" s="346">
        <v>8409</v>
      </c>
      <c r="J95" s="349">
        <v>7</v>
      </c>
      <c r="K95" s="347">
        <v>117.27</v>
      </c>
      <c r="L95" s="347">
        <v>116.57</v>
      </c>
      <c r="M95" s="347">
        <v>6.15</v>
      </c>
      <c r="N95" s="347">
        <v>119.81</v>
      </c>
      <c r="O95" s="348">
        <v>5111</v>
      </c>
      <c r="P95" s="347">
        <v>106.18</v>
      </c>
      <c r="Q95" s="347">
        <v>98.05</v>
      </c>
      <c r="R95" s="347">
        <v>34.29</v>
      </c>
      <c r="S95" s="347">
        <v>139.41</v>
      </c>
      <c r="T95" s="348">
        <v>1198</v>
      </c>
      <c r="U95" s="347">
        <v>167.07</v>
      </c>
      <c r="V95" s="348">
        <v>1941</v>
      </c>
      <c r="W95" s="347">
        <v>0</v>
      </c>
      <c r="X95" s="348">
        <v>0</v>
      </c>
      <c r="Y95" s="349">
        <v>43</v>
      </c>
      <c r="Z95" s="349">
        <v>1</v>
      </c>
      <c r="AA95" s="349">
        <v>4</v>
      </c>
      <c r="AB95" s="349">
        <v>89</v>
      </c>
      <c r="AC95" s="349">
        <v>14</v>
      </c>
      <c r="AD95" s="349">
        <v>7147</v>
      </c>
      <c r="AE95" s="349">
        <v>82</v>
      </c>
      <c r="AF95" s="349">
        <v>16</v>
      </c>
      <c r="AG95" s="349">
        <v>98</v>
      </c>
    </row>
    <row r="96" spans="1:33" x14ac:dyDescent="0.3">
      <c r="A96" s="342" t="s">
        <v>248</v>
      </c>
      <c r="B96" s="342" t="s">
        <v>249</v>
      </c>
      <c r="C96" s="349">
        <v>6822</v>
      </c>
      <c r="D96" s="349">
        <v>8</v>
      </c>
      <c r="E96" s="349">
        <v>243</v>
      </c>
      <c r="F96" s="349">
        <v>577</v>
      </c>
      <c r="G96" s="349">
        <v>635</v>
      </c>
      <c r="H96" s="346">
        <v>8285</v>
      </c>
      <c r="I96" s="346">
        <v>7650</v>
      </c>
      <c r="J96" s="349">
        <v>1</v>
      </c>
      <c r="K96" s="347">
        <v>83.84</v>
      </c>
      <c r="L96" s="347">
        <v>83.29</v>
      </c>
      <c r="M96" s="347">
        <v>3.1</v>
      </c>
      <c r="N96" s="347">
        <v>86.36</v>
      </c>
      <c r="O96" s="348">
        <v>5158</v>
      </c>
      <c r="P96" s="347">
        <v>86.92</v>
      </c>
      <c r="Q96" s="347">
        <v>77.66</v>
      </c>
      <c r="R96" s="347">
        <v>46.33</v>
      </c>
      <c r="S96" s="347">
        <v>131.74</v>
      </c>
      <c r="T96" s="348">
        <v>772</v>
      </c>
      <c r="U96" s="347">
        <v>94.55</v>
      </c>
      <c r="V96" s="348">
        <v>1463</v>
      </c>
      <c r="W96" s="347">
        <v>151.79</v>
      </c>
      <c r="X96" s="348">
        <v>42</v>
      </c>
      <c r="Y96" s="349">
        <v>0</v>
      </c>
      <c r="Z96" s="349">
        <v>5</v>
      </c>
      <c r="AA96" s="349">
        <v>3</v>
      </c>
      <c r="AB96" s="349">
        <v>41</v>
      </c>
      <c r="AC96" s="349">
        <v>5</v>
      </c>
      <c r="AD96" s="349">
        <v>6666</v>
      </c>
      <c r="AE96" s="349">
        <v>47</v>
      </c>
      <c r="AF96" s="349">
        <v>41</v>
      </c>
      <c r="AG96" s="349">
        <v>88</v>
      </c>
    </row>
    <row r="97" spans="1:33" x14ac:dyDescent="0.3">
      <c r="A97" s="342" t="s">
        <v>250</v>
      </c>
      <c r="B97" s="342" t="s">
        <v>251</v>
      </c>
      <c r="C97" s="349">
        <v>2279</v>
      </c>
      <c r="D97" s="349">
        <v>0</v>
      </c>
      <c r="E97" s="349">
        <v>288</v>
      </c>
      <c r="F97" s="349">
        <v>618</v>
      </c>
      <c r="G97" s="349">
        <v>295</v>
      </c>
      <c r="H97" s="346">
        <v>3480</v>
      </c>
      <c r="I97" s="346">
        <v>3185</v>
      </c>
      <c r="J97" s="349">
        <v>0</v>
      </c>
      <c r="K97" s="347">
        <v>90.6</v>
      </c>
      <c r="L97" s="347">
        <v>87.72</v>
      </c>
      <c r="M97" s="347">
        <v>4.8499999999999996</v>
      </c>
      <c r="N97" s="347">
        <v>93.51</v>
      </c>
      <c r="O97" s="348">
        <v>1281</v>
      </c>
      <c r="P97" s="347">
        <v>93.93</v>
      </c>
      <c r="Q97" s="347">
        <v>82.74</v>
      </c>
      <c r="R97" s="347">
        <v>50.62</v>
      </c>
      <c r="S97" s="347">
        <v>142.77000000000001</v>
      </c>
      <c r="T97" s="348">
        <v>767</v>
      </c>
      <c r="U97" s="347">
        <v>104.37</v>
      </c>
      <c r="V97" s="348">
        <v>727</v>
      </c>
      <c r="W97" s="347">
        <v>116.49</v>
      </c>
      <c r="X97" s="348">
        <v>40</v>
      </c>
      <c r="Y97" s="349">
        <v>130</v>
      </c>
      <c r="Z97" s="349">
        <v>0</v>
      </c>
      <c r="AA97" s="349">
        <v>0</v>
      </c>
      <c r="AB97" s="349">
        <v>37</v>
      </c>
      <c r="AC97" s="349">
        <v>2</v>
      </c>
      <c r="AD97" s="349">
        <v>2070</v>
      </c>
      <c r="AE97" s="349">
        <v>26</v>
      </c>
      <c r="AF97" s="349">
        <v>8</v>
      </c>
      <c r="AG97" s="349">
        <v>34</v>
      </c>
    </row>
    <row r="98" spans="1:33" x14ac:dyDescent="0.3">
      <c r="A98" s="342" t="s">
        <v>252</v>
      </c>
      <c r="B98" s="342" t="s">
        <v>253</v>
      </c>
      <c r="C98" s="349">
        <v>6264</v>
      </c>
      <c r="D98" s="349">
        <v>0</v>
      </c>
      <c r="E98" s="349">
        <v>131</v>
      </c>
      <c r="F98" s="349">
        <v>441</v>
      </c>
      <c r="G98" s="349">
        <v>292</v>
      </c>
      <c r="H98" s="346">
        <v>7128</v>
      </c>
      <c r="I98" s="346">
        <v>6836</v>
      </c>
      <c r="J98" s="349">
        <v>2</v>
      </c>
      <c r="K98" s="347">
        <v>82.81</v>
      </c>
      <c r="L98" s="347">
        <v>79.92</v>
      </c>
      <c r="M98" s="347">
        <v>6.28</v>
      </c>
      <c r="N98" s="347">
        <v>85.37</v>
      </c>
      <c r="O98" s="348">
        <v>5027</v>
      </c>
      <c r="P98" s="347">
        <v>81.290000000000006</v>
      </c>
      <c r="Q98" s="347">
        <v>75.599999999999994</v>
      </c>
      <c r="R98" s="347">
        <v>55.25</v>
      </c>
      <c r="S98" s="347">
        <v>136.44999999999999</v>
      </c>
      <c r="T98" s="348">
        <v>553</v>
      </c>
      <c r="U98" s="347">
        <v>98.46</v>
      </c>
      <c r="V98" s="348">
        <v>1214</v>
      </c>
      <c r="W98" s="347">
        <v>0</v>
      </c>
      <c r="X98" s="348">
        <v>0</v>
      </c>
      <c r="Y98" s="349">
        <v>35</v>
      </c>
      <c r="Z98" s="349">
        <v>18</v>
      </c>
      <c r="AA98" s="349">
        <v>4</v>
      </c>
      <c r="AB98" s="349">
        <v>39</v>
      </c>
      <c r="AC98" s="349">
        <v>4</v>
      </c>
      <c r="AD98" s="349">
        <v>6264</v>
      </c>
      <c r="AE98" s="349">
        <v>65</v>
      </c>
      <c r="AF98" s="349">
        <v>12</v>
      </c>
      <c r="AG98" s="349">
        <v>77</v>
      </c>
    </row>
    <row r="99" spans="1:33" x14ac:dyDescent="0.3">
      <c r="A99" s="342" t="s">
        <v>254</v>
      </c>
      <c r="B99" s="342" t="s">
        <v>255</v>
      </c>
      <c r="C99" s="349">
        <v>8378</v>
      </c>
      <c r="D99" s="349">
        <v>0</v>
      </c>
      <c r="E99" s="349">
        <v>373</v>
      </c>
      <c r="F99" s="349">
        <v>1375</v>
      </c>
      <c r="G99" s="349">
        <v>274</v>
      </c>
      <c r="H99" s="346">
        <v>10400</v>
      </c>
      <c r="I99" s="346">
        <v>10126</v>
      </c>
      <c r="J99" s="349">
        <v>0</v>
      </c>
      <c r="K99" s="347">
        <v>92.88</v>
      </c>
      <c r="L99" s="347">
        <v>93.13</v>
      </c>
      <c r="M99" s="347">
        <v>3.38</v>
      </c>
      <c r="N99" s="347">
        <v>94.43</v>
      </c>
      <c r="O99" s="348">
        <v>7036</v>
      </c>
      <c r="P99" s="347">
        <v>83.29</v>
      </c>
      <c r="Q99" s="347">
        <v>80.349999999999994</v>
      </c>
      <c r="R99" s="347">
        <v>35.840000000000003</v>
      </c>
      <c r="S99" s="347">
        <v>118.29</v>
      </c>
      <c r="T99" s="348">
        <v>1589</v>
      </c>
      <c r="U99" s="347">
        <v>107.47</v>
      </c>
      <c r="V99" s="348">
        <v>1149</v>
      </c>
      <c r="W99" s="347">
        <v>153.38</v>
      </c>
      <c r="X99" s="348">
        <v>48</v>
      </c>
      <c r="Y99" s="349">
        <v>57</v>
      </c>
      <c r="Z99" s="349">
        <v>1</v>
      </c>
      <c r="AA99" s="349">
        <v>31</v>
      </c>
      <c r="AB99" s="349">
        <v>15</v>
      </c>
      <c r="AC99" s="349">
        <v>4</v>
      </c>
      <c r="AD99" s="349">
        <v>8349</v>
      </c>
      <c r="AE99" s="349">
        <v>29</v>
      </c>
      <c r="AF99" s="349">
        <v>39</v>
      </c>
      <c r="AG99" s="349">
        <v>68</v>
      </c>
    </row>
    <row r="100" spans="1:33" x14ac:dyDescent="0.3">
      <c r="A100" s="342" t="s">
        <v>256</v>
      </c>
      <c r="B100" s="342" t="s">
        <v>257</v>
      </c>
      <c r="C100" s="349">
        <v>1718</v>
      </c>
      <c r="D100" s="349">
        <v>0</v>
      </c>
      <c r="E100" s="349">
        <v>267</v>
      </c>
      <c r="F100" s="349">
        <v>658</v>
      </c>
      <c r="G100" s="349">
        <v>176</v>
      </c>
      <c r="H100" s="346">
        <v>2819</v>
      </c>
      <c r="I100" s="346">
        <v>2643</v>
      </c>
      <c r="J100" s="349">
        <v>0</v>
      </c>
      <c r="K100" s="347">
        <v>96.16</v>
      </c>
      <c r="L100" s="347">
        <v>92.42</v>
      </c>
      <c r="M100" s="347">
        <v>8.08</v>
      </c>
      <c r="N100" s="347">
        <v>102.96</v>
      </c>
      <c r="O100" s="348">
        <v>1473</v>
      </c>
      <c r="P100" s="347">
        <v>81.819999999999993</v>
      </c>
      <c r="Q100" s="347">
        <v>74.569999999999993</v>
      </c>
      <c r="R100" s="347">
        <v>42.01</v>
      </c>
      <c r="S100" s="347">
        <v>123.83</v>
      </c>
      <c r="T100" s="348">
        <v>684</v>
      </c>
      <c r="U100" s="347">
        <v>137.03</v>
      </c>
      <c r="V100" s="348">
        <v>220</v>
      </c>
      <c r="W100" s="347">
        <v>168.83</v>
      </c>
      <c r="X100" s="348">
        <v>66</v>
      </c>
      <c r="Y100" s="349">
        <v>0</v>
      </c>
      <c r="Z100" s="349">
        <v>0</v>
      </c>
      <c r="AA100" s="349">
        <v>0</v>
      </c>
      <c r="AB100" s="349">
        <v>0</v>
      </c>
      <c r="AC100" s="349">
        <v>6</v>
      </c>
      <c r="AD100" s="349">
        <v>1717</v>
      </c>
      <c r="AE100" s="349">
        <v>3</v>
      </c>
      <c r="AF100" s="349">
        <v>3</v>
      </c>
      <c r="AG100" s="349">
        <v>6</v>
      </c>
    </row>
    <row r="101" spans="1:33" x14ac:dyDescent="0.3">
      <c r="A101" s="342" t="s">
        <v>258</v>
      </c>
      <c r="B101" s="342" t="s">
        <v>259</v>
      </c>
      <c r="C101" s="349">
        <v>6629</v>
      </c>
      <c r="D101" s="349">
        <v>0</v>
      </c>
      <c r="E101" s="349">
        <v>171</v>
      </c>
      <c r="F101" s="349">
        <v>702</v>
      </c>
      <c r="G101" s="349">
        <v>1115</v>
      </c>
      <c r="H101" s="346">
        <v>8617</v>
      </c>
      <c r="I101" s="346">
        <v>7502</v>
      </c>
      <c r="J101" s="349">
        <v>0</v>
      </c>
      <c r="K101" s="347">
        <v>109.42</v>
      </c>
      <c r="L101" s="347">
        <v>104.6</v>
      </c>
      <c r="M101" s="347">
        <v>5.59</v>
      </c>
      <c r="N101" s="347">
        <v>112.33</v>
      </c>
      <c r="O101" s="348">
        <v>4801</v>
      </c>
      <c r="P101" s="347">
        <v>100.4</v>
      </c>
      <c r="Q101" s="347">
        <v>88.02</v>
      </c>
      <c r="R101" s="347">
        <v>34.61</v>
      </c>
      <c r="S101" s="347">
        <v>134.08000000000001</v>
      </c>
      <c r="T101" s="348">
        <v>745</v>
      </c>
      <c r="U101" s="347">
        <v>152.29</v>
      </c>
      <c r="V101" s="348">
        <v>1679</v>
      </c>
      <c r="W101" s="347">
        <v>179.13</v>
      </c>
      <c r="X101" s="348">
        <v>50</v>
      </c>
      <c r="Y101" s="349">
        <v>0</v>
      </c>
      <c r="Z101" s="349">
        <v>1</v>
      </c>
      <c r="AA101" s="349">
        <v>6</v>
      </c>
      <c r="AB101" s="349">
        <v>164</v>
      </c>
      <c r="AC101" s="349">
        <v>15</v>
      </c>
      <c r="AD101" s="349">
        <v>6627</v>
      </c>
      <c r="AE101" s="349">
        <v>26</v>
      </c>
      <c r="AF101" s="349">
        <v>22</v>
      </c>
      <c r="AG101" s="349">
        <v>48</v>
      </c>
    </row>
    <row r="102" spans="1:33" x14ac:dyDescent="0.3">
      <c r="A102" s="342" t="s">
        <v>260</v>
      </c>
      <c r="B102" s="342" t="s">
        <v>261</v>
      </c>
      <c r="C102" s="349">
        <v>2208</v>
      </c>
      <c r="D102" s="349">
        <v>9</v>
      </c>
      <c r="E102" s="349">
        <v>160</v>
      </c>
      <c r="F102" s="349">
        <v>185</v>
      </c>
      <c r="G102" s="349">
        <v>176</v>
      </c>
      <c r="H102" s="346">
        <v>2738</v>
      </c>
      <c r="I102" s="346">
        <v>2562</v>
      </c>
      <c r="J102" s="349">
        <v>17</v>
      </c>
      <c r="K102" s="347">
        <v>96.82</v>
      </c>
      <c r="L102" s="347">
        <v>98.15</v>
      </c>
      <c r="M102" s="347">
        <v>5.23</v>
      </c>
      <c r="N102" s="347">
        <v>98.86</v>
      </c>
      <c r="O102" s="348">
        <v>1941</v>
      </c>
      <c r="P102" s="347">
        <v>88.96</v>
      </c>
      <c r="Q102" s="347">
        <v>82.64</v>
      </c>
      <c r="R102" s="347">
        <v>42.83</v>
      </c>
      <c r="S102" s="347">
        <v>130.38</v>
      </c>
      <c r="T102" s="348">
        <v>335</v>
      </c>
      <c r="U102" s="347">
        <v>114.69</v>
      </c>
      <c r="V102" s="348">
        <v>240</v>
      </c>
      <c r="W102" s="347">
        <v>0</v>
      </c>
      <c r="X102" s="348">
        <v>0</v>
      </c>
      <c r="Y102" s="349">
        <v>0</v>
      </c>
      <c r="Z102" s="349">
        <v>3</v>
      </c>
      <c r="AA102" s="349">
        <v>1</v>
      </c>
      <c r="AB102" s="349">
        <v>0</v>
      </c>
      <c r="AC102" s="349">
        <v>1</v>
      </c>
      <c r="AD102" s="349">
        <v>2170</v>
      </c>
      <c r="AE102" s="349">
        <v>16</v>
      </c>
      <c r="AF102" s="349">
        <v>5</v>
      </c>
      <c r="AG102" s="349">
        <v>21</v>
      </c>
    </row>
    <row r="103" spans="1:33" x14ac:dyDescent="0.3">
      <c r="A103" s="342" t="s">
        <v>262</v>
      </c>
      <c r="B103" s="342" t="s">
        <v>263</v>
      </c>
      <c r="C103" s="349">
        <v>4585</v>
      </c>
      <c r="D103" s="349">
        <v>5</v>
      </c>
      <c r="E103" s="349">
        <v>127</v>
      </c>
      <c r="F103" s="349">
        <v>926</v>
      </c>
      <c r="G103" s="349">
        <v>542</v>
      </c>
      <c r="H103" s="346">
        <v>6185</v>
      </c>
      <c r="I103" s="346">
        <v>5643</v>
      </c>
      <c r="J103" s="349">
        <v>10</v>
      </c>
      <c r="K103" s="347">
        <v>128.47999999999999</v>
      </c>
      <c r="L103" s="347">
        <v>129.85</v>
      </c>
      <c r="M103" s="347">
        <v>8.9700000000000006</v>
      </c>
      <c r="N103" s="347">
        <v>132.9</v>
      </c>
      <c r="O103" s="348">
        <v>3711</v>
      </c>
      <c r="P103" s="347">
        <v>120.65</v>
      </c>
      <c r="Q103" s="347">
        <v>108.75</v>
      </c>
      <c r="R103" s="347">
        <v>22.79</v>
      </c>
      <c r="S103" s="347">
        <v>143.18</v>
      </c>
      <c r="T103" s="348">
        <v>784</v>
      </c>
      <c r="U103" s="347">
        <v>203.45</v>
      </c>
      <c r="V103" s="348">
        <v>649</v>
      </c>
      <c r="W103" s="347">
        <v>161.86000000000001</v>
      </c>
      <c r="X103" s="348">
        <v>8</v>
      </c>
      <c r="Y103" s="349">
        <v>0</v>
      </c>
      <c r="Z103" s="349">
        <v>3</v>
      </c>
      <c r="AA103" s="349">
        <v>2</v>
      </c>
      <c r="AB103" s="349">
        <v>55</v>
      </c>
      <c r="AC103" s="349">
        <v>13</v>
      </c>
      <c r="AD103" s="349">
        <v>4453</v>
      </c>
      <c r="AE103" s="349">
        <v>8</v>
      </c>
      <c r="AF103" s="349">
        <v>33</v>
      </c>
      <c r="AG103" s="349">
        <v>41</v>
      </c>
    </row>
    <row r="104" spans="1:33" x14ac:dyDescent="0.3">
      <c r="A104" s="342" t="s">
        <v>264</v>
      </c>
      <c r="B104" s="342" t="s">
        <v>265</v>
      </c>
      <c r="C104" s="349">
        <v>6984</v>
      </c>
      <c r="D104" s="349">
        <v>334</v>
      </c>
      <c r="E104" s="349">
        <v>644</v>
      </c>
      <c r="F104" s="349">
        <v>699</v>
      </c>
      <c r="G104" s="349">
        <v>1323</v>
      </c>
      <c r="H104" s="346">
        <v>9984</v>
      </c>
      <c r="I104" s="346">
        <v>8661</v>
      </c>
      <c r="J104" s="349">
        <v>5</v>
      </c>
      <c r="K104" s="347">
        <v>123.27</v>
      </c>
      <c r="L104" s="347">
        <v>122.72</v>
      </c>
      <c r="M104" s="347">
        <v>14.87</v>
      </c>
      <c r="N104" s="347">
        <v>133.82</v>
      </c>
      <c r="O104" s="348">
        <v>5798</v>
      </c>
      <c r="P104" s="347">
        <v>115.65</v>
      </c>
      <c r="Q104" s="347">
        <v>107.41</v>
      </c>
      <c r="R104" s="347">
        <v>71.239999999999995</v>
      </c>
      <c r="S104" s="347">
        <v>185.65</v>
      </c>
      <c r="T104" s="348">
        <v>1157</v>
      </c>
      <c r="U104" s="347">
        <v>197.03</v>
      </c>
      <c r="V104" s="348">
        <v>745</v>
      </c>
      <c r="W104" s="347">
        <v>192.7</v>
      </c>
      <c r="X104" s="348">
        <v>18</v>
      </c>
      <c r="Y104" s="349">
        <v>1</v>
      </c>
      <c r="Z104" s="349">
        <v>5</v>
      </c>
      <c r="AA104" s="349">
        <v>16</v>
      </c>
      <c r="AB104" s="349">
        <v>67</v>
      </c>
      <c r="AC104" s="349">
        <v>44</v>
      </c>
      <c r="AD104" s="349">
        <v>6599</v>
      </c>
      <c r="AE104" s="349">
        <v>126</v>
      </c>
      <c r="AF104" s="349">
        <v>6</v>
      </c>
      <c r="AG104" s="349">
        <v>132</v>
      </c>
    </row>
    <row r="105" spans="1:33" x14ac:dyDescent="0.3">
      <c r="A105" s="342" t="s">
        <v>266</v>
      </c>
      <c r="B105" s="342" t="s">
        <v>267</v>
      </c>
      <c r="C105" s="349">
        <v>1455</v>
      </c>
      <c r="D105" s="349">
        <v>0</v>
      </c>
      <c r="E105" s="349">
        <v>158</v>
      </c>
      <c r="F105" s="349">
        <v>228</v>
      </c>
      <c r="G105" s="349">
        <v>387</v>
      </c>
      <c r="H105" s="346">
        <v>2228</v>
      </c>
      <c r="I105" s="346">
        <v>1841</v>
      </c>
      <c r="J105" s="349">
        <v>1</v>
      </c>
      <c r="K105" s="347">
        <v>121.56</v>
      </c>
      <c r="L105" s="347">
        <v>118.6</v>
      </c>
      <c r="M105" s="347">
        <v>6.27</v>
      </c>
      <c r="N105" s="347">
        <v>127.06</v>
      </c>
      <c r="O105" s="348">
        <v>1225</v>
      </c>
      <c r="P105" s="347">
        <v>97.37</v>
      </c>
      <c r="Q105" s="347">
        <v>88.31</v>
      </c>
      <c r="R105" s="347">
        <v>59.98</v>
      </c>
      <c r="S105" s="347">
        <v>156.93</v>
      </c>
      <c r="T105" s="348">
        <v>285</v>
      </c>
      <c r="U105" s="347">
        <v>186.3</v>
      </c>
      <c r="V105" s="348">
        <v>214</v>
      </c>
      <c r="W105" s="347">
        <v>0</v>
      </c>
      <c r="X105" s="348">
        <v>0</v>
      </c>
      <c r="Y105" s="349">
        <v>0</v>
      </c>
      <c r="Z105" s="349">
        <v>1</v>
      </c>
      <c r="AA105" s="349">
        <v>1</v>
      </c>
      <c r="AB105" s="349">
        <v>33</v>
      </c>
      <c r="AC105" s="349">
        <v>11</v>
      </c>
      <c r="AD105" s="349">
        <v>1455</v>
      </c>
      <c r="AE105" s="349">
        <v>12</v>
      </c>
      <c r="AF105" s="349">
        <v>5</v>
      </c>
      <c r="AG105" s="349">
        <v>17</v>
      </c>
    </row>
    <row r="106" spans="1:33" x14ac:dyDescent="0.3">
      <c r="A106" s="342" t="s">
        <v>268</v>
      </c>
      <c r="B106" s="342" t="s">
        <v>269</v>
      </c>
      <c r="C106" s="349">
        <v>2225</v>
      </c>
      <c r="D106" s="349">
        <v>0</v>
      </c>
      <c r="E106" s="349">
        <v>151</v>
      </c>
      <c r="F106" s="349">
        <v>406</v>
      </c>
      <c r="G106" s="349">
        <v>360</v>
      </c>
      <c r="H106" s="346">
        <v>3142</v>
      </c>
      <c r="I106" s="346">
        <v>2782</v>
      </c>
      <c r="J106" s="349">
        <v>0</v>
      </c>
      <c r="K106" s="347">
        <v>123.46</v>
      </c>
      <c r="L106" s="347">
        <v>116.41</v>
      </c>
      <c r="M106" s="347">
        <v>10.39</v>
      </c>
      <c r="N106" s="347">
        <v>129.16</v>
      </c>
      <c r="O106" s="348">
        <v>1947</v>
      </c>
      <c r="P106" s="347">
        <v>108.23</v>
      </c>
      <c r="Q106" s="347">
        <v>101.15</v>
      </c>
      <c r="R106" s="347">
        <v>26.65</v>
      </c>
      <c r="S106" s="347">
        <v>133.74</v>
      </c>
      <c r="T106" s="348">
        <v>326</v>
      </c>
      <c r="U106" s="347">
        <v>201.17</v>
      </c>
      <c r="V106" s="348">
        <v>258</v>
      </c>
      <c r="W106" s="347">
        <v>243.89</v>
      </c>
      <c r="X106" s="348">
        <v>49</v>
      </c>
      <c r="Y106" s="349">
        <v>0</v>
      </c>
      <c r="Z106" s="349">
        <v>0</v>
      </c>
      <c r="AA106" s="349">
        <v>3</v>
      </c>
      <c r="AB106" s="349">
        <v>5</v>
      </c>
      <c r="AC106" s="349">
        <v>11</v>
      </c>
      <c r="AD106" s="349">
        <v>2225</v>
      </c>
      <c r="AE106" s="349">
        <v>4</v>
      </c>
      <c r="AF106" s="349">
        <v>6</v>
      </c>
      <c r="AG106" s="349">
        <v>10</v>
      </c>
    </row>
    <row r="107" spans="1:33" x14ac:dyDescent="0.3">
      <c r="A107" s="342" t="s">
        <v>270</v>
      </c>
      <c r="B107" s="342" t="s">
        <v>271</v>
      </c>
      <c r="C107" s="349">
        <v>4658</v>
      </c>
      <c r="D107" s="349">
        <v>0</v>
      </c>
      <c r="E107" s="349">
        <v>100</v>
      </c>
      <c r="F107" s="349">
        <v>1886</v>
      </c>
      <c r="G107" s="349">
        <v>201</v>
      </c>
      <c r="H107" s="346">
        <v>6845</v>
      </c>
      <c r="I107" s="346">
        <v>6644</v>
      </c>
      <c r="J107" s="349">
        <v>2</v>
      </c>
      <c r="K107" s="347">
        <v>89.67</v>
      </c>
      <c r="L107" s="347">
        <v>91.59</v>
      </c>
      <c r="M107" s="347">
        <v>3.52</v>
      </c>
      <c r="N107" s="347">
        <v>92.43</v>
      </c>
      <c r="O107" s="348">
        <v>4159</v>
      </c>
      <c r="P107" s="347">
        <v>81.400000000000006</v>
      </c>
      <c r="Q107" s="347">
        <v>80.69</v>
      </c>
      <c r="R107" s="347">
        <v>9.6999999999999993</v>
      </c>
      <c r="S107" s="347">
        <v>90.83</v>
      </c>
      <c r="T107" s="348">
        <v>1913</v>
      </c>
      <c r="U107" s="347">
        <v>103.77</v>
      </c>
      <c r="V107" s="348">
        <v>448</v>
      </c>
      <c r="W107" s="347">
        <v>93.78</v>
      </c>
      <c r="X107" s="348">
        <v>36</v>
      </c>
      <c r="Y107" s="349">
        <v>27</v>
      </c>
      <c r="Z107" s="349">
        <v>3</v>
      </c>
      <c r="AA107" s="349">
        <v>6</v>
      </c>
      <c r="AB107" s="349">
        <v>14</v>
      </c>
      <c r="AC107" s="349">
        <v>15</v>
      </c>
      <c r="AD107" s="349">
        <v>4657</v>
      </c>
      <c r="AE107" s="349">
        <v>25</v>
      </c>
      <c r="AF107" s="349">
        <v>28</v>
      </c>
      <c r="AG107" s="349">
        <v>53</v>
      </c>
    </row>
    <row r="108" spans="1:33" x14ac:dyDescent="0.3">
      <c r="A108" s="342" t="s">
        <v>272</v>
      </c>
      <c r="B108" s="342" t="s">
        <v>273</v>
      </c>
      <c r="C108" s="349">
        <v>3636</v>
      </c>
      <c r="D108" s="349">
        <v>4</v>
      </c>
      <c r="E108" s="349">
        <v>544</v>
      </c>
      <c r="F108" s="349">
        <v>394</v>
      </c>
      <c r="G108" s="349">
        <v>484</v>
      </c>
      <c r="H108" s="346">
        <v>5062</v>
      </c>
      <c r="I108" s="346">
        <v>4578</v>
      </c>
      <c r="J108" s="349">
        <v>0</v>
      </c>
      <c r="K108" s="347">
        <v>89.34</v>
      </c>
      <c r="L108" s="347">
        <v>87.48</v>
      </c>
      <c r="M108" s="347">
        <v>7.08</v>
      </c>
      <c r="N108" s="347">
        <v>94.73</v>
      </c>
      <c r="O108" s="348">
        <v>3394</v>
      </c>
      <c r="P108" s="347">
        <v>94.58</v>
      </c>
      <c r="Q108" s="347">
        <v>68.62</v>
      </c>
      <c r="R108" s="347">
        <v>94.89</v>
      </c>
      <c r="S108" s="347">
        <v>185.22</v>
      </c>
      <c r="T108" s="348">
        <v>469</v>
      </c>
      <c r="U108" s="347">
        <v>127.17</v>
      </c>
      <c r="V108" s="348">
        <v>217</v>
      </c>
      <c r="W108" s="347">
        <v>130.4</v>
      </c>
      <c r="X108" s="348">
        <v>61</v>
      </c>
      <c r="Y108" s="349">
        <v>0</v>
      </c>
      <c r="Z108" s="349">
        <v>0</v>
      </c>
      <c r="AA108" s="349">
        <v>3</v>
      </c>
      <c r="AB108" s="349">
        <v>20</v>
      </c>
      <c r="AC108" s="349">
        <v>6</v>
      </c>
      <c r="AD108" s="349">
        <v>3614</v>
      </c>
      <c r="AE108" s="349">
        <v>36</v>
      </c>
      <c r="AF108" s="349">
        <v>38</v>
      </c>
      <c r="AG108" s="349">
        <v>74</v>
      </c>
    </row>
    <row r="109" spans="1:33" x14ac:dyDescent="0.3">
      <c r="A109" s="342" t="s">
        <v>274</v>
      </c>
      <c r="B109" s="342" t="s">
        <v>275</v>
      </c>
      <c r="C109" s="349">
        <v>1543</v>
      </c>
      <c r="D109" s="349">
        <v>0</v>
      </c>
      <c r="E109" s="349">
        <v>180</v>
      </c>
      <c r="F109" s="349">
        <v>167</v>
      </c>
      <c r="G109" s="349">
        <v>249</v>
      </c>
      <c r="H109" s="346">
        <v>2139</v>
      </c>
      <c r="I109" s="346">
        <v>1890</v>
      </c>
      <c r="J109" s="349">
        <v>3</v>
      </c>
      <c r="K109" s="347">
        <v>107.58</v>
      </c>
      <c r="L109" s="347">
        <v>103.94</v>
      </c>
      <c r="M109" s="347">
        <v>8.2899999999999991</v>
      </c>
      <c r="N109" s="347">
        <v>113.65</v>
      </c>
      <c r="O109" s="348">
        <v>1059</v>
      </c>
      <c r="P109" s="347">
        <v>103.03</v>
      </c>
      <c r="Q109" s="347">
        <v>87.11</v>
      </c>
      <c r="R109" s="347">
        <v>49.9</v>
      </c>
      <c r="S109" s="347">
        <v>152.05000000000001</v>
      </c>
      <c r="T109" s="348">
        <v>229</v>
      </c>
      <c r="U109" s="347">
        <v>149.13999999999999</v>
      </c>
      <c r="V109" s="348">
        <v>366</v>
      </c>
      <c r="W109" s="347">
        <v>0</v>
      </c>
      <c r="X109" s="348">
        <v>0</v>
      </c>
      <c r="Y109" s="349">
        <v>20</v>
      </c>
      <c r="Z109" s="349">
        <v>0</v>
      </c>
      <c r="AA109" s="349">
        <v>0</v>
      </c>
      <c r="AB109" s="349">
        <v>12</v>
      </c>
      <c r="AC109" s="349">
        <v>7</v>
      </c>
      <c r="AD109" s="349">
        <v>1515</v>
      </c>
      <c r="AE109" s="349">
        <v>15</v>
      </c>
      <c r="AF109" s="349">
        <v>6</v>
      </c>
      <c r="AG109" s="349">
        <v>21</v>
      </c>
    </row>
    <row r="110" spans="1:33" x14ac:dyDescent="0.3">
      <c r="A110" s="342" t="s">
        <v>276</v>
      </c>
      <c r="B110" s="342" t="s">
        <v>277</v>
      </c>
      <c r="C110" s="349">
        <v>4793</v>
      </c>
      <c r="D110" s="349">
        <v>0</v>
      </c>
      <c r="E110" s="349">
        <v>229</v>
      </c>
      <c r="F110" s="349">
        <v>756</v>
      </c>
      <c r="G110" s="349">
        <v>166</v>
      </c>
      <c r="H110" s="346">
        <v>5944</v>
      </c>
      <c r="I110" s="346">
        <v>5778</v>
      </c>
      <c r="J110" s="349">
        <v>12</v>
      </c>
      <c r="K110" s="347">
        <v>90.39</v>
      </c>
      <c r="L110" s="347">
        <v>87.36</v>
      </c>
      <c r="M110" s="347">
        <v>5.29</v>
      </c>
      <c r="N110" s="347">
        <v>92.8</v>
      </c>
      <c r="O110" s="348">
        <v>4378</v>
      </c>
      <c r="P110" s="347">
        <v>97.27</v>
      </c>
      <c r="Q110" s="347">
        <v>82.52</v>
      </c>
      <c r="R110" s="347">
        <v>50.29</v>
      </c>
      <c r="S110" s="347">
        <v>146.82</v>
      </c>
      <c r="T110" s="348">
        <v>883</v>
      </c>
      <c r="U110" s="347">
        <v>111.09</v>
      </c>
      <c r="V110" s="348">
        <v>386</v>
      </c>
      <c r="W110" s="347">
        <v>231.31</v>
      </c>
      <c r="X110" s="348">
        <v>60</v>
      </c>
      <c r="Y110" s="349">
        <v>4</v>
      </c>
      <c r="Z110" s="349">
        <v>8</v>
      </c>
      <c r="AA110" s="349">
        <v>0</v>
      </c>
      <c r="AB110" s="349">
        <v>6</v>
      </c>
      <c r="AC110" s="349">
        <v>1</v>
      </c>
      <c r="AD110" s="349">
        <v>4793</v>
      </c>
      <c r="AE110" s="349">
        <v>19</v>
      </c>
      <c r="AF110" s="349">
        <v>27</v>
      </c>
      <c r="AG110" s="349">
        <v>46</v>
      </c>
    </row>
    <row r="111" spans="1:33" x14ac:dyDescent="0.3">
      <c r="A111" s="342" t="s">
        <v>278</v>
      </c>
      <c r="B111" s="342" t="s">
        <v>279</v>
      </c>
      <c r="C111" s="349">
        <v>1576</v>
      </c>
      <c r="D111" s="349">
        <v>0</v>
      </c>
      <c r="E111" s="349">
        <v>147</v>
      </c>
      <c r="F111" s="349">
        <v>264</v>
      </c>
      <c r="G111" s="349">
        <v>289</v>
      </c>
      <c r="H111" s="346">
        <v>2276</v>
      </c>
      <c r="I111" s="346">
        <v>1987</v>
      </c>
      <c r="J111" s="349">
        <v>28</v>
      </c>
      <c r="K111" s="347">
        <v>95.79</v>
      </c>
      <c r="L111" s="347">
        <v>93.77</v>
      </c>
      <c r="M111" s="347">
        <v>7.68</v>
      </c>
      <c r="N111" s="347">
        <v>101.6</v>
      </c>
      <c r="O111" s="348">
        <v>1192</v>
      </c>
      <c r="P111" s="347">
        <v>98.81</v>
      </c>
      <c r="Q111" s="347">
        <v>81.44</v>
      </c>
      <c r="R111" s="347">
        <v>51.36</v>
      </c>
      <c r="S111" s="347">
        <v>148.63</v>
      </c>
      <c r="T111" s="348">
        <v>367</v>
      </c>
      <c r="U111" s="347">
        <v>139.47</v>
      </c>
      <c r="V111" s="348">
        <v>200</v>
      </c>
      <c r="W111" s="347">
        <v>75.3</v>
      </c>
      <c r="X111" s="348">
        <v>7</v>
      </c>
      <c r="Y111" s="349">
        <v>5</v>
      </c>
      <c r="Z111" s="349">
        <v>0</v>
      </c>
      <c r="AA111" s="349">
        <v>1</v>
      </c>
      <c r="AB111" s="349">
        <v>17</v>
      </c>
      <c r="AC111" s="349">
        <v>2</v>
      </c>
      <c r="AD111" s="349">
        <v>1415</v>
      </c>
      <c r="AE111" s="349">
        <v>8</v>
      </c>
      <c r="AF111" s="349">
        <v>7</v>
      </c>
      <c r="AG111" s="349">
        <v>15</v>
      </c>
    </row>
    <row r="112" spans="1:33" x14ac:dyDescent="0.3">
      <c r="A112" s="342" t="s">
        <v>280</v>
      </c>
      <c r="B112" s="342" t="s">
        <v>281</v>
      </c>
      <c r="C112" s="349">
        <v>4215</v>
      </c>
      <c r="D112" s="349">
        <v>0</v>
      </c>
      <c r="E112" s="349">
        <v>78</v>
      </c>
      <c r="F112" s="349">
        <v>785</v>
      </c>
      <c r="G112" s="349">
        <v>250</v>
      </c>
      <c r="H112" s="346">
        <v>5328</v>
      </c>
      <c r="I112" s="346">
        <v>5078</v>
      </c>
      <c r="J112" s="349">
        <v>2</v>
      </c>
      <c r="K112" s="347">
        <v>94.75</v>
      </c>
      <c r="L112" s="347">
        <v>91.66</v>
      </c>
      <c r="M112" s="347">
        <v>1.94</v>
      </c>
      <c r="N112" s="347">
        <v>96.44</v>
      </c>
      <c r="O112" s="348">
        <v>3287</v>
      </c>
      <c r="P112" s="347">
        <v>89.62</v>
      </c>
      <c r="Q112" s="347">
        <v>82.56</v>
      </c>
      <c r="R112" s="347">
        <v>24.29</v>
      </c>
      <c r="S112" s="347">
        <v>113.49</v>
      </c>
      <c r="T112" s="348">
        <v>748</v>
      </c>
      <c r="U112" s="347">
        <v>112</v>
      </c>
      <c r="V112" s="348">
        <v>501</v>
      </c>
      <c r="W112" s="347">
        <v>211.47</v>
      </c>
      <c r="X112" s="348">
        <v>79</v>
      </c>
      <c r="Y112" s="349">
        <v>10</v>
      </c>
      <c r="Z112" s="349">
        <v>6</v>
      </c>
      <c r="AA112" s="349">
        <v>2</v>
      </c>
      <c r="AB112" s="349">
        <v>19</v>
      </c>
      <c r="AC112" s="349">
        <v>3</v>
      </c>
      <c r="AD112" s="349">
        <v>3781</v>
      </c>
      <c r="AE112" s="349">
        <v>5</v>
      </c>
      <c r="AF112" s="349">
        <v>18</v>
      </c>
      <c r="AG112" s="349">
        <v>23</v>
      </c>
    </row>
    <row r="113" spans="1:33" x14ac:dyDescent="0.3">
      <c r="A113" s="342" t="s">
        <v>282</v>
      </c>
      <c r="B113" s="342" t="s">
        <v>283</v>
      </c>
      <c r="C113" s="349">
        <v>2429</v>
      </c>
      <c r="D113" s="349">
        <v>0</v>
      </c>
      <c r="E113" s="349">
        <v>148</v>
      </c>
      <c r="F113" s="349">
        <v>512</v>
      </c>
      <c r="G113" s="349">
        <v>219</v>
      </c>
      <c r="H113" s="346">
        <v>3308</v>
      </c>
      <c r="I113" s="346">
        <v>3089</v>
      </c>
      <c r="J113" s="349">
        <v>0</v>
      </c>
      <c r="K113" s="347">
        <v>87.78</v>
      </c>
      <c r="L113" s="347">
        <v>87.83</v>
      </c>
      <c r="M113" s="347">
        <v>3.45</v>
      </c>
      <c r="N113" s="347">
        <v>90.96</v>
      </c>
      <c r="O113" s="348">
        <v>1826</v>
      </c>
      <c r="P113" s="347">
        <v>93.23</v>
      </c>
      <c r="Q113" s="347">
        <v>79.78</v>
      </c>
      <c r="R113" s="347">
        <v>25.43</v>
      </c>
      <c r="S113" s="347">
        <v>118.58</v>
      </c>
      <c r="T113" s="348">
        <v>605</v>
      </c>
      <c r="U113" s="347">
        <v>112.43</v>
      </c>
      <c r="V113" s="348">
        <v>589</v>
      </c>
      <c r="W113" s="347">
        <v>0</v>
      </c>
      <c r="X113" s="348">
        <v>0</v>
      </c>
      <c r="Y113" s="349">
        <v>42</v>
      </c>
      <c r="Z113" s="349">
        <v>4</v>
      </c>
      <c r="AA113" s="349">
        <v>0</v>
      </c>
      <c r="AB113" s="349">
        <v>50</v>
      </c>
      <c r="AC113" s="349">
        <v>4</v>
      </c>
      <c r="AD113" s="349">
        <v>2421</v>
      </c>
      <c r="AE113" s="349">
        <v>35</v>
      </c>
      <c r="AF113" s="349">
        <v>2</v>
      </c>
      <c r="AG113" s="349">
        <v>37</v>
      </c>
    </row>
    <row r="114" spans="1:33" x14ac:dyDescent="0.3">
      <c r="A114" s="342" t="s">
        <v>284</v>
      </c>
      <c r="B114" s="342" t="s">
        <v>285</v>
      </c>
      <c r="C114" s="349">
        <v>4022</v>
      </c>
      <c r="D114" s="349">
        <v>0</v>
      </c>
      <c r="E114" s="349">
        <v>360</v>
      </c>
      <c r="F114" s="349">
        <v>1036</v>
      </c>
      <c r="G114" s="349">
        <v>208</v>
      </c>
      <c r="H114" s="346">
        <v>5626</v>
      </c>
      <c r="I114" s="346">
        <v>5418</v>
      </c>
      <c r="J114" s="349">
        <v>0</v>
      </c>
      <c r="K114" s="347">
        <v>79.78</v>
      </c>
      <c r="L114" s="347">
        <v>76.53</v>
      </c>
      <c r="M114" s="347">
        <v>7.26</v>
      </c>
      <c r="N114" s="347">
        <v>84.16</v>
      </c>
      <c r="O114" s="348">
        <v>2883</v>
      </c>
      <c r="P114" s="347">
        <v>93.35</v>
      </c>
      <c r="Q114" s="347">
        <v>76.790000000000006</v>
      </c>
      <c r="R114" s="347">
        <v>57.79</v>
      </c>
      <c r="S114" s="347">
        <v>149.65</v>
      </c>
      <c r="T114" s="348">
        <v>1163</v>
      </c>
      <c r="U114" s="347">
        <v>98.91</v>
      </c>
      <c r="V114" s="348">
        <v>1098</v>
      </c>
      <c r="W114" s="347">
        <v>151.24</v>
      </c>
      <c r="X114" s="348">
        <v>211</v>
      </c>
      <c r="Y114" s="349">
        <v>0</v>
      </c>
      <c r="Z114" s="349">
        <v>3</v>
      </c>
      <c r="AA114" s="349">
        <v>2</v>
      </c>
      <c r="AB114" s="349">
        <v>20</v>
      </c>
      <c r="AC114" s="349">
        <v>4</v>
      </c>
      <c r="AD114" s="349">
        <v>3718</v>
      </c>
      <c r="AE114" s="349">
        <v>31</v>
      </c>
      <c r="AF114" s="349">
        <v>79</v>
      </c>
      <c r="AG114" s="349">
        <v>110</v>
      </c>
    </row>
    <row r="115" spans="1:33" x14ac:dyDescent="0.3">
      <c r="A115" s="342" t="s">
        <v>286</v>
      </c>
      <c r="B115" s="342" t="s">
        <v>287</v>
      </c>
      <c r="C115" s="349">
        <v>3750</v>
      </c>
      <c r="D115" s="349">
        <v>0</v>
      </c>
      <c r="E115" s="349">
        <v>198</v>
      </c>
      <c r="F115" s="349">
        <v>1157</v>
      </c>
      <c r="G115" s="349">
        <v>205</v>
      </c>
      <c r="H115" s="346">
        <v>5310</v>
      </c>
      <c r="I115" s="346">
        <v>5105</v>
      </c>
      <c r="J115" s="349">
        <v>5</v>
      </c>
      <c r="K115" s="347">
        <v>83.69</v>
      </c>
      <c r="L115" s="347">
        <v>82.19</v>
      </c>
      <c r="M115" s="347">
        <v>4.99</v>
      </c>
      <c r="N115" s="347">
        <v>85.6</v>
      </c>
      <c r="O115" s="348">
        <v>3470</v>
      </c>
      <c r="P115" s="347">
        <v>87.04</v>
      </c>
      <c r="Q115" s="347">
        <v>73.989999999999995</v>
      </c>
      <c r="R115" s="347">
        <v>32.090000000000003</v>
      </c>
      <c r="S115" s="347">
        <v>118.86</v>
      </c>
      <c r="T115" s="348">
        <v>1327</v>
      </c>
      <c r="U115" s="347">
        <v>109.54</v>
      </c>
      <c r="V115" s="348">
        <v>257</v>
      </c>
      <c r="W115" s="347">
        <v>174.5</v>
      </c>
      <c r="X115" s="348">
        <v>17</v>
      </c>
      <c r="Y115" s="349">
        <v>0</v>
      </c>
      <c r="Z115" s="349">
        <v>19</v>
      </c>
      <c r="AA115" s="349">
        <v>1</v>
      </c>
      <c r="AB115" s="349">
        <v>2</v>
      </c>
      <c r="AC115" s="349">
        <v>9</v>
      </c>
      <c r="AD115" s="349">
        <v>3750</v>
      </c>
      <c r="AE115" s="349">
        <v>22</v>
      </c>
      <c r="AF115" s="349">
        <v>2</v>
      </c>
      <c r="AG115" s="349">
        <v>24</v>
      </c>
    </row>
    <row r="116" spans="1:33" x14ac:dyDescent="0.3">
      <c r="A116" s="342" t="s">
        <v>288</v>
      </c>
      <c r="B116" s="342" t="s">
        <v>289</v>
      </c>
      <c r="C116" s="349">
        <v>6970</v>
      </c>
      <c r="D116" s="349">
        <v>0</v>
      </c>
      <c r="E116" s="349">
        <v>527</v>
      </c>
      <c r="F116" s="349">
        <v>775</v>
      </c>
      <c r="G116" s="349">
        <v>562</v>
      </c>
      <c r="H116" s="346">
        <v>8834</v>
      </c>
      <c r="I116" s="346">
        <v>8272</v>
      </c>
      <c r="J116" s="349">
        <v>3</v>
      </c>
      <c r="K116" s="347">
        <v>86.87</v>
      </c>
      <c r="L116" s="347">
        <v>85.02</v>
      </c>
      <c r="M116" s="347">
        <v>8.4600000000000009</v>
      </c>
      <c r="N116" s="347">
        <v>90.78</v>
      </c>
      <c r="O116" s="348">
        <v>6292</v>
      </c>
      <c r="P116" s="347">
        <v>88.83</v>
      </c>
      <c r="Q116" s="347">
        <v>83.06</v>
      </c>
      <c r="R116" s="347">
        <v>52.88</v>
      </c>
      <c r="S116" s="347">
        <v>141.15</v>
      </c>
      <c r="T116" s="348">
        <v>949</v>
      </c>
      <c r="U116" s="347">
        <v>120.9</v>
      </c>
      <c r="V116" s="348">
        <v>574</v>
      </c>
      <c r="W116" s="347">
        <v>224.11</v>
      </c>
      <c r="X116" s="348">
        <v>90</v>
      </c>
      <c r="Y116" s="349">
        <v>0</v>
      </c>
      <c r="Z116" s="349">
        <v>8</v>
      </c>
      <c r="AA116" s="349">
        <v>0</v>
      </c>
      <c r="AB116" s="349">
        <v>47</v>
      </c>
      <c r="AC116" s="349">
        <v>10</v>
      </c>
      <c r="AD116" s="349">
        <v>6911</v>
      </c>
      <c r="AE116" s="349">
        <v>31</v>
      </c>
      <c r="AF116" s="349">
        <v>69</v>
      </c>
      <c r="AG116" s="349">
        <v>100</v>
      </c>
    </row>
    <row r="117" spans="1:33" x14ac:dyDescent="0.3">
      <c r="A117" s="342" t="s">
        <v>290</v>
      </c>
      <c r="B117" s="342" t="s">
        <v>291</v>
      </c>
      <c r="C117" s="349">
        <v>2345</v>
      </c>
      <c r="D117" s="349">
        <v>0</v>
      </c>
      <c r="E117" s="349">
        <v>73</v>
      </c>
      <c r="F117" s="349">
        <v>584</v>
      </c>
      <c r="G117" s="349">
        <v>463</v>
      </c>
      <c r="H117" s="346">
        <v>3465</v>
      </c>
      <c r="I117" s="346">
        <v>3002</v>
      </c>
      <c r="J117" s="349">
        <v>10</v>
      </c>
      <c r="K117" s="347">
        <v>99.82</v>
      </c>
      <c r="L117" s="347">
        <v>95.32</v>
      </c>
      <c r="M117" s="347">
        <v>9.94</v>
      </c>
      <c r="N117" s="347">
        <v>108.43</v>
      </c>
      <c r="O117" s="348">
        <v>1914</v>
      </c>
      <c r="P117" s="347">
        <v>95.77</v>
      </c>
      <c r="Q117" s="347">
        <v>87.27</v>
      </c>
      <c r="R117" s="347">
        <v>36.229999999999997</v>
      </c>
      <c r="S117" s="347">
        <v>129.22999999999999</v>
      </c>
      <c r="T117" s="348">
        <v>379</v>
      </c>
      <c r="U117" s="347">
        <v>129.01</v>
      </c>
      <c r="V117" s="348">
        <v>298</v>
      </c>
      <c r="W117" s="347">
        <v>136.88</v>
      </c>
      <c r="X117" s="348">
        <v>26</v>
      </c>
      <c r="Y117" s="349">
        <v>0</v>
      </c>
      <c r="Z117" s="349">
        <v>0</v>
      </c>
      <c r="AA117" s="349">
        <v>0</v>
      </c>
      <c r="AB117" s="349">
        <v>70</v>
      </c>
      <c r="AC117" s="349">
        <v>11</v>
      </c>
      <c r="AD117" s="349">
        <v>2345</v>
      </c>
      <c r="AE117" s="349">
        <v>10</v>
      </c>
      <c r="AF117" s="349">
        <v>2</v>
      </c>
      <c r="AG117" s="349">
        <v>12</v>
      </c>
    </row>
    <row r="118" spans="1:33" x14ac:dyDescent="0.3">
      <c r="A118" s="342" t="s">
        <v>292</v>
      </c>
      <c r="B118" s="342" t="s">
        <v>293</v>
      </c>
      <c r="C118" s="349">
        <v>1554</v>
      </c>
      <c r="D118" s="349">
        <v>0</v>
      </c>
      <c r="E118" s="349">
        <v>83</v>
      </c>
      <c r="F118" s="349">
        <v>178</v>
      </c>
      <c r="G118" s="349">
        <v>493</v>
      </c>
      <c r="H118" s="346">
        <v>2308</v>
      </c>
      <c r="I118" s="346">
        <v>1815</v>
      </c>
      <c r="J118" s="349">
        <v>0</v>
      </c>
      <c r="K118" s="347">
        <v>107.01</v>
      </c>
      <c r="L118" s="347">
        <v>107.03</v>
      </c>
      <c r="M118" s="347">
        <v>6.51</v>
      </c>
      <c r="N118" s="347">
        <v>112.21</v>
      </c>
      <c r="O118" s="348">
        <v>744</v>
      </c>
      <c r="P118" s="347">
        <v>95.08</v>
      </c>
      <c r="Q118" s="347">
        <v>89.74</v>
      </c>
      <c r="R118" s="347">
        <v>68.38</v>
      </c>
      <c r="S118" s="347">
        <v>151.61000000000001</v>
      </c>
      <c r="T118" s="348">
        <v>75</v>
      </c>
      <c r="U118" s="347">
        <v>148.59</v>
      </c>
      <c r="V118" s="348">
        <v>401</v>
      </c>
      <c r="W118" s="347">
        <v>222.4</v>
      </c>
      <c r="X118" s="348">
        <v>57</v>
      </c>
      <c r="Y118" s="349">
        <v>0</v>
      </c>
      <c r="Z118" s="349">
        <v>1</v>
      </c>
      <c r="AA118" s="349">
        <v>0</v>
      </c>
      <c r="AB118" s="349">
        <v>58</v>
      </c>
      <c r="AC118" s="349">
        <v>9</v>
      </c>
      <c r="AD118" s="349">
        <v>1149</v>
      </c>
      <c r="AE118" s="349">
        <v>7</v>
      </c>
      <c r="AF118" s="349">
        <v>7</v>
      </c>
      <c r="AG118" s="349">
        <v>14</v>
      </c>
    </row>
    <row r="119" spans="1:33" x14ac:dyDescent="0.3">
      <c r="A119" s="342" t="s">
        <v>294</v>
      </c>
      <c r="B119" s="342" t="s">
        <v>295</v>
      </c>
      <c r="C119" s="349">
        <v>1455</v>
      </c>
      <c r="D119" s="349">
        <v>0</v>
      </c>
      <c r="E119" s="349">
        <v>271</v>
      </c>
      <c r="F119" s="349">
        <v>149</v>
      </c>
      <c r="G119" s="349">
        <v>97</v>
      </c>
      <c r="H119" s="346">
        <v>1972</v>
      </c>
      <c r="I119" s="346">
        <v>1875</v>
      </c>
      <c r="J119" s="349">
        <v>0</v>
      </c>
      <c r="K119" s="347">
        <v>87.65</v>
      </c>
      <c r="L119" s="347">
        <v>86.99</v>
      </c>
      <c r="M119" s="347">
        <v>6.06</v>
      </c>
      <c r="N119" s="347">
        <v>91.7</v>
      </c>
      <c r="O119" s="348">
        <v>1209</v>
      </c>
      <c r="P119" s="347">
        <v>99.16</v>
      </c>
      <c r="Q119" s="347">
        <v>85.79</v>
      </c>
      <c r="R119" s="347">
        <v>66.290000000000006</v>
      </c>
      <c r="S119" s="347">
        <v>165.21</v>
      </c>
      <c r="T119" s="348">
        <v>280</v>
      </c>
      <c r="U119" s="347">
        <v>102.29</v>
      </c>
      <c r="V119" s="348">
        <v>211</v>
      </c>
      <c r="W119" s="347">
        <v>0</v>
      </c>
      <c r="X119" s="348">
        <v>0</v>
      </c>
      <c r="Y119" s="349">
        <v>13</v>
      </c>
      <c r="Z119" s="349">
        <v>0</v>
      </c>
      <c r="AA119" s="349">
        <v>5</v>
      </c>
      <c r="AB119" s="349">
        <v>13</v>
      </c>
      <c r="AC119" s="349">
        <v>1</v>
      </c>
      <c r="AD119" s="349">
        <v>1455</v>
      </c>
      <c r="AE119" s="349">
        <v>10</v>
      </c>
      <c r="AF119" s="349">
        <v>30</v>
      </c>
      <c r="AG119" s="349">
        <v>40</v>
      </c>
    </row>
    <row r="120" spans="1:33" x14ac:dyDescent="0.3">
      <c r="A120" s="342" t="s">
        <v>296</v>
      </c>
      <c r="B120" s="342" t="s">
        <v>297</v>
      </c>
      <c r="C120" s="349">
        <v>13275</v>
      </c>
      <c r="D120" s="349">
        <v>159</v>
      </c>
      <c r="E120" s="349">
        <v>512</v>
      </c>
      <c r="F120" s="349">
        <v>984</v>
      </c>
      <c r="G120" s="349">
        <v>2736</v>
      </c>
      <c r="H120" s="346">
        <v>17666</v>
      </c>
      <c r="I120" s="346">
        <v>14930</v>
      </c>
      <c r="J120" s="349">
        <v>22</v>
      </c>
      <c r="K120" s="347">
        <v>120.65</v>
      </c>
      <c r="L120" s="347">
        <v>120.83</v>
      </c>
      <c r="M120" s="347">
        <v>16.649999999999999</v>
      </c>
      <c r="N120" s="347">
        <v>133.4</v>
      </c>
      <c r="O120" s="348">
        <v>10039</v>
      </c>
      <c r="P120" s="347">
        <v>115.9</v>
      </c>
      <c r="Q120" s="347">
        <v>106.36</v>
      </c>
      <c r="R120" s="347">
        <v>52.37</v>
      </c>
      <c r="S120" s="347">
        <v>166.33</v>
      </c>
      <c r="T120" s="348">
        <v>1212</v>
      </c>
      <c r="U120" s="347">
        <v>178.77</v>
      </c>
      <c r="V120" s="348">
        <v>1490</v>
      </c>
      <c r="W120" s="347">
        <v>0</v>
      </c>
      <c r="X120" s="348">
        <v>0</v>
      </c>
      <c r="Y120" s="349">
        <v>0</v>
      </c>
      <c r="Z120" s="349">
        <v>1</v>
      </c>
      <c r="AA120" s="349">
        <v>52</v>
      </c>
      <c r="AB120" s="349">
        <v>63</v>
      </c>
      <c r="AC120" s="349">
        <v>67</v>
      </c>
      <c r="AD120" s="349">
        <v>11975</v>
      </c>
      <c r="AE120" s="349">
        <v>102</v>
      </c>
      <c r="AF120" s="349">
        <v>50</v>
      </c>
      <c r="AG120" s="349">
        <v>152</v>
      </c>
    </row>
    <row r="121" spans="1:33" x14ac:dyDescent="0.3">
      <c r="A121" s="342" t="s">
        <v>298</v>
      </c>
      <c r="B121" s="342" t="s">
        <v>299</v>
      </c>
      <c r="C121" s="349">
        <v>1790</v>
      </c>
      <c r="D121" s="349">
        <v>10</v>
      </c>
      <c r="E121" s="349">
        <v>284</v>
      </c>
      <c r="F121" s="349">
        <v>235</v>
      </c>
      <c r="G121" s="349">
        <v>428</v>
      </c>
      <c r="H121" s="346">
        <v>2747</v>
      </c>
      <c r="I121" s="346">
        <v>2319</v>
      </c>
      <c r="J121" s="349">
        <v>0</v>
      </c>
      <c r="K121" s="347">
        <v>126.1</v>
      </c>
      <c r="L121" s="347">
        <v>122.86</v>
      </c>
      <c r="M121" s="347">
        <v>7.97</v>
      </c>
      <c r="N121" s="347">
        <v>132.74</v>
      </c>
      <c r="O121" s="348">
        <v>1329</v>
      </c>
      <c r="P121" s="347">
        <v>98.52</v>
      </c>
      <c r="Q121" s="347">
        <v>86.5</v>
      </c>
      <c r="R121" s="347">
        <v>85.83</v>
      </c>
      <c r="S121" s="347">
        <v>180.93</v>
      </c>
      <c r="T121" s="348">
        <v>226</v>
      </c>
      <c r="U121" s="347">
        <v>169.45</v>
      </c>
      <c r="V121" s="348">
        <v>313</v>
      </c>
      <c r="W121" s="347">
        <v>271.39</v>
      </c>
      <c r="X121" s="348">
        <v>36</v>
      </c>
      <c r="Y121" s="349">
        <v>0</v>
      </c>
      <c r="Z121" s="349">
        <v>0</v>
      </c>
      <c r="AA121" s="349">
        <v>0</v>
      </c>
      <c r="AB121" s="349">
        <v>20</v>
      </c>
      <c r="AC121" s="349">
        <v>11</v>
      </c>
      <c r="AD121" s="349">
        <v>1642</v>
      </c>
      <c r="AE121" s="349">
        <v>5</v>
      </c>
      <c r="AF121" s="349">
        <v>4</v>
      </c>
      <c r="AG121" s="349">
        <v>9</v>
      </c>
    </row>
    <row r="122" spans="1:33" x14ac:dyDescent="0.3">
      <c r="A122" s="342" t="s">
        <v>300</v>
      </c>
      <c r="B122" s="342" t="s">
        <v>301</v>
      </c>
      <c r="C122" s="349">
        <v>20130</v>
      </c>
      <c r="D122" s="349">
        <v>595</v>
      </c>
      <c r="E122" s="349">
        <v>1411</v>
      </c>
      <c r="F122" s="349">
        <v>1797</v>
      </c>
      <c r="G122" s="349">
        <v>2490</v>
      </c>
      <c r="H122" s="346">
        <v>26423</v>
      </c>
      <c r="I122" s="346">
        <v>23933</v>
      </c>
      <c r="J122" s="349">
        <v>74</v>
      </c>
      <c r="K122" s="347">
        <v>121.41</v>
      </c>
      <c r="L122" s="347">
        <v>128.21</v>
      </c>
      <c r="M122" s="347">
        <v>13.99</v>
      </c>
      <c r="N122" s="347">
        <v>131.99</v>
      </c>
      <c r="O122" s="348">
        <v>17071</v>
      </c>
      <c r="P122" s="347">
        <v>112.01</v>
      </c>
      <c r="Q122" s="347">
        <v>108.86</v>
      </c>
      <c r="R122" s="347">
        <v>59.43</v>
      </c>
      <c r="S122" s="347">
        <v>167.56</v>
      </c>
      <c r="T122" s="348">
        <v>2818</v>
      </c>
      <c r="U122" s="347">
        <v>219.29</v>
      </c>
      <c r="V122" s="348">
        <v>1062</v>
      </c>
      <c r="W122" s="347">
        <v>263.54000000000002</v>
      </c>
      <c r="X122" s="348">
        <v>51</v>
      </c>
      <c r="Y122" s="349">
        <v>4</v>
      </c>
      <c r="Z122" s="349">
        <v>2</v>
      </c>
      <c r="AA122" s="349">
        <v>13</v>
      </c>
      <c r="AB122" s="349">
        <v>61</v>
      </c>
      <c r="AC122" s="349">
        <v>41</v>
      </c>
      <c r="AD122" s="349">
        <v>18522</v>
      </c>
      <c r="AE122" s="349">
        <v>196</v>
      </c>
      <c r="AF122" s="349">
        <v>101</v>
      </c>
      <c r="AG122" s="349">
        <v>297</v>
      </c>
    </row>
    <row r="123" spans="1:33" x14ac:dyDescent="0.3">
      <c r="A123" s="342" t="s">
        <v>302</v>
      </c>
      <c r="B123" s="342" t="s">
        <v>303</v>
      </c>
      <c r="C123" s="349">
        <v>13380</v>
      </c>
      <c r="D123" s="349">
        <v>0</v>
      </c>
      <c r="E123" s="349">
        <v>497</v>
      </c>
      <c r="F123" s="349">
        <v>467</v>
      </c>
      <c r="G123" s="349">
        <v>369</v>
      </c>
      <c r="H123" s="346">
        <v>14713</v>
      </c>
      <c r="I123" s="346">
        <v>14344</v>
      </c>
      <c r="J123" s="349">
        <v>8</v>
      </c>
      <c r="K123" s="347">
        <v>84.1</v>
      </c>
      <c r="L123" s="347">
        <v>82.69</v>
      </c>
      <c r="M123" s="347">
        <v>4.42</v>
      </c>
      <c r="N123" s="347">
        <v>88.34</v>
      </c>
      <c r="O123" s="348">
        <v>11285</v>
      </c>
      <c r="P123" s="347">
        <v>89.68</v>
      </c>
      <c r="Q123" s="347">
        <v>73.45</v>
      </c>
      <c r="R123" s="347">
        <v>41.84</v>
      </c>
      <c r="S123" s="347">
        <v>130.94</v>
      </c>
      <c r="T123" s="348">
        <v>790</v>
      </c>
      <c r="U123" s="347">
        <v>101.01</v>
      </c>
      <c r="V123" s="348">
        <v>2071</v>
      </c>
      <c r="W123" s="347">
        <v>153.88999999999999</v>
      </c>
      <c r="X123" s="348">
        <v>78</v>
      </c>
      <c r="Y123" s="349">
        <v>0</v>
      </c>
      <c r="Z123" s="349">
        <v>26</v>
      </c>
      <c r="AA123" s="349">
        <v>5</v>
      </c>
      <c r="AB123" s="349">
        <v>51</v>
      </c>
      <c r="AC123" s="349">
        <v>11</v>
      </c>
      <c r="AD123" s="349">
        <v>13380</v>
      </c>
      <c r="AE123" s="349">
        <v>49</v>
      </c>
      <c r="AF123" s="349">
        <v>18</v>
      </c>
      <c r="AG123" s="349">
        <v>67</v>
      </c>
    </row>
    <row r="124" spans="1:33" x14ac:dyDescent="0.3">
      <c r="A124" s="342" t="s">
        <v>304</v>
      </c>
      <c r="B124" s="342" t="s">
        <v>305</v>
      </c>
      <c r="C124" s="349">
        <v>5242</v>
      </c>
      <c r="D124" s="349">
        <v>8</v>
      </c>
      <c r="E124" s="349">
        <v>347</v>
      </c>
      <c r="F124" s="349">
        <v>180</v>
      </c>
      <c r="G124" s="349">
        <v>304</v>
      </c>
      <c r="H124" s="346">
        <v>6081</v>
      </c>
      <c r="I124" s="346">
        <v>5777</v>
      </c>
      <c r="J124" s="349">
        <v>38</v>
      </c>
      <c r="K124" s="347">
        <v>92.4</v>
      </c>
      <c r="L124" s="347">
        <v>89.35</v>
      </c>
      <c r="M124" s="347">
        <v>2.04</v>
      </c>
      <c r="N124" s="347">
        <v>94.2</v>
      </c>
      <c r="O124" s="348">
        <v>4813</v>
      </c>
      <c r="P124" s="347">
        <v>109.81</v>
      </c>
      <c r="Q124" s="347">
        <v>79.42</v>
      </c>
      <c r="R124" s="347">
        <v>70.34</v>
      </c>
      <c r="S124" s="347">
        <v>180.15</v>
      </c>
      <c r="T124" s="348">
        <v>319</v>
      </c>
      <c r="U124" s="347">
        <v>113.23</v>
      </c>
      <c r="V124" s="348">
        <v>337</v>
      </c>
      <c r="W124" s="347">
        <v>175.39</v>
      </c>
      <c r="X124" s="348">
        <v>180</v>
      </c>
      <c r="Y124" s="349">
        <v>0</v>
      </c>
      <c r="Z124" s="349">
        <v>4</v>
      </c>
      <c r="AA124" s="349">
        <v>1</v>
      </c>
      <c r="AB124" s="349">
        <v>42</v>
      </c>
      <c r="AC124" s="349">
        <v>2</v>
      </c>
      <c r="AD124" s="349">
        <v>5228</v>
      </c>
      <c r="AE124" s="349">
        <v>25</v>
      </c>
      <c r="AF124" s="349">
        <v>120</v>
      </c>
      <c r="AG124" s="349">
        <v>145</v>
      </c>
    </row>
    <row r="125" spans="1:33" x14ac:dyDescent="0.3">
      <c r="A125" s="342" t="s">
        <v>306</v>
      </c>
      <c r="B125" s="342" t="s">
        <v>307</v>
      </c>
      <c r="C125" s="349">
        <v>11642</v>
      </c>
      <c r="D125" s="349">
        <v>54</v>
      </c>
      <c r="E125" s="349">
        <v>1185</v>
      </c>
      <c r="F125" s="349">
        <v>542</v>
      </c>
      <c r="G125" s="349">
        <v>978</v>
      </c>
      <c r="H125" s="346">
        <v>14401</v>
      </c>
      <c r="I125" s="346">
        <v>13423</v>
      </c>
      <c r="J125" s="349">
        <v>223</v>
      </c>
      <c r="K125" s="347">
        <v>130.44</v>
      </c>
      <c r="L125" s="347">
        <v>144.28</v>
      </c>
      <c r="M125" s="347">
        <v>12.73</v>
      </c>
      <c r="N125" s="347">
        <v>137.08000000000001</v>
      </c>
      <c r="O125" s="348">
        <v>9438</v>
      </c>
      <c r="P125" s="347">
        <v>125.66</v>
      </c>
      <c r="Q125" s="347">
        <v>120.32</v>
      </c>
      <c r="R125" s="347">
        <v>69.81</v>
      </c>
      <c r="S125" s="347">
        <v>191.68</v>
      </c>
      <c r="T125" s="348">
        <v>1214</v>
      </c>
      <c r="U125" s="347">
        <v>210.98</v>
      </c>
      <c r="V125" s="348">
        <v>1209</v>
      </c>
      <c r="W125" s="347">
        <v>216.73</v>
      </c>
      <c r="X125" s="348">
        <v>84</v>
      </c>
      <c r="Y125" s="349">
        <v>0</v>
      </c>
      <c r="Z125" s="349">
        <v>0</v>
      </c>
      <c r="AA125" s="349">
        <v>18</v>
      </c>
      <c r="AB125" s="349">
        <v>65</v>
      </c>
      <c r="AC125" s="349">
        <v>85</v>
      </c>
      <c r="AD125" s="349">
        <v>11254</v>
      </c>
      <c r="AE125" s="349">
        <v>54</v>
      </c>
      <c r="AF125" s="349">
        <v>69</v>
      </c>
      <c r="AG125" s="349">
        <v>123</v>
      </c>
    </row>
    <row r="126" spans="1:33" x14ac:dyDescent="0.3">
      <c r="A126" s="342" t="s">
        <v>308</v>
      </c>
      <c r="B126" s="342" t="s">
        <v>309</v>
      </c>
      <c r="C126" s="349">
        <v>3156</v>
      </c>
      <c r="D126" s="349">
        <v>0</v>
      </c>
      <c r="E126" s="349">
        <v>125</v>
      </c>
      <c r="F126" s="349">
        <v>283</v>
      </c>
      <c r="G126" s="349">
        <v>768</v>
      </c>
      <c r="H126" s="346">
        <v>4332</v>
      </c>
      <c r="I126" s="346">
        <v>3564</v>
      </c>
      <c r="J126" s="349">
        <v>5</v>
      </c>
      <c r="K126" s="347">
        <v>90.75</v>
      </c>
      <c r="L126" s="347">
        <v>91.01</v>
      </c>
      <c r="M126" s="347">
        <v>4.3499999999999996</v>
      </c>
      <c r="N126" s="347">
        <v>93.5</v>
      </c>
      <c r="O126" s="348">
        <v>2417</v>
      </c>
      <c r="P126" s="347">
        <v>79.77</v>
      </c>
      <c r="Q126" s="347">
        <v>76.209999999999994</v>
      </c>
      <c r="R126" s="347">
        <v>46.41</v>
      </c>
      <c r="S126" s="347">
        <v>121.52</v>
      </c>
      <c r="T126" s="348">
        <v>379</v>
      </c>
      <c r="U126" s="347">
        <v>115.49</v>
      </c>
      <c r="V126" s="348">
        <v>635</v>
      </c>
      <c r="W126" s="347">
        <v>115.2</v>
      </c>
      <c r="X126" s="348">
        <v>13</v>
      </c>
      <c r="Y126" s="349">
        <v>19</v>
      </c>
      <c r="Z126" s="349">
        <v>10</v>
      </c>
      <c r="AA126" s="349">
        <v>1</v>
      </c>
      <c r="AB126" s="349">
        <v>74</v>
      </c>
      <c r="AC126" s="349">
        <v>7</v>
      </c>
      <c r="AD126" s="349">
        <v>3156</v>
      </c>
      <c r="AE126" s="349">
        <v>17</v>
      </c>
      <c r="AF126" s="349">
        <v>30</v>
      </c>
      <c r="AG126" s="349">
        <v>47</v>
      </c>
    </row>
    <row r="127" spans="1:33" x14ac:dyDescent="0.3">
      <c r="A127" s="342" t="s">
        <v>310</v>
      </c>
      <c r="B127" s="342" t="s">
        <v>311</v>
      </c>
      <c r="C127" s="349">
        <v>10032</v>
      </c>
      <c r="D127" s="349">
        <v>78</v>
      </c>
      <c r="E127" s="349">
        <v>1109</v>
      </c>
      <c r="F127" s="349">
        <v>855</v>
      </c>
      <c r="G127" s="349">
        <v>1563</v>
      </c>
      <c r="H127" s="346">
        <v>13637</v>
      </c>
      <c r="I127" s="346">
        <v>12074</v>
      </c>
      <c r="J127" s="349">
        <v>40</v>
      </c>
      <c r="K127" s="347">
        <v>121.16</v>
      </c>
      <c r="L127" s="347">
        <v>121.7</v>
      </c>
      <c r="M127" s="347">
        <v>10.92</v>
      </c>
      <c r="N127" s="347">
        <v>128.31</v>
      </c>
      <c r="O127" s="348">
        <v>8181</v>
      </c>
      <c r="P127" s="347">
        <v>118.43</v>
      </c>
      <c r="Q127" s="347">
        <v>109.24</v>
      </c>
      <c r="R127" s="347">
        <v>73.12</v>
      </c>
      <c r="S127" s="347">
        <v>188.99</v>
      </c>
      <c r="T127" s="348">
        <v>1258</v>
      </c>
      <c r="U127" s="347">
        <v>186.94</v>
      </c>
      <c r="V127" s="348">
        <v>632</v>
      </c>
      <c r="W127" s="347">
        <v>264.44</v>
      </c>
      <c r="X127" s="348">
        <v>134</v>
      </c>
      <c r="Y127" s="349">
        <v>9</v>
      </c>
      <c r="Z127" s="349">
        <v>1</v>
      </c>
      <c r="AA127" s="349">
        <v>13</v>
      </c>
      <c r="AB127" s="349">
        <v>27</v>
      </c>
      <c r="AC127" s="349">
        <v>34</v>
      </c>
      <c r="AD127" s="349">
        <v>9111</v>
      </c>
      <c r="AE127" s="349">
        <v>56</v>
      </c>
      <c r="AF127" s="349">
        <v>49</v>
      </c>
      <c r="AG127" s="349">
        <v>105</v>
      </c>
    </row>
    <row r="128" spans="1:33" x14ac:dyDescent="0.3">
      <c r="A128" s="342" t="s">
        <v>312</v>
      </c>
      <c r="B128" s="342" t="s">
        <v>313</v>
      </c>
      <c r="C128" s="349">
        <v>1619</v>
      </c>
      <c r="D128" s="349">
        <v>280</v>
      </c>
      <c r="E128" s="349">
        <v>287</v>
      </c>
      <c r="F128" s="349">
        <v>261</v>
      </c>
      <c r="G128" s="349">
        <v>472</v>
      </c>
      <c r="H128" s="346">
        <v>2919</v>
      </c>
      <c r="I128" s="346">
        <v>2447</v>
      </c>
      <c r="J128" s="349">
        <v>0</v>
      </c>
      <c r="K128" s="347">
        <v>102.38</v>
      </c>
      <c r="L128" s="347">
        <v>99.27</v>
      </c>
      <c r="M128" s="347">
        <v>8.25</v>
      </c>
      <c r="N128" s="347">
        <v>109.37</v>
      </c>
      <c r="O128" s="348">
        <v>1256</v>
      </c>
      <c r="P128" s="347">
        <v>94.35</v>
      </c>
      <c r="Q128" s="347">
        <v>85.97</v>
      </c>
      <c r="R128" s="347">
        <v>57.26</v>
      </c>
      <c r="S128" s="347">
        <v>150.82</v>
      </c>
      <c r="T128" s="348">
        <v>361</v>
      </c>
      <c r="U128" s="347">
        <v>160.94</v>
      </c>
      <c r="V128" s="348">
        <v>350</v>
      </c>
      <c r="W128" s="347">
        <v>110.28</v>
      </c>
      <c r="X128" s="348">
        <v>2</v>
      </c>
      <c r="Y128" s="349">
        <v>31</v>
      </c>
      <c r="Z128" s="349">
        <v>1</v>
      </c>
      <c r="AA128" s="349">
        <v>0</v>
      </c>
      <c r="AB128" s="349">
        <v>66</v>
      </c>
      <c r="AC128" s="349">
        <v>3</v>
      </c>
      <c r="AD128" s="349">
        <v>1608</v>
      </c>
      <c r="AE128" s="349">
        <v>18</v>
      </c>
      <c r="AF128" s="349">
        <v>164</v>
      </c>
      <c r="AG128" s="349">
        <v>182</v>
      </c>
    </row>
    <row r="129" spans="1:33" x14ac:dyDescent="0.3">
      <c r="A129" s="342" t="s">
        <v>314</v>
      </c>
      <c r="B129" s="342" t="s">
        <v>315</v>
      </c>
      <c r="C129" s="349">
        <v>2755</v>
      </c>
      <c r="D129" s="349">
        <v>0</v>
      </c>
      <c r="E129" s="349">
        <v>213</v>
      </c>
      <c r="F129" s="349">
        <v>391</v>
      </c>
      <c r="G129" s="349">
        <v>548</v>
      </c>
      <c r="H129" s="346">
        <v>3907</v>
      </c>
      <c r="I129" s="346">
        <v>3359</v>
      </c>
      <c r="J129" s="349">
        <v>5</v>
      </c>
      <c r="K129" s="347">
        <v>97.66</v>
      </c>
      <c r="L129" s="347">
        <v>93.95</v>
      </c>
      <c r="M129" s="347">
        <v>6.4</v>
      </c>
      <c r="N129" s="347">
        <v>102.02</v>
      </c>
      <c r="O129" s="348">
        <v>1725</v>
      </c>
      <c r="P129" s="347">
        <v>109.19</v>
      </c>
      <c r="Q129" s="347">
        <v>83.47</v>
      </c>
      <c r="R129" s="347">
        <v>52.29</v>
      </c>
      <c r="S129" s="347">
        <v>161.47999999999999</v>
      </c>
      <c r="T129" s="348">
        <v>466</v>
      </c>
      <c r="U129" s="347">
        <v>125.49</v>
      </c>
      <c r="V129" s="348">
        <v>880</v>
      </c>
      <c r="W129" s="347">
        <v>113.68</v>
      </c>
      <c r="X129" s="348">
        <v>11</v>
      </c>
      <c r="Y129" s="349">
        <v>3</v>
      </c>
      <c r="Z129" s="349">
        <v>0</v>
      </c>
      <c r="AA129" s="349">
        <v>0</v>
      </c>
      <c r="AB129" s="349">
        <v>88</v>
      </c>
      <c r="AC129" s="349">
        <v>5</v>
      </c>
      <c r="AD129" s="349">
        <v>2523</v>
      </c>
      <c r="AE129" s="349">
        <v>35</v>
      </c>
      <c r="AF129" s="349">
        <v>16</v>
      </c>
      <c r="AG129" s="349">
        <v>51</v>
      </c>
    </row>
    <row r="130" spans="1:33" x14ac:dyDescent="0.3">
      <c r="A130" s="342" t="s">
        <v>316</v>
      </c>
      <c r="B130" s="342" t="s">
        <v>317</v>
      </c>
      <c r="C130" s="349">
        <v>3482</v>
      </c>
      <c r="D130" s="349">
        <v>3</v>
      </c>
      <c r="E130" s="349">
        <v>315</v>
      </c>
      <c r="F130" s="349">
        <v>610</v>
      </c>
      <c r="G130" s="349">
        <v>963</v>
      </c>
      <c r="H130" s="346">
        <v>5373</v>
      </c>
      <c r="I130" s="346">
        <v>4410</v>
      </c>
      <c r="J130" s="349">
        <v>6</v>
      </c>
      <c r="K130" s="347">
        <v>133.37</v>
      </c>
      <c r="L130" s="347">
        <v>127.91</v>
      </c>
      <c r="M130" s="347">
        <v>10.36</v>
      </c>
      <c r="N130" s="347">
        <v>140.61000000000001</v>
      </c>
      <c r="O130" s="348">
        <v>2760</v>
      </c>
      <c r="P130" s="347">
        <v>106.89</v>
      </c>
      <c r="Q130" s="347">
        <v>93.47</v>
      </c>
      <c r="R130" s="347">
        <v>37.97</v>
      </c>
      <c r="S130" s="347">
        <v>139.13999999999999</v>
      </c>
      <c r="T130" s="348">
        <v>531</v>
      </c>
      <c r="U130" s="347">
        <v>196.88</v>
      </c>
      <c r="V130" s="348">
        <v>467</v>
      </c>
      <c r="W130" s="347">
        <v>191.56</v>
      </c>
      <c r="X130" s="348">
        <v>31</v>
      </c>
      <c r="Y130" s="349">
        <v>0</v>
      </c>
      <c r="Z130" s="349">
        <v>1</v>
      </c>
      <c r="AA130" s="349">
        <v>12</v>
      </c>
      <c r="AB130" s="349">
        <v>11</v>
      </c>
      <c r="AC130" s="349">
        <v>32</v>
      </c>
      <c r="AD130" s="349">
        <v>3405</v>
      </c>
      <c r="AE130" s="349">
        <v>11</v>
      </c>
      <c r="AF130" s="349">
        <v>2</v>
      </c>
      <c r="AG130" s="349">
        <v>13</v>
      </c>
    </row>
    <row r="131" spans="1:33" x14ac:dyDescent="0.3">
      <c r="A131" s="342" t="s">
        <v>318</v>
      </c>
      <c r="B131" s="342" t="s">
        <v>319</v>
      </c>
      <c r="C131" s="349">
        <v>3108</v>
      </c>
      <c r="D131" s="349">
        <v>0</v>
      </c>
      <c r="E131" s="349">
        <v>41</v>
      </c>
      <c r="F131" s="349">
        <v>321</v>
      </c>
      <c r="G131" s="349">
        <v>719</v>
      </c>
      <c r="H131" s="346">
        <v>4189</v>
      </c>
      <c r="I131" s="346">
        <v>3470</v>
      </c>
      <c r="J131" s="349">
        <v>0</v>
      </c>
      <c r="K131" s="347">
        <v>117.88</v>
      </c>
      <c r="L131" s="347">
        <v>113.95</v>
      </c>
      <c r="M131" s="347">
        <v>6.72</v>
      </c>
      <c r="N131" s="347">
        <v>120.68</v>
      </c>
      <c r="O131" s="348">
        <v>2389</v>
      </c>
      <c r="P131" s="347">
        <v>103.66</v>
      </c>
      <c r="Q131" s="347">
        <v>98.85</v>
      </c>
      <c r="R131" s="347">
        <v>37.11</v>
      </c>
      <c r="S131" s="347">
        <v>140.53</v>
      </c>
      <c r="T131" s="348">
        <v>308</v>
      </c>
      <c r="U131" s="347">
        <v>173.83</v>
      </c>
      <c r="V131" s="348">
        <v>684</v>
      </c>
      <c r="W131" s="347">
        <v>144.91999999999999</v>
      </c>
      <c r="X131" s="348">
        <v>1</v>
      </c>
      <c r="Y131" s="349">
        <v>0</v>
      </c>
      <c r="Z131" s="349">
        <v>0</v>
      </c>
      <c r="AA131" s="349">
        <v>0</v>
      </c>
      <c r="AB131" s="349">
        <v>38</v>
      </c>
      <c r="AC131" s="349">
        <v>23</v>
      </c>
      <c r="AD131" s="349">
        <v>3108</v>
      </c>
      <c r="AE131" s="349">
        <v>19</v>
      </c>
      <c r="AF131" s="349">
        <v>13</v>
      </c>
      <c r="AG131" s="349">
        <v>32</v>
      </c>
    </row>
    <row r="132" spans="1:33" x14ac:dyDescent="0.3">
      <c r="A132" s="342" t="s">
        <v>320</v>
      </c>
      <c r="B132" s="342" t="s">
        <v>321</v>
      </c>
      <c r="C132" s="349">
        <v>7631</v>
      </c>
      <c r="D132" s="349">
        <v>0</v>
      </c>
      <c r="E132" s="349">
        <v>162</v>
      </c>
      <c r="F132" s="349">
        <v>1962</v>
      </c>
      <c r="G132" s="349">
        <v>215</v>
      </c>
      <c r="H132" s="346">
        <v>9970</v>
      </c>
      <c r="I132" s="346">
        <v>9755</v>
      </c>
      <c r="J132" s="349">
        <v>0</v>
      </c>
      <c r="K132" s="347">
        <v>82.36</v>
      </c>
      <c r="L132" s="347">
        <v>81.319999999999993</v>
      </c>
      <c r="M132" s="347">
        <v>5.52</v>
      </c>
      <c r="N132" s="347">
        <v>84.59</v>
      </c>
      <c r="O132" s="348">
        <v>6512</v>
      </c>
      <c r="P132" s="347">
        <v>82.29</v>
      </c>
      <c r="Q132" s="347">
        <v>80.08</v>
      </c>
      <c r="R132" s="347">
        <v>40.130000000000003</v>
      </c>
      <c r="S132" s="347">
        <v>105.69</v>
      </c>
      <c r="T132" s="348">
        <v>2040</v>
      </c>
      <c r="U132" s="347">
        <v>95.54</v>
      </c>
      <c r="V132" s="348">
        <v>1060</v>
      </c>
      <c r="W132" s="347">
        <v>104.16</v>
      </c>
      <c r="X132" s="348">
        <v>72</v>
      </c>
      <c r="Y132" s="349">
        <v>10</v>
      </c>
      <c r="Z132" s="349">
        <v>18</v>
      </c>
      <c r="AA132" s="349">
        <v>0</v>
      </c>
      <c r="AB132" s="349">
        <v>10</v>
      </c>
      <c r="AC132" s="349">
        <v>2</v>
      </c>
      <c r="AD132" s="349">
        <v>7605</v>
      </c>
      <c r="AE132" s="349">
        <v>47</v>
      </c>
      <c r="AF132" s="349">
        <v>97</v>
      </c>
      <c r="AG132" s="349">
        <v>144</v>
      </c>
    </row>
    <row r="133" spans="1:33" x14ac:dyDescent="0.3">
      <c r="A133" s="342" t="s">
        <v>322</v>
      </c>
      <c r="B133" s="342" t="s">
        <v>323</v>
      </c>
      <c r="C133" s="349">
        <v>5128</v>
      </c>
      <c r="D133" s="349">
        <v>0</v>
      </c>
      <c r="E133" s="349">
        <v>280</v>
      </c>
      <c r="F133" s="349">
        <v>721</v>
      </c>
      <c r="G133" s="349">
        <v>195</v>
      </c>
      <c r="H133" s="346">
        <v>6324</v>
      </c>
      <c r="I133" s="346">
        <v>6129</v>
      </c>
      <c r="J133" s="349">
        <v>5</v>
      </c>
      <c r="K133" s="347">
        <v>87.5</v>
      </c>
      <c r="L133" s="347">
        <v>84.82</v>
      </c>
      <c r="M133" s="347">
        <v>6.99</v>
      </c>
      <c r="N133" s="347">
        <v>93.52</v>
      </c>
      <c r="O133" s="348">
        <v>4177</v>
      </c>
      <c r="P133" s="347">
        <v>72.73</v>
      </c>
      <c r="Q133" s="347">
        <v>68.989999999999995</v>
      </c>
      <c r="R133" s="347">
        <v>43.14</v>
      </c>
      <c r="S133" s="347">
        <v>115.87</v>
      </c>
      <c r="T133" s="348">
        <v>800</v>
      </c>
      <c r="U133" s="347">
        <v>115.03</v>
      </c>
      <c r="V133" s="348">
        <v>756</v>
      </c>
      <c r="W133" s="347">
        <v>155.33000000000001</v>
      </c>
      <c r="X133" s="348">
        <v>106</v>
      </c>
      <c r="Y133" s="349">
        <v>0</v>
      </c>
      <c r="Z133" s="349">
        <v>0</v>
      </c>
      <c r="AA133" s="349">
        <v>3</v>
      </c>
      <c r="AB133" s="349">
        <v>16</v>
      </c>
      <c r="AC133" s="349">
        <v>5</v>
      </c>
      <c r="AD133" s="349">
        <v>5059</v>
      </c>
      <c r="AE133" s="349">
        <v>23</v>
      </c>
      <c r="AF133" s="349">
        <v>58</v>
      </c>
      <c r="AG133" s="349">
        <v>81</v>
      </c>
    </row>
    <row r="134" spans="1:33" x14ac:dyDescent="0.3">
      <c r="A134" s="342" t="s">
        <v>324</v>
      </c>
      <c r="B134" s="342" t="s">
        <v>325</v>
      </c>
      <c r="C134" s="349">
        <v>4447</v>
      </c>
      <c r="D134" s="349">
        <v>0</v>
      </c>
      <c r="E134" s="349">
        <v>237</v>
      </c>
      <c r="F134" s="349">
        <v>1060</v>
      </c>
      <c r="G134" s="349">
        <v>412</v>
      </c>
      <c r="H134" s="346">
        <v>6156</v>
      </c>
      <c r="I134" s="346">
        <v>5744</v>
      </c>
      <c r="J134" s="349">
        <v>20</v>
      </c>
      <c r="K134" s="347">
        <v>106.98</v>
      </c>
      <c r="L134" s="347">
        <v>101.92</v>
      </c>
      <c r="M134" s="347">
        <v>10.220000000000001</v>
      </c>
      <c r="N134" s="347">
        <v>111.73</v>
      </c>
      <c r="O134" s="348">
        <v>3522</v>
      </c>
      <c r="P134" s="347">
        <v>98.27</v>
      </c>
      <c r="Q134" s="347">
        <v>88.81</v>
      </c>
      <c r="R134" s="347">
        <v>22.82</v>
      </c>
      <c r="S134" s="347">
        <v>118.52</v>
      </c>
      <c r="T134" s="348">
        <v>1147</v>
      </c>
      <c r="U134" s="347">
        <v>147.57</v>
      </c>
      <c r="V134" s="348">
        <v>789</v>
      </c>
      <c r="W134" s="347">
        <v>164.94</v>
      </c>
      <c r="X134" s="348">
        <v>14</v>
      </c>
      <c r="Y134" s="349">
        <v>0</v>
      </c>
      <c r="Z134" s="349">
        <v>0</v>
      </c>
      <c r="AA134" s="349">
        <v>1</v>
      </c>
      <c r="AB134" s="349">
        <v>17</v>
      </c>
      <c r="AC134" s="349">
        <v>12</v>
      </c>
      <c r="AD134" s="349">
        <v>4396</v>
      </c>
      <c r="AE134" s="349">
        <v>23</v>
      </c>
      <c r="AF134" s="349">
        <v>13</v>
      </c>
      <c r="AG134" s="349">
        <v>36</v>
      </c>
    </row>
    <row r="135" spans="1:33" x14ac:dyDescent="0.3">
      <c r="A135" s="342" t="s">
        <v>326</v>
      </c>
      <c r="B135" s="342" t="s">
        <v>327</v>
      </c>
      <c r="C135" s="349">
        <v>3650</v>
      </c>
      <c r="D135" s="349">
        <v>354</v>
      </c>
      <c r="E135" s="349">
        <v>209</v>
      </c>
      <c r="F135" s="349">
        <v>497</v>
      </c>
      <c r="G135" s="349">
        <v>962</v>
      </c>
      <c r="H135" s="346">
        <v>5672</v>
      </c>
      <c r="I135" s="346">
        <v>4710</v>
      </c>
      <c r="J135" s="349">
        <v>15</v>
      </c>
      <c r="K135" s="347">
        <v>118.14</v>
      </c>
      <c r="L135" s="347">
        <v>118.32</v>
      </c>
      <c r="M135" s="347">
        <v>11.92</v>
      </c>
      <c r="N135" s="347">
        <v>127.41</v>
      </c>
      <c r="O135" s="348">
        <v>2386</v>
      </c>
      <c r="P135" s="347">
        <v>108</v>
      </c>
      <c r="Q135" s="347">
        <v>98.29</v>
      </c>
      <c r="R135" s="347">
        <v>46.04</v>
      </c>
      <c r="S135" s="347">
        <v>153</v>
      </c>
      <c r="T135" s="348">
        <v>615</v>
      </c>
      <c r="U135" s="347">
        <v>182.91</v>
      </c>
      <c r="V135" s="348">
        <v>1037</v>
      </c>
      <c r="W135" s="347">
        <v>212.92</v>
      </c>
      <c r="X135" s="348">
        <v>40</v>
      </c>
      <c r="Y135" s="349">
        <v>0</v>
      </c>
      <c r="Z135" s="349">
        <v>2</v>
      </c>
      <c r="AA135" s="349">
        <v>18</v>
      </c>
      <c r="AB135" s="349">
        <v>83</v>
      </c>
      <c r="AC135" s="349">
        <v>18</v>
      </c>
      <c r="AD135" s="349">
        <v>3618</v>
      </c>
      <c r="AE135" s="349">
        <v>36</v>
      </c>
      <c r="AF135" s="349">
        <v>9</v>
      </c>
      <c r="AG135" s="349">
        <v>45</v>
      </c>
    </row>
    <row r="136" spans="1:33" x14ac:dyDescent="0.3">
      <c r="A136" s="342" t="s">
        <v>328</v>
      </c>
      <c r="B136" s="342" t="s">
        <v>329</v>
      </c>
      <c r="C136" s="349">
        <v>9374</v>
      </c>
      <c r="D136" s="349">
        <v>0</v>
      </c>
      <c r="E136" s="349">
        <v>318</v>
      </c>
      <c r="F136" s="349">
        <v>1644</v>
      </c>
      <c r="G136" s="349">
        <v>907</v>
      </c>
      <c r="H136" s="346">
        <v>12243</v>
      </c>
      <c r="I136" s="346">
        <v>11336</v>
      </c>
      <c r="J136" s="349">
        <v>2</v>
      </c>
      <c r="K136" s="347">
        <v>90.6</v>
      </c>
      <c r="L136" s="347">
        <v>89.55</v>
      </c>
      <c r="M136" s="347">
        <v>4.2699999999999996</v>
      </c>
      <c r="N136" s="347">
        <v>92.84</v>
      </c>
      <c r="O136" s="348">
        <v>8440</v>
      </c>
      <c r="P136" s="347">
        <v>85.41</v>
      </c>
      <c r="Q136" s="347">
        <v>83.06</v>
      </c>
      <c r="R136" s="347">
        <v>39.520000000000003</v>
      </c>
      <c r="S136" s="347">
        <v>116.31</v>
      </c>
      <c r="T136" s="348">
        <v>1903</v>
      </c>
      <c r="U136" s="347">
        <v>109.23</v>
      </c>
      <c r="V136" s="348">
        <v>860</v>
      </c>
      <c r="W136" s="347">
        <v>185.94</v>
      </c>
      <c r="X136" s="348">
        <v>20</v>
      </c>
      <c r="Y136" s="349">
        <v>0</v>
      </c>
      <c r="Z136" s="349">
        <v>7</v>
      </c>
      <c r="AA136" s="349">
        <v>2</v>
      </c>
      <c r="AB136" s="349">
        <v>32</v>
      </c>
      <c r="AC136" s="349">
        <v>10</v>
      </c>
      <c r="AD136" s="349">
        <v>9335</v>
      </c>
      <c r="AE136" s="349">
        <v>71</v>
      </c>
      <c r="AF136" s="349">
        <v>15</v>
      </c>
      <c r="AG136" s="349">
        <v>86</v>
      </c>
    </row>
    <row r="137" spans="1:33" x14ac:dyDescent="0.3">
      <c r="A137" s="342" t="s">
        <v>330</v>
      </c>
      <c r="B137" s="342" t="s">
        <v>331</v>
      </c>
      <c r="C137" s="349">
        <v>6425</v>
      </c>
      <c r="D137" s="349">
        <v>28</v>
      </c>
      <c r="E137" s="349">
        <v>184</v>
      </c>
      <c r="F137" s="349">
        <v>799</v>
      </c>
      <c r="G137" s="349">
        <v>525</v>
      </c>
      <c r="H137" s="346">
        <v>7961</v>
      </c>
      <c r="I137" s="346">
        <v>7436</v>
      </c>
      <c r="J137" s="349">
        <v>1</v>
      </c>
      <c r="K137" s="347">
        <v>121.6</v>
      </c>
      <c r="L137" s="347">
        <v>123.18</v>
      </c>
      <c r="M137" s="347">
        <v>7.6</v>
      </c>
      <c r="N137" s="347">
        <v>125.53</v>
      </c>
      <c r="O137" s="348">
        <v>5443</v>
      </c>
      <c r="P137" s="347">
        <v>113.06</v>
      </c>
      <c r="Q137" s="347">
        <v>105.5</v>
      </c>
      <c r="R137" s="347">
        <v>31.5</v>
      </c>
      <c r="S137" s="347">
        <v>142.6</v>
      </c>
      <c r="T137" s="348">
        <v>948</v>
      </c>
      <c r="U137" s="347">
        <v>181.74</v>
      </c>
      <c r="V137" s="348">
        <v>799</v>
      </c>
      <c r="W137" s="347">
        <v>213.91</v>
      </c>
      <c r="X137" s="348">
        <v>4</v>
      </c>
      <c r="Y137" s="349">
        <v>0</v>
      </c>
      <c r="Z137" s="349">
        <v>4</v>
      </c>
      <c r="AA137" s="349">
        <v>1</v>
      </c>
      <c r="AB137" s="349">
        <v>30</v>
      </c>
      <c r="AC137" s="349">
        <v>8</v>
      </c>
      <c r="AD137" s="349">
        <v>6250</v>
      </c>
      <c r="AE137" s="349">
        <v>55</v>
      </c>
      <c r="AF137" s="349">
        <v>58</v>
      </c>
      <c r="AG137" s="349">
        <v>113</v>
      </c>
    </row>
    <row r="138" spans="1:33" x14ac:dyDescent="0.3">
      <c r="A138" s="342" t="s">
        <v>332</v>
      </c>
      <c r="B138" s="342" t="s">
        <v>333</v>
      </c>
      <c r="C138" s="349">
        <v>1031</v>
      </c>
      <c r="D138" s="349">
        <v>1</v>
      </c>
      <c r="E138" s="349">
        <v>68</v>
      </c>
      <c r="F138" s="349">
        <v>317</v>
      </c>
      <c r="G138" s="349">
        <v>204</v>
      </c>
      <c r="H138" s="346">
        <v>1621</v>
      </c>
      <c r="I138" s="346">
        <v>1417</v>
      </c>
      <c r="J138" s="349">
        <v>18</v>
      </c>
      <c r="K138" s="347">
        <v>96.52</v>
      </c>
      <c r="L138" s="347">
        <v>93.5</v>
      </c>
      <c r="M138" s="347">
        <v>7.86</v>
      </c>
      <c r="N138" s="347">
        <v>100.95</v>
      </c>
      <c r="O138" s="348">
        <v>793</v>
      </c>
      <c r="P138" s="347">
        <v>91.39</v>
      </c>
      <c r="Q138" s="347">
        <v>80.400000000000006</v>
      </c>
      <c r="R138" s="347">
        <v>46.94</v>
      </c>
      <c r="S138" s="347">
        <v>137.44</v>
      </c>
      <c r="T138" s="348">
        <v>369</v>
      </c>
      <c r="U138" s="347">
        <v>111.68</v>
      </c>
      <c r="V138" s="348">
        <v>221</v>
      </c>
      <c r="W138" s="347">
        <v>0</v>
      </c>
      <c r="X138" s="348">
        <v>0</v>
      </c>
      <c r="Y138" s="349">
        <v>2</v>
      </c>
      <c r="Z138" s="349">
        <v>1</v>
      </c>
      <c r="AA138" s="349">
        <v>1</v>
      </c>
      <c r="AB138" s="349">
        <v>7</v>
      </c>
      <c r="AC138" s="349">
        <v>4</v>
      </c>
      <c r="AD138" s="349">
        <v>1013</v>
      </c>
      <c r="AE138" s="349">
        <v>21</v>
      </c>
      <c r="AF138" s="349">
        <v>6</v>
      </c>
      <c r="AG138" s="349">
        <v>27</v>
      </c>
    </row>
    <row r="139" spans="1:33" x14ac:dyDescent="0.3">
      <c r="A139" s="342" t="s">
        <v>334</v>
      </c>
      <c r="B139" s="342" t="s">
        <v>335</v>
      </c>
      <c r="C139" s="349">
        <v>6535</v>
      </c>
      <c r="D139" s="349">
        <v>6</v>
      </c>
      <c r="E139" s="349">
        <v>539</v>
      </c>
      <c r="F139" s="349">
        <v>570</v>
      </c>
      <c r="G139" s="349">
        <v>1222</v>
      </c>
      <c r="H139" s="346">
        <v>8872</v>
      </c>
      <c r="I139" s="346">
        <v>7650</v>
      </c>
      <c r="J139" s="349">
        <v>22</v>
      </c>
      <c r="K139" s="347">
        <v>125</v>
      </c>
      <c r="L139" s="347">
        <v>124.19</v>
      </c>
      <c r="M139" s="347">
        <v>10.8</v>
      </c>
      <c r="N139" s="347">
        <v>132.72</v>
      </c>
      <c r="O139" s="348">
        <v>5147</v>
      </c>
      <c r="P139" s="347">
        <v>104.72</v>
      </c>
      <c r="Q139" s="347">
        <v>101</v>
      </c>
      <c r="R139" s="347">
        <v>41.48</v>
      </c>
      <c r="S139" s="347">
        <v>138.41999999999999</v>
      </c>
      <c r="T139" s="348">
        <v>853</v>
      </c>
      <c r="U139" s="347">
        <v>190.97</v>
      </c>
      <c r="V139" s="348">
        <v>915</v>
      </c>
      <c r="W139" s="347">
        <v>166.15</v>
      </c>
      <c r="X139" s="348">
        <v>58</v>
      </c>
      <c r="Y139" s="349">
        <v>847</v>
      </c>
      <c r="Z139" s="349">
        <v>1</v>
      </c>
      <c r="AA139" s="349">
        <v>5</v>
      </c>
      <c r="AB139" s="349">
        <v>56</v>
      </c>
      <c r="AC139" s="349">
        <v>40</v>
      </c>
      <c r="AD139" s="349">
        <v>6382</v>
      </c>
      <c r="AE139" s="349">
        <v>16</v>
      </c>
      <c r="AF139" s="349">
        <v>17</v>
      </c>
      <c r="AG139" s="349">
        <v>33</v>
      </c>
    </row>
    <row r="140" spans="1:33" x14ac:dyDescent="0.3">
      <c r="A140" s="342" t="s">
        <v>336</v>
      </c>
      <c r="B140" s="342" t="s">
        <v>337</v>
      </c>
      <c r="C140" s="349">
        <v>1947</v>
      </c>
      <c r="D140" s="349">
        <v>1</v>
      </c>
      <c r="E140" s="349">
        <v>125</v>
      </c>
      <c r="F140" s="349">
        <v>125</v>
      </c>
      <c r="G140" s="349">
        <v>415</v>
      </c>
      <c r="H140" s="346">
        <v>2613</v>
      </c>
      <c r="I140" s="346">
        <v>2198</v>
      </c>
      <c r="J140" s="349">
        <v>9</v>
      </c>
      <c r="K140" s="347">
        <v>92.02</v>
      </c>
      <c r="L140" s="347">
        <v>89.21</v>
      </c>
      <c r="M140" s="347">
        <v>5.93</v>
      </c>
      <c r="N140" s="347">
        <v>95.25</v>
      </c>
      <c r="O140" s="348">
        <v>1404</v>
      </c>
      <c r="P140" s="347">
        <v>102.63</v>
      </c>
      <c r="Q140" s="347">
        <v>74.44</v>
      </c>
      <c r="R140" s="347">
        <v>61.5</v>
      </c>
      <c r="S140" s="347">
        <v>164.13</v>
      </c>
      <c r="T140" s="348">
        <v>215</v>
      </c>
      <c r="U140" s="347">
        <v>108.14</v>
      </c>
      <c r="V140" s="348">
        <v>506</v>
      </c>
      <c r="W140" s="347">
        <v>0</v>
      </c>
      <c r="X140" s="348">
        <v>0</v>
      </c>
      <c r="Y140" s="349">
        <v>0</v>
      </c>
      <c r="Z140" s="349">
        <v>3</v>
      </c>
      <c r="AA140" s="349">
        <v>14</v>
      </c>
      <c r="AB140" s="349">
        <v>55</v>
      </c>
      <c r="AC140" s="349">
        <v>10</v>
      </c>
      <c r="AD140" s="349">
        <v>1947</v>
      </c>
      <c r="AE140" s="349">
        <v>18</v>
      </c>
      <c r="AF140" s="349">
        <v>8</v>
      </c>
      <c r="AG140" s="349">
        <v>26</v>
      </c>
    </row>
    <row r="141" spans="1:33" x14ac:dyDescent="0.3">
      <c r="A141" s="342" t="s">
        <v>338</v>
      </c>
      <c r="B141" s="342" t="s">
        <v>339</v>
      </c>
      <c r="C141" s="349">
        <v>6087</v>
      </c>
      <c r="D141" s="349">
        <v>0</v>
      </c>
      <c r="E141" s="349">
        <v>124</v>
      </c>
      <c r="F141" s="349">
        <v>1066</v>
      </c>
      <c r="G141" s="349">
        <v>1011</v>
      </c>
      <c r="H141" s="346">
        <v>8288</v>
      </c>
      <c r="I141" s="346">
        <v>7277</v>
      </c>
      <c r="J141" s="349">
        <v>12</v>
      </c>
      <c r="K141" s="347">
        <v>112.61</v>
      </c>
      <c r="L141" s="347">
        <v>111.31</v>
      </c>
      <c r="M141" s="347">
        <v>5.27</v>
      </c>
      <c r="N141" s="347">
        <v>115.8</v>
      </c>
      <c r="O141" s="348">
        <v>4650</v>
      </c>
      <c r="P141" s="347">
        <v>98.12</v>
      </c>
      <c r="Q141" s="347">
        <v>96.19</v>
      </c>
      <c r="R141" s="347">
        <v>27.33</v>
      </c>
      <c r="S141" s="347">
        <v>124.51</v>
      </c>
      <c r="T141" s="348">
        <v>938</v>
      </c>
      <c r="U141" s="347">
        <v>170.52</v>
      </c>
      <c r="V141" s="348">
        <v>1384</v>
      </c>
      <c r="W141" s="347">
        <v>222.22</v>
      </c>
      <c r="X141" s="348">
        <v>128</v>
      </c>
      <c r="Y141" s="349">
        <v>0</v>
      </c>
      <c r="Z141" s="349">
        <v>3</v>
      </c>
      <c r="AA141" s="349">
        <v>18</v>
      </c>
      <c r="AB141" s="349">
        <v>157</v>
      </c>
      <c r="AC141" s="349">
        <v>16</v>
      </c>
      <c r="AD141" s="349">
        <v>6054</v>
      </c>
      <c r="AE141" s="349">
        <v>54</v>
      </c>
      <c r="AF141" s="349">
        <v>15</v>
      </c>
      <c r="AG141" s="349">
        <v>69</v>
      </c>
    </row>
    <row r="142" spans="1:33" x14ac:dyDescent="0.3">
      <c r="A142" s="342" t="s">
        <v>340</v>
      </c>
      <c r="B142" s="342" t="s">
        <v>341</v>
      </c>
      <c r="C142" s="349">
        <v>7930</v>
      </c>
      <c r="D142" s="349">
        <v>15</v>
      </c>
      <c r="E142" s="349">
        <v>417</v>
      </c>
      <c r="F142" s="349">
        <v>228</v>
      </c>
      <c r="G142" s="349">
        <v>2158</v>
      </c>
      <c r="H142" s="346">
        <v>10748</v>
      </c>
      <c r="I142" s="346">
        <v>8590</v>
      </c>
      <c r="J142" s="349">
        <v>65</v>
      </c>
      <c r="K142" s="347">
        <v>125.61</v>
      </c>
      <c r="L142" s="347">
        <v>126.11</v>
      </c>
      <c r="M142" s="347">
        <v>10.92</v>
      </c>
      <c r="N142" s="347">
        <v>134.32</v>
      </c>
      <c r="O142" s="348">
        <v>5852</v>
      </c>
      <c r="P142" s="347">
        <v>119.6</v>
      </c>
      <c r="Q142" s="347">
        <v>111.8</v>
      </c>
      <c r="R142" s="347">
        <v>110.97</v>
      </c>
      <c r="S142" s="347">
        <v>213.37</v>
      </c>
      <c r="T142" s="348">
        <v>329</v>
      </c>
      <c r="U142" s="347">
        <v>201.6</v>
      </c>
      <c r="V142" s="348">
        <v>1216</v>
      </c>
      <c r="W142" s="347">
        <v>252.18</v>
      </c>
      <c r="X142" s="348">
        <v>112</v>
      </c>
      <c r="Y142" s="349">
        <v>78</v>
      </c>
      <c r="Z142" s="349">
        <v>2</v>
      </c>
      <c r="AA142" s="349">
        <v>7</v>
      </c>
      <c r="AB142" s="349">
        <v>85</v>
      </c>
      <c r="AC142" s="349">
        <v>34</v>
      </c>
      <c r="AD142" s="349">
        <v>7476</v>
      </c>
      <c r="AE142" s="349">
        <v>47</v>
      </c>
      <c r="AF142" s="349">
        <v>114</v>
      </c>
      <c r="AG142" s="349">
        <v>161</v>
      </c>
    </row>
    <row r="143" spans="1:33" x14ac:dyDescent="0.3">
      <c r="A143" s="342" t="s">
        <v>342</v>
      </c>
      <c r="B143" s="342" t="s">
        <v>343</v>
      </c>
      <c r="C143" s="349">
        <v>8818</v>
      </c>
      <c r="D143" s="349">
        <v>17</v>
      </c>
      <c r="E143" s="349">
        <v>460</v>
      </c>
      <c r="F143" s="349">
        <v>980</v>
      </c>
      <c r="G143" s="349">
        <v>978</v>
      </c>
      <c r="H143" s="346">
        <v>11253</v>
      </c>
      <c r="I143" s="346">
        <v>10275</v>
      </c>
      <c r="J143" s="349">
        <v>35</v>
      </c>
      <c r="K143" s="347">
        <v>96.32</v>
      </c>
      <c r="L143" s="347">
        <v>96.11</v>
      </c>
      <c r="M143" s="347">
        <v>3.29</v>
      </c>
      <c r="N143" s="347">
        <v>99.38</v>
      </c>
      <c r="O143" s="348">
        <v>7826</v>
      </c>
      <c r="P143" s="347">
        <v>95.12</v>
      </c>
      <c r="Q143" s="347">
        <v>84.68</v>
      </c>
      <c r="R143" s="347">
        <v>50.87</v>
      </c>
      <c r="S143" s="347">
        <v>145.32</v>
      </c>
      <c r="T143" s="348">
        <v>1300</v>
      </c>
      <c r="U143" s="347">
        <v>136.52000000000001</v>
      </c>
      <c r="V143" s="348">
        <v>830</v>
      </c>
      <c r="W143" s="347">
        <v>193.6</v>
      </c>
      <c r="X143" s="348">
        <v>55</v>
      </c>
      <c r="Y143" s="349">
        <v>68</v>
      </c>
      <c r="Z143" s="349">
        <v>2</v>
      </c>
      <c r="AA143" s="349">
        <v>0</v>
      </c>
      <c r="AB143" s="349">
        <v>116</v>
      </c>
      <c r="AC143" s="349">
        <v>13</v>
      </c>
      <c r="AD143" s="349">
        <v>8818</v>
      </c>
      <c r="AE143" s="349">
        <v>33</v>
      </c>
      <c r="AF143" s="349">
        <v>30</v>
      </c>
      <c r="AG143" s="349">
        <v>63</v>
      </c>
    </row>
    <row r="144" spans="1:33" x14ac:dyDescent="0.3">
      <c r="A144" s="342" t="s">
        <v>344</v>
      </c>
      <c r="B144" s="342" t="s">
        <v>345</v>
      </c>
      <c r="C144" s="349">
        <v>3026</v>
      </c>
      <c r="D144" s="349">
        <v>0</v>
      </c>
      <c r="E144" s="349">
        <v>307</v>
      </c>
      <c r="F144" s="349">
        <v>1561</v>
      </c>
      <c r="G144" s="349">
        <v>63</v>
      </c>
      <c r="H144" s="346">
        <v>4957</v>
      </c>
      <c r="I144" s="346">
        <v>4894</v>
      </c>
      <c r="J144" s="349">
        <v>3</v>
      </c>
      <c r="K144" s="347">
        <v>77.78</v>
      </c>
      <c r="L144" s="347">
        <v>76.13</v>
      </c>
      <c r="M144" s="347">
        <v>2.37</v>
      </c>
      <c r="N144" s="347">
        <v>79.05</v>
      </c>
      <c r="O144" s="348">
        <v>2916</v>
      </c>
      <c r="P144" s="347">
        <v>78.069999999999993</v>
      </c>
      <c r="Q144" s="347">
        <v>66.59</v>
      </c>
      <c r="R144" s="347">
        <v>26.17</v>
      </c>
      <c r="S144" s="347">
        <v>103.9</v>
      </c>
      <c r="T144" s="348">
        <v>1757</v>
      </c>
      <c r="U144" s="347">
        <v>93.7</v>
      </c>
      <c r="V144" s="348">
        <v>110</v>
      </c>
      <c r="W144" s="347">
        <v>252.28</v>
      </c>
      <c r="X144" s="348">
        <v>14</v>
      </c>
      <c r="Y144" s="349">
        <v>1</v>
      </c>
      <c r="Z144" s="349">
        <v>8</v>
      </c>
      <c r="AA144" s="349">
        <v>3</v>
      </c>
      <c r="AB144" s="349">
        <v>0</v>
      </c>
      <c r="AC144" s="349">
        <v>0</v>
      </c>
      <c r="AD144" s="349">
        <v>3026</v>
      </c>
      <c r="AE144" s="349">
        <v>18</v>
      </c>
      <c r="AF144" s="349">
        <v>3</v>
      </c>
      <c r="AG144" s="349">
        <v>21</v>
      </c>
    </row>
    <row r="145" spans="1:33" x14ac:dyDescent="0.3">
      <c r="A145" s="342" t="s">
        <v>346</v>
      </c>
      <c r="B145" s="342" t="s">
        <v>347</v>
      </c>
      <c r="C145" s="349">
        <v>3735</v>
      </c>
      <c r="D145" s="349">
        <v>0</v>
      </c>
      <c r="E145" s="349">
        <v>560</v>
      </c>
      <c r="F145" s="349">
        <v>711</v>
      </c>
      <c r="G145" s="349">
        <v>297</v>
      </c>
      <c r="H145" s="346">
        <v>5303</v>
      </c>
      <c r="I145" s="346">
        <v>5006</v>
      </c>
      <c r="J145" s="349">
        <v>0</v>
      </c>
      <c r="K145" s="347">
        <v>90.12</v>
      </c>
      <c r="L145" s="347">
        <v>90.22</v>
      </c>
      <c r="M145" s="347">
        <v>6.74</v>
      </c>
      <c r="N145" s="347">
        <v>95.28</v>
      </c>
      <c r="O145" s="348">
        <v>2992</v>
      </c>
      <c r="P145" s="347">
        <v>83.28</v>
      </c>
      <c r="Q145" s="347">
        <v>74.3</v>
      </c>
      <c r="R145" s="347">
        <v>63.72</v>
      </c>
      <c r="S145" s="347">
        <v>147</v>
      </c>
      <c r="T145" s="348">
        <v>1047</v>
      </c>
      <c r="U145" s="347">
        <v>104.88</v>
      </c>
      <c r="V145" s="348">
        <v>575</v>
      </c>
      <c r="W145" s="347">
        <v>103.17</v>
      </c>
      <c r="X145" s="348">
        <v>2</v>
      </c>
      <c r="Y145" s="349">
        <v>1</v>
      </c>
      <c r="Z145" s="349">
        <v>1</v>
      </c>
      <c r="AA145" s="349">
        <v>15</v>
      </c>
      <c r="AB145" s="349">
        <v>2</v>
      </c>
      <c r="AC145" s="349">
        <v>5</v>
      </c>
      <c r="AD145" s="349">
        <v>3606</v>
      </c>
      <c r="AE145" s="349">
        <v>16</v>
      </c>
      <c r="AF145" s="349">
        <v>28</v>
      </c>
      <c r="AG145" s="349">
        <v>44</v>
      </c>
    </row>
    <row r="146" spans="1:33" x14ac:dyDescent="0.3">
      <c r="A146" s="342" t="s">
        <v>348</v>
      </c>
      <c r="B146" s="342" t="s">
        <v>349</v>
      </c>
      <c r="C146" s="349">
        <v>6296</v>
      </c>
      <c r="D146" s="349">
        <v>0</v>
      </c>
      <c r="E146" s="349">
        <v>396</v>
      </c>
      <c r="F146" s="349">
        <v>638</v>
      </c>
      <c r="G146" s="349">
        <v>333</v>
      </c>
      <c r="H146" s="346">
        <v>7663</v>
      </c>
      <c r="I146" s="346">
        <v>7330</v>
      </c>
      <c r="J146" s="349">
        <v>214</v>
      </c>
      <c r="K146" s="347">
        <v>89.55</v>
      </c>
      <c r="L146" s="347">
        <v>87.65</v>
      </c>
      <c r="M146" s="347">
        <v>5.07</v>
      </c>
      <c r="N146" s="347">
        <v>92.59</v>
      </c>
      <c r="O146" s="348">
        <v>5450</v>
      </c>
      <c r="P146" s="347">
        <v>81.69</v>
      </c>
      <c r="Q146" s="347">
        <v>77.31</v>
      </c>
      <c r="R146" s="347">
        <v>40.99</v>
      </c>
      <c r="S146" s="347">
        <v>120.31</v>
      </c>
      <c r="T146" s="348">
        <v>983</v>
      </c>
      <c r="U146" s="347">
        <v>123.43</v>
      </c>
      <c r="V146" s="348">
        <v>323</v>
      </c>
      <c r="W146" s="347">
        <v>95.23</v>
      </c>
      <c r="X146" s="348">
        <v>12</v>
      </c>
      <c r="Y146" s="349">
        <v>0</v>
      </c>
      <c r="Z146" s="349">
        <v>3</v>
      </c>
      <c r="AA146" s="349">
        <v>1</v>
      </c>
      <c r="AB146" s="349">
        <v>0</v>
      </c>
      <c r="AC146" s="349">
        <v>5</v>
      </c>
      <c r="AD146" s="349">
        <v>5840</v>
      </c>
      <c r="AE146" s="349">
        <v>17</v>
      </c>
      <c r="AF146" s="349">
        <v>13</v>
      </c>
      <c r="AG146" s="349">
        <v>30</v>
      </c>
    </row>
    <row r="147" spans="1:33" x14ac:dyDescent="0.3">
      <c r="A147" s="342" t="s">
        <v>350</v>
      </c>
      <c r="B147" s="342" t="s">
        <v>351</v>
      </c>
      <c r="C147" s="349">
        <v>54</v>
      </c>
      <c r="D147" s="349">
        <v>0</v>
      </c>
      <c r="E147" s="349">
        <v>0</v>
      </c>
      <c r="F147" s="349">
        <v>7</v>
      </c>
      <c r="G147" s="349">
        <v>0</v>
      </c>
      <c r="H147" s="346">
        <v>61</v>
      </c>
      <c r="I147" s="346">
        <v>61</v>
      </c>
      <c r="J147" s="349">
        <v>0</v>
      </c>
      <c r="K147" s="347">
        <v>100.02</v>
      </c>
      <c r="L147" s="347">
        <v>104.92</v>
      </c>
      <c r="M147" s="347">
        <v>3.11</v>
      </c>
      <c r="N147" s="347">
        <v>101.29</v>
      </c>
      <c r="O147" s="348">
        <v>27</v>
      </c>
      <c r="P147" s="347">
        <v>96.99</v>
      </c>
      <c r="Q147" s="347">
        <v>88.17</v>
      </c>
      <c r="R147" s="347">
        <v>21.02</v>
      </c>
      <c r="S147" s="347">
        <v>118.01</v>
      </c>
      <c r="T147" s="348">
        <v>7</v>
      </c>
      <c r="U147" s="347">
        <v>117.01</v>
      </c>
      <c r="V147" s="348">
        <v>2</v>
      </c>
      <c r="W147" s="347">
        <v>0</v>
      </c>
      <c r="X147" s="348">
        <v>0</v>
      </c>
      <c r="Y147" s="349">
        <v>0</v>
      </c>
      <c r="Z147" s="349">
        <v>0</v>
      </c>
      <c r="AA147" s="349">
        <v>0</v>
      </c>
      <c r="AB147" s="349">
        <v>0</v>
      </c>
      <c r="AC147" s="349">
        <v>0</v>
      </c>
      <c r="AD147" s="349">
        <v>27</v>
      </c>
      <c r="AE147" s="349">
        <v>0</v>
      </c>
      <c r="AF147" s="349">
        <v>0</v>
      </c>
      <c r="AG147" s="349">
        <v>0</v>
      </c>
    </row>
    <row r="148" spans="1:33" x14ac:dyDescent="0.3">
      <c r="A148" s="342" t="s">
        <v>352</v>
      </c>
      <c r="B148" s="342" t="s">
        <v>353</v>
      </c>
      <c r="C148" s="349">
        <v>14096</v>
      </c>
      <c r="D148" s="349">
        <v>290</v>
      </c>
      <c r="E148" s="349">
        <v>1306</v>
      </c>
      <c r="F148" s="349">
        <v>741</v>
      </c>
      <c r="G148" s="349">
        <v>1367</v>
      </c>
      <c r="H148" s="346">
        <v>17800</v>
      </c>
      <c r="I148" s="346">
        <v>16433</v>
      </c>
      <c r="J148" s="349">
        <v>58</v>
      </c>
      <c r="K148" s="347">
        <v>128.61000000000001</v>
      </c>
      <c r="L148" s="347">
        <v>137.16999999999999</v>
      </c>
      <c r="M148" s="347">
        <v>14.15</v>
      </c>
      <c r="N148" s="347">
        <v>139.72</v>
      </c>
      <c r="O148" s="348">
        <v>12284</v>
      </c>
      <c r="P148" s="347">
        <v>117.4</v>
      </c>
      <c r="Q148" s="347">
        <v>117.21</v>
      </c>
      <c r="R148" s="347">
        <v>83.94</v>
      </c>
      <c r="S148" s="347">
        <v>198.54</v>
      </c>
      <c r="T148" s="348">
        <v>1648</v>
      </c>
      <c r="U148" s="347">
        <v>190.68</v>
      </c>
      <c r="V148" s="348">
        <v>525</v>
      </c>
      <c r="W148" s="347">
        <v>199.05</v>
      </c>
      <c r="X148" s="348">
        <v>7</v>
      </c>
      <c r="Y148" s="349">
        <v>1</v>
      </c>
      <c r="Z148" s="349">
        <v>1</v>
      </c>
      <c r="AA148" s="349">
        <v>40</v>
      </c>
      <c r="AB148" s="349">
        <v>24</v>
      </c>
      <c r="AC148" s="349">
        <v>30</v>
      </c>
      <c r="AD148" s="349">
        <v>13115</v>
      </c>
      <c r="AE148" s="349">
        <v>117</v>
      </c>
      <c r="AF148" s="349">
        <v>84</v>
      </c>
      <c r="AG148" s="349">
        <v>201</v>
      </c>
    </row>
    <row r="149" spans="1:33" x14ac:dyDescent="0.3">
      <c r="A149" s="342" t="s">
        <v>354</v>
      </c>
      <c r="B149" s="342" t="s">
        <v>355</v>
      </c>
      <c r="C149" s="349">
        <v>10859</v>
      </c>
      <c r="D149" s="349">
        <v>142</v>
      </c>
      <c r="E149" s="349">
        <v>1025</v>
      </c>
      <c r="F149" s="349">
        <v>913</v>
      </c>
      <c r="G149" s="349">
        <v>556</v>
      </c>
      <c r="H149" s="346">
        <v>13495</v>
      </c>
      <c r="I149" s="346">
        <v>12939</v>
      </c>
      <c r="J149" s="349">
        <v>110</v>
      </c>
      <c r="K149" s="347">
        <v>128.78</v>
      </c>
      <c r="L149" s="347">
        <v>150.66</v>
      </c>
      <c r="M149" s="347">
        <v>13.1</v>
      </c>
      <c r="N149" s="347">
        <v>137.71</v>
      </c>
      <c r="O149" s="348">
        <v>9415</v>
      </c>
      <c r="P149" s="347">
        <v>121.37</v>
      </c>
      <c r="Q149" s="347">
        <v>122.28</v>
      </c>
      <c r="R149" s="347">
        <v>63.61</v>
      </c>
      <c r="S149" s="347">
        <v>175.48</v>
      </c>
      <c r="T149" s="348">
        <v>1526</v>
      </c>
      <c r="U149" s="347">
        <v>213.31</v>
      </c>
      <c r="V149" s="348">
        <v>613</v>
      </c>
      <c r="W149" s="347">
        <v>190.43</v>
      </c>
      <c r="X149" s="348">
        <v>31</v>
      </c>
      <c r="Y149" s="349">
        <v>31</v>
      </c>
      <c r="Z149" s="349">
        <v>0</v>
      </c>
      <c r="AA149" s="349">
        <v>12</v>
      </c>
      <c r="AB149" s="349">
        <v>0</v>
      </c>
      <c r="AC149" s="349">
        <v>11</v>
      </c>
      <c r="AD149" s="349">
        <v>10043</v>
      </c>
      <c r="AE149" s="349">
        <v>45</v>
      </c>
      <c r="AF149" s="349">
        <v>266</v>
      </c>
      <c r="AG149" s="349">
        <v>311</v>
      </c>
    </row>
    <row r="150" spans="1:33" x14ac:dyDescent="0.3">
      <c r="A150" s="342" t="s">
        <v>356</v>
      </c>
      <c r="B150" s="342" t="s">
        <v>357</v>
      </c>
      <c r="C150" s="349">
        <v>8487</v>
      </c>
      <c r="D150" s="349">
        <v>9</v>
      </c>
      <c r="E150" s="349">
        <v>283</v>
      </c>
      <c r="F150" s="349">
        <v>912</v>
      </c>
      <c r="G150" s="349">
        <v>219</v>
      </c>
      <c r="H150" s="346">
        <v>9910</v>
      </c>
      <c r="I150" s="346">
        <v>9691</v>
      </c>
      <c r="J150" s="349">
        <v>108</v>
      </c>
      <c r="K150" s="347">
        <v>84.58</v>
      </c>
      <c r="L150" s="347">
        <v>84.47</v>
      </c>
      <c r="M150" s="347">
        <v>5.42</v>
      </c>
      <c r="N150" s="347">
        <v>86.55</v>
      </c>
      <c r="O150" s="348">
        <v>7750</v>
      </c>
      <c r="P150" s="347">
        <v>89.76</v>
      </c>
      <c r="Q150" s="347">
        <v>82.87</v>
      </c>
      <c r="R150" s="347">
        <v>27.97</v>
      </c>
      <c r="S150" s="347">
        <v>117.21</v>
      </c>
      <c r="T150" s="348">
        <v>1124</v>
      </c>
      <c r="U150" s="347">
        <v>108.72</v>
      </c>
      <c r="V150" s="348">
        <v>702</v>
      </c>
      <c r="W150" s="347">
        <v>91.97</v>
      </c>
      <c r="X150" s="348">
        <v>13</v>
      </c>
      <c r="Y150" s="349">
        <v>0</v>
      </c>
      <c r="Z150" s="349">
        <v>14</v>
      </c>
      <c r="AA150" s="349">
        <v>0</v>
      </c>
      <c r="AB150" s="349">
        <v>10</v>
      </c>
      <c r="AC150" s="349">
        <v>7</v>
      </c>
      <c r="AD150" s="349">
        <v>8472</v>
      </c>
      <c r="AE150" s="349">
        <v>49</v>
      </c>
      <c r="AF150" s="349">
        <v>121</v>
      </c>
      <c r="AG150" s="349">
        <v>170</v>
      </c>
    </row>
    <row r="151" spans="1:33" x14ac:dyDescent="0.3">
      <c r="A151" s="342" t="s">
        <v>358</v>
      </c>
      <c r="B151" s="342" t="s">
        <v>359</v>
      </c>
      <c r="C151" s="349">
        <v>7214</v>
      </c>
      <c r="D151" s="349">
        <v>0</v>
      </c>
      <c r="E151" s="349">
        <v>972</v>
      </c>
      <c r="F151" s="349">
        <v>1292</v>
      </c>
      <c r="G151" s="349">
        <v>337</v>
      </c>
      <c r="H151" s="346">
        <v>9815</v>
      </c>
      <c r="I151" s="346">
        <v>9478</v>
      </c>
      <c r="J151" s="349">
        <v>4</v>
      </c>
      <c r="K151" s="347">
        <v>83.03</v>
      </c>
      <c r="L151" s="347">
        <v>82.19</v>
      </c>
      <c r="M151" s="347">
        <v>6.01</v>
      </c>
      <c r="N151" s="347">
        <v>87.73</v>
      </c>
      <c r="O151" s="348">
        <v>6052</v>
      </c>
      <c r="P151" s="347">
        <v>80.25</v>
      </c>
      <c r="Q151" s="347">
        <v>75.209999999999994</v>
      </c>
      <c r="R151" s="347">
        <v>55.01</v>
      </c>
      <c r="S151" s="347">
        <v>131.82</v>
      </c>
      <c r="T151" s="348">
        <v>1694</v>
      </c>
      <c r="U151" s="347">
        <v>96.78</v>
      </c>
      <c r="V151" s="348">
        <v>972</v>
      </c>
      <c r="W151" s="347">
        <v>232</v>
      </c>
      <c r="X151" s="348">
        <v>30</v>
      </c>
      <c r="Y151" s="349">
        <v>2</v>
      </c>
      <c r="Z151" s="349">
        <v>7</v>
      </c>
      <c r="AA151" s="349">
        <v>0</v>
      </c>
      <c r="AB151" s="349">
        <v>22</v>
      </c>
      <c r="AC151" s="349">
        <v>2</v>
      </c>
      <c r="AD151" s="349">
        <v>6986</v>
      </c>
      <c r="AE151" s="349">
        <v>48</v>
      </c>
      <c r="AF151" s="349">
        <v>51</v>
      </c>
      <c r="AG151" s="349">
        <v>99</v>
      </c>
    </row>
    <row r="152" spans="1:33" x14ac:dyDescent="0.3">
      <c r="A152" s="342" t="s">
        <v>360</v>
      </c>
      <c r="B152" s="342" t="s">
        <v>361</v>
      </c>
      <c r="C152" s="349">
        <v>2179</v>
      </c>
      <c r="D152" s="349">
        <v>94</v>
      </c>
      <c r="E152" s="349">
        <v>304</v>
      </c>
      <c r="F152" s="349">
        <v>218</v>
      </c>
      <c r="G152" s="349">
        <v>447</v>
      </c>
      <c r="H152" s="346">
        <v>3242</v>
      </c>
      <c r="I152" s="346">
        <v>2795</v>
      </c>
      <c r="J152" s="349">
        <v>14</v>
      </c>
      <c r="K152" s="347">
        <v>130.28</v>
      </c>
      <c r="L152" s="347">
        <v>131.77000000000001</v>
      </c>
      <c r="M152" s="347">
        <v>10.210000000000001</v>
      </c>
      <c r="N152" s="347">
        <v>139.21</v>
      </c>
      <c r="O152" s="348">
        <v>1546</v>
      </c>
      <c r="P152" s="347">
        <v>129.22999999999999</v>
      </c>
      <c r="Q152" s="347">
        <v>104.21</v>
      </c>
      <c r="R152" s="347">
        <v>42.32</v>
      </c>
      <c r="S152" s="347">
        <v>171.55</v>
      </c>
      <c r="T152" s="348">
        <v>333</v>
      </c>
      <c r="U152" s="347">
        <v>223.87</v>
      </c>
      <c r="V152" s="348">
        <v>371</v>
      </c>
      <c r="W152" s="347">
        <v>0</v>
      </c>
      <c r="X152" s="348">
        <v>0</v>
      </c>
      <c r="Y152" s="349">
        <v>0</v>
      </c>
      <c r="Z152" s="349">
        <v>0</v>
      </c>
      <c r="AA152" s="349">
        <v>2</v>
      </c>
      <c r="AB152" s="349">
        <v>39</v>
      </c>
      <c r="AC152" s="349">
        <v>11</v>
      </c>
      <c r="AD152" s="349">
        <v>1914</v>
      </c>
      <c r="AE152" s="349">
        <v>10</v>
      </c>
      <c r="AF152" s="349">
        <v>26</v>
      </c>
      <c r="AG152" s="349">
        <v>36</v>
      </c>
    </row>
    <row r="153" spans="1:33" x14ac:dyDescent="0.3">
      <c r="A153" s="342" t="s">
        <v>362</v>
      </c>
      <c r="B153" s="342" t="s">
        <v>363</v>
      </c>
      <c r="C153" s="349">
        <v>4221</v>
      </c>
      <c r="D153" s="349">
        <v>3</v>
      </c>
      <c r="E153" s="349">
        <v>476</v>
      </c>
      <c r="F153" s="349">
        <v>1304</v>
      </c>
      <c r="G153" s="349">
        <v>395</v>
      </c>
      <c r="H153" s="346">
        <v>6399</v>
      </c>
      <c r="I153" s="346">
        <v>6004</v>
      </c>
      <c r="J153" s="349">
        <v>10</v>
      </c>
      <c r="K153" s="347">
        <v>85.86</v>
      </c>
      <c r="L153" s="347">
        <v>83.33</v>
      </c>
      <c r="M153" s="347">
        <v>4.3499999999999996</v>
      </c>
      <c r="N153" s="347">
        <v>89.16</v>
      </c>
      <c r="O153" s="348">
        <v>3520</v>
      </c>
      <c r="P153" s="347">
        <v>82.39</v>
      </c>
      <c r="Q153" s="347">
        <v>75.59</v>
      </c>
      <c r="R153" s="347">
        <v>41.62</v>
      </c>
      <c r="S153" s="347">
        <v>123.15</v>
      </c>
      <c r="T153" s="348">
        <v>1541</v>
      </c>
      <c r="U153" s="347">
        <v>97.21</v>
      </c>
      <c r="V153" s="348">
        <v>582</v>
      </c>
      <c r="W153" s="347">
        <v>110.16</v>
      </c>
      <c r="X153" s="348">
        <v>38</v>
      </c>
      <c r="Y153" s="349">
        <v>38</v>
      </c>
      <c r="Z153" s="349">
        <v>2</v>
      </c>
      <c r="AA153" s="349">
        <v>7</v>
      </c>
      <c r="AB153" s="349">
        <v>51</v>
      </c>
      <c r="AC153" s="349">
        <v>11</v>
      </c>
      <c r="AD153" s="349">
        <v>4209</v>
      </c>
      <c r="AE153" s="349">
        <v>28</v>
      </c>
      <c r="AF153" s="349">
        <v>6</v>
      </c>
      <c r="AG153" s="349">
        <v>34</v>
      </c>
    </row>
    <row r="154" spans="1:33" x14ac:dyDescent="0.3">
      <c r="A154" s="342" t="s">
        <v>364</v>
      </c>
      <c r="B154" s="342" t="s">
        <v>365</v>
      </c>
      <c r="C154" s="349">
        <v>16110</v>
      </c>
      <c r="D154" s="349">
        <v>0</v>
      </c>
      <c r="E154" s="349">
        <v>803</v>
      </c>
      <c r="F154" s="349">
        <v>1345</v>
      </c>
      <c r="G154" s="349">
        <v>463</v>
      </c>
      <c r="H154" s="346">
        <v>18721</v>
      </c>
      <c r="I154" s="346">
        <v>18258</v>
      </c>
      <c r="J154" s="349">
        <v>0</v>
      </c>
      <c r="K154" s="347">
        <v>84.93</v>
      </c>
      <c r="L154" s="347">
        <v>84.88</v>
      </c>
      <c r="M154" s="347">
        <v>11.74</v>
      </c>
      <c r="N154" s="347">
        <v>87.78</v>
      </c>
      <c r="O154" s="348">
        <v>14534</v>
      </c>
      <c r="P154" s="347">
        <v>86.13</v>
      </c>
      <c r="Q154" s="347">
        <v>75.349999999999994</v>
      </c>
      <c r="R154" s="347">
        <v>33.130000000000003</v>
      </c>
      <c r="S154" s="347">
        <v>118.44</v>
      </c>
      <c r="T154" s="348">
        <v>1586</v>
      </c>
      <c r="U154" s="347">
        <v>108.43</v>
      </c>
      <c r="V154" s="348">
        <v>1288</v>
      </c>
      <c r="W154" s="347">
        <v>154.49</v>
      </c>
      <c r="X154" s="348">
        <v>410</v>
      </c>
      <c r="Y154" s="349">
        <v>0</v>
      </c>
      <c r="Z154" s="349">
        <v>78</v>
      </c>
      <c r="AA154" s="349">
        <v>0</v>
      </c>
      <c r="AB154" s="349">
        <v>48</v>
      </c>
      <c r="AC154" s="349">
        <v>1</v>
      </c>
      <c r="AD154" s="349">
        <v>15948</v>
      </c>
      <c r="AE154" s="349">
        <v>67</v>
      </c>
      <c r="AF154" s="349">
        <v>242</v>
      </c>
      <c r="AG154" s="349">
        <v>309</v>
      </c>
    </row>
    <row r="155" spans="1:33" x14ac:dyDescent="0.3">
      <c r="A155" s="342" t="s">
        <v>366</v>
      </c>
      <c r="B155" s="342" t="s">
        <v>367</v>
      </c>
      <c r="C155" s="349">
        <v>21325</v>
      </c>
      <c r="D155" s="349">
        <v>183</v>
      </c>
      <c r="E155" s="349">
        <v>1913</v>
      </c>
      <c r="F155" s="349">
        <v>1412</v>
      </c>
      <c r="G155" s="349">
        <v>2331</v>
      </c>
      <c r="H155" s="346">
        <v>27164</v>
      </c>
      <c r="I155" s="346">
        <v>24833</v>
      </c>
      <c r="J155" s="349">
        <v>85</v>
      </c>
      <c r="K155" s="347">
        <v>119.78</v>
      </c>
      <c r="L155" s="347">
        <v>127.53</v>
      </c>
      <c r="M155" s="347">
        <v>15.13</v>
      </c>
      <c r="N155" s="347">
        <v>132.5</v>
      </c>
      <c r="O155" s="348">
        <v>18642</v>
      </c>
      <c r="P155" s="347">
        <v>112.15</v>
      </c>
      <c r="Q155" s="347">
        <v>107.66</v>
      </c>
      <c r="R155" s="347">
        <v>53.12</v>
      </c>
      <c r="S155" s="347">
        <v>161.66</v>
      </c>
      <c r="T155" s="348">
        <v>2825</v>
      </c>
      <c r="U155" s="347">
        <v>196.92</v>
      </c>
      <c r="V155" s="348">
        <v>1326</v>
      </c>
      <c r="W155" s="347">
        <v>270.22000000000003</v>
      </c>
      <c r="X155" s="348">
        <v>82</v>
      </c>
      <c r="Y155" s="349">
        <v>2</v>
      </c>
      <c r="Z155" s="349">
        <v>6</v>
      </c>
      <c r="AA155" s="349">
        <v>46</v>
      </c>
      <c r="AB155" s="349">
        <v>62</v>
      </c>
      <c r="AC155" s="349">
        <v>91</v>
      </c>
      <c r="AD155" s="349">
        <v>20181</v>
      </c>
      <c r="AE155" s="349">
        <v>150</v>
      </c>
      <c r="AF155" s="349">
        <v>87</v>
      </c>
      <c r="AG155" s="349">
        <v>237</v>
      </c>
    </row>
    <row r="156" spans="1:33" x14ac:dyDescent="0.3">
      <c r="A156" s="342" t="s">
        <v>368</v>
      </c>
      <c r="B156" s="342" t="s">
        <v>369</v>
      </c>
      <c r="C156" s="349">
        <v>1976</v>
      </c>
      <c r="D156" s="349">
        <v>0</v>
      </c>
      <c r="E156" s="349">
        <v>410</v>
      </c>
      <c r="F156" s="349">
        <v>524</v>
      </c>
      <c r="G156" s="349">
        <v>270</v>
      </c>
      <c r="H156" s="346">
        <v>3180</v>
      </c>
      <c r="I156" s="346">
        <v>2910</v>
      </c>
      <c r="J156" s="349">
        <v>1</v>
      </c>
      <c r="K156" s="347">
        <v>84.54</v>
      </c>
      <c r="L156" s="347">
        <v>81.209999999999994</v>
      </c>
      <c r="M156" s="347">
        <v>5.84</v>
      </c>
      <c r="N156" s="347">
        <v>89.63</v>
      </c>
      <c r="O156" s="348">
        <v>1269</v>
      </c>
      <c r="P156" s="347">
        <v>90.22</v>
      </c>
      <c r="Q156" s="347">
        <v>71.989999999999995</v>
      </c>
      <c r="R156" s="347">
        <v>66.010000000000005</v>
      </c>
      <c r="S156" s="347">
        <v>153.99</v>
      </c>
      <c r="T156" s="348">
        <v>768</v>
      </c>
      <c r="U156" s="347">
        <v>105.66</v>
      </c>
      <c r="V156" s="348">
        <v>635</v>
      </c>
      <c r="W156" s="347">
        <v>282.66000000000003</v>
      </c>
      <c r="X156" s="348">
        <v>32</v>
      </c>
      <c r="Y156" s="349">
        <v>0</v>
      </c>
      <c r="Z156" s="349">
        <v>1</v>
      </c>
      <c r="AA156" s="349">
        <v>2</v>
      </c>
      <c r="AB156" s="349">
        <v>3</v>
      </c>
      <c r="AC156" s="349">
        <v>4</v>
      </c>
      <c r="AD156" s="349">
        <v>1928</v>
      </c>
      <c r="AE156" s="349">
        <v>19</v>
      </c>
      <c r="AF156" s="349">
        <v>7</v>
      </c>
      <c r="AG156" s="349">
        <v>26</v>
      </c>
    </row>
    <row r="157" spans="1:33" x14ac:dyDescent="0.3">
      <c r="A157" s="342" t="s">
        <v>370</v>
      </c>
      <c r="B157" s="342" t="s">
        <v>371</v>
      </c>
      <c r="C157" s="349">
        <v>13324</v>
      </c>
      <c r="D157" s="349">
        <v>8</v>
      </c>
      <c r="E157" s="349">
        <v>1365</v>
      </c>
      <c r="F157" s="349">
        <v>2905</v>
      </c>
      <c r="G157" s="349">
        <v>1488</v>
      </c>
      <c r="H157" s="346">
        <v>19090</v>
      </c>
      <c r="I157" s="346">
        <v>17602</v>
      </c>
      <c r="J157" s="349">
        <v>19</v>
      </c>
      <c r="K157" s="347">
        <v>84.89</v>
      </c>
      <c r="L157" s="347">
        <v>83.16</v>
      </c>
      <c r="M157" s="347">
        <v>6.37</v>
      </c>
      <c r="N157" s="347">
        <v>88.9</v>
      </c>
      <c r="O157" s="348">
        <v>11031</v>
      </c>
      <c r="P157" s="347">
        <v>95.66</v>
      </c>
      <c r="Q157" s="347">
        <v>74.89</v>
      </c>
      <c r="R157" s="347">
        <v>50.36</v>
      </c>
      <c r="S157" s="347">
        <v>144.22</v>
      </c>
      <c r="T157" s="348">
        <v>3384</v>
      </c>
      <c r="U157" s="347">
        <v>108.45</v>
      </c>
      <c r="V157" s="348">
        <v>1437</v>
      </c>
      <c r="W157" s="347">
        <v>139.24</v>
      </c>
      <c r="X157" s="348">
        <v>52</v>
      </c>
      <c r="Y157" s="349">
        <v>32</v>
      </c>
      <c r="Z157" s="349">
        <v>5</v>
      </c>
      <c r="AA157" s="349">
        <v>28</v>
      </c>
      <c r="AB157" s="349">
        <v>144</v>
      </c>
      <c r="AC157" s="349">
        <v>37</v>
      </c>
      <c r="AD157" s="349">
        <v>12951</v>
      </c>
      <c r="AE157" s="349">
        <v>119</v>
      </c>
      <c r="AF157" s="349">
        <v>67</v>
      </c>
      <c r="AG157" s="349">
        <v>186</v>
      </c>
    </row>
    <row r="158" spans="1:33" x14ac:dyDescent="0.3">
      <c r="A158" s="342" t="s">
        <v>372</v>
      </c>
      <c r="B158" s="342" t="s">
        <v>373</v>
      </c>
      <c r="C158" s="349">
        <v>8970</v>
      </c>
      <c r="D158" s="349">
        <v>0</v>
      </c>
      <c r="E158" s="349">
        <v>996</v>
      </c>
      <c r="F158" s="349">
        <v>919</v>
      </c>
      <c r="G158" s="349">
        <v>573</v>
      </c>
      <c r="H158" s="346">
        <v>11458</v>
      </c>
      <c r="I158" s="346">
        <v>10885</v>
      </c>
      <c r="J158" s="349">
        <v>170</v>
      </c>
      <c r="K158" s="347">
        <v>84.64</v>
      </c>
      <c r="L158" s="347">
        <v>82.26</v>
      </c>
      <c r="M158" s="347">
        <v>8.7899999999999991</v>
      </c>
      <c r="N158" s="347">
        <v>90.62</v>
      </c>
      <c r="O158" s="348">
        <v>6991</v>
      </c>
      <c r="P158" s="347">
        <v>88.89</v>
      </c>
      <c r="Q158" s="347">
        <v>75.67</v>
      </c>
      <c r="R158" s="347">
        <v>69.13</v>
      </c>
      <c r="S158" s="347">
        <v>156.41</v>
      </c>
      <c r="T158" s="348">
        <v>1540</v>
      </c>
      <c r="U158" s="347">
        <v>112.1</v>
      </c>
      <c r="V158" s="348">
        <v>1093</v>
      </c>
      <c r="W158" s="347">
        <v>136.76</v>
      </c>
      <c r="X158" s="348">
        <v>86</v>
      </c>
      <c r="Y158" s="349">
        <v>15</v>
      </c>
      <c r="Z158" s="349">
        <v>10</v>
      </c>
      <c r="AA158" s="349">
        <v>3</v>
      </c>
      <c r="AB158" s="349">
        <v>28</v>
      </c>
      <c r="AC158" s="349">
        <v>18</v>
      </c>
      <c r="AD158" s="349">
        <v>8251</v>
      </c>
      <c r="AE158" s="349">
        <v>30</v>
      </c>
      <c r="AF158" s="349">
        <v>82</v>
      </c>
      <c r="AG158" s="349">
        <v>112</v>
      </c>
    </row>
    <row r="159" spans="1:33" x14ac:dyDescent="0.3">
      <c r="A159" s="342" t="s">
        <v>374</v>
      </c>
      <c r="B159" s="342" t="s">
        <v>375</v>
      </c>
      <c r="C159" s="349">
        <v>1091</v>
      </c>
      <c r="D159" s="349">
        <v>0</v>
      </c>
      <c r="E159" s="349">
        <v>174</v>
      </c>
      <c r="F159" s="349">
        <v>427</v>
      </c>
      <c r="G159" s="349">
        <v>330</v>
      </c>
      <c r="H159" s="346">
        <v>2022</v>
      </c>
      <c r="I159" s="346">
        <v>1692</v>
      </c>
      <c r="J159" s="349">
        <v>17</v>
      </c>
      <c r="K159" s="347">
        <v>95.03</v>
      </c>
      <c r="L159" s="347">
        <v>93.56</v>
      </c>
      <c r="M159" s="347">
        <v>6.44</v>
      </c>
      <c r="N159" s="347">
        <v>100.67</v>
      </c>
      <c r="O159" s="348">
        <v>864</v>
      </c>
      <c r="P159" s="347">
        <v>84.24</v>
      </c>
      <c r="Q159" s="347">
        <v>79.12</v>
      </c>
      <c r="R159" s="347">
        <v>55.97</v>
      </c>
      <c r="S159" s="347">
        <v>139.49</v>
      </c>
      <c r="T159" s="348">
        <v>312</v>
      </c>
      <c r="U159" s="347">
        <v>167.99</v>
      </c>
      <c r="V159" s="348">
        <v>203</v>
      </c>
      <c r="W159" s="347">
        <v>145.37</v>
      </c>
      <c r="X159" s="348">
        <v>9</v>
      </c>
      <c r="Y159" s="349">
        <v>22</v>
      </c>
      <c r="Z159" s="349">
        <v>1</v>
      </c>
      <c r="AA159" s="349">
        <v>0</v>
      </c>
      <c r="AB159" s="349">
        <v>30</v>
      </c>
      <c r="AC159" s="349">
        <v>6</v>
      </c>
      <c r="AD159" s="349">
        <v>1077</v>
      </c>
      <c r="AE159" s="349">
        <v>25</v>
      </c>
      <c r="AF159" s="349">
        <v>0</v>
      </c>
      <c r="AG159" s="349">
        <v>25</v>
      </c>
    </row>
    <row r="160" spans="1:33" x14ac:dyDescent="0.3">
      <c r="A160" s="342" t="s">
        <v>376</v>
      </c>
      <c r="B160" s="342" t="s">
        <v>377</v>
      </c>
      <c r="C160" s="349">
        <v>20896</v>
      </c>
      <c r="D160" s="349">
        <v>164</v>
      </c>
      <c r="E160" s="349">
        <v>1493</v>
      </c>
      <c r="F160" s="349">
        <v>685</v>
      </c>
      <c r="G160" s="349">
        <v>1963</v>
      </c>
      <c r="H160" s="346">
        <v>25201</v>
      </c>
      <c r="I160" s="346">
        <v>23238</v>
      </c>
      <c r="J160" s="349">
        <v>155</v>
      </c>
      <c r="K160" s="347">
        <v>110.96</v>
      </c>
      <c r="L160" s="347">
        <v>113.71</v>
      </c>
      <c r="M160" s="347">
        <v>10.78</v>
      </c>
      <c r="N160" s="347">
        <v>117.61</v>
      </c>
      <c r="O160" s="348">
        <v>18322</v>
      </c>
      <c r="P160" s="347">
        <v>108.19</v>
      </c>
      <c r="Q160" s="347">
        <v>104.14</v>
      </c>
      <c r="R160" s="347">
        <v>82.92</v>
      </c>
      <c r="S160" s="347">
        <v>187.23</v>
      </c>
      <c r="T160" s="348">
        <v>1706</v>
      </c>
      <c r="U160" s="347">
        <v>180.35</v>
      </c>
      <c r="V160" s="348">
        <v>1556</v>
      </c>
      <c r="W160" s="347">
        <v>280.63</v>
      </c>
      <c r="X160" s="348">
        <v>181</v>
      </c>
      <c r="Y160" s="349">
        <v>14</v>
      </c>
      <c r="Z160" s="349">
        <v>16</v>
      </c>
      <c r="AA160" s="349">
        <v>39</v>
      </c>
      <c r="AB160" s="349">
        <v>25</v>
      </c>
      <c r="AC160" s="349">
        <v>62</v>
      </c>
      <c r="AD160" s="349">
        <v>20022</v>
      </c>
      <c r="AE160" s="349">
        <v>192</v>
      </c>
      <c r="AF160" s="349">
        <v>100</v>
      </c>
      <c r="AG160" s="349">
        <v>292</v>
      </c>
    </row>
    <row r="161" spans="1:33" x14ac:dyDescent="0.3">
      <c r="A161" s="342" t="s">
        <v>378</v>
      </c>
      <c r="B161" s="342" t="s">
        <v>379</v>
      </c>
      <c r="C161" s="349">
        <v>5541</v>
      </c>
      <c r="D161" s="349">
        <v>15</v>
      </c>
      <c r="E161" s="349">
        <v>111</v>
      </c>
      <c r="F161" s="349">
        <v>268</v>
      </c>
      <c r="G161" s="349">
        <v>408</v>
      </c>
      <c r="H161" s="346">
        <v>6343</v>
      </c>
      <c r="I161" s="346">
        <v>5935</v>
      </c>
      <c r="J161" s="349">
        <v>1</v>
      </c>
      <c r="K161" s="347">
        <v>89.65</v>
      </c>
      <c r="L161" s="347">
        <v>86.03</v>
      </c>
      <c r="M161" s="347">
        <v>3.1</v>
      </c>
      <c r="N161" s="347">
        <v>91.93</v>
      </c>
      <c r="O161" s="348">
        <v>5017</v>
      </c>
      <c r="P161" s="347">
        <v>101.9</v>
      </c>
      <c r="Q161" s="347">
        <v>91.64</v>
      </c>
      <c r="R161" s="347">
        <v>35.909999999999997</v>
      </c>
      <c r="S161" s="347">
        <v>137.81</v>
      </c>
      <c r="T161" s="348">
        <v>378</v>
      </c>
      <c r="U161" s="347">
        <v>112.52</v>
      </c>
      <c r="V161" s="348">
        <v>516</v>
      </c>
      <c r="W161" s="347">
        <v>0</v>
      </c>
      <c r="X161" s="348">
        <v>0</v>
      </c>
      <c r="Y161" s="349">
        <v>0</v>
      </c>
      <c r="Z161" s="349">
        <v>8</v>
      </c>
      <c r="AA161" s="349">
        <v>7</v>
      </c>
      <c r="AB161" s="349">
        <v>57</v>
      </c>
      <c r="AC161" s="349">
        <v>8</v>
      </c>
      <c r="AD161" s="349">
        <v>5539</v>
      </c>
      <c r="AE161" s="349">
        <v>29</v>
      </c>
      <c r="AF161" s="349">
        <v>26</v>
      </c>
      <c r="AG161" s="349">
        <v>55</v>
      </c>
    </row>
    <row r="162" spans="1:33" x14ac:dyDescent="0.3">
      <c r="A162" s="342" t="s">
        <v>380</v>
      </c>
      <c r="B162" s="342" t="s">
        <v>381</v>
      </c>
      <c r="C162" s="349">
        <v>1332</v>
      </c>
      <c r="D162" s="349">
        <v>0</v>
      </c>
      <c r="E162" s="349">
        <v>462</v>
      </c>
      <c r="F162" s="349">
        <v>148</v>
      </c>
      <c r="G162" s="349">
        <v>303</v>
      </c>
      <c r="H162" s="346">
        <v>2245</v>
      </c>
      <c r="I162" s="346">
        <v>1942</v>
      </c>
      <c r="J162" s="349">
        <v>15</v>
      </c>
      <c r="K162" s="347">
        <v>81.459999999999994</v>
      </c>
      <c r="L162" s="347">
        <v>78.42</v>
      </c>
      <c r="M162" s="347">
        <v>9.36</v>
      </c>
      <c r="N162" s="347">
        <v>88.52</v>
      </c>
      <c r="O162" s="348">
        <v>1018</v>
      </c>
      <c r="P162" s="347">
        <v>91.55</v>
      </c>
      <c r="Q162" s="347">
        <v>80.44</v>
      </c>
      <c r="R162" s="347">
        <v>113.79</v>
      </c>
      <c r="S162" s="347">
        <v>205.34</v>
      </c>
      <c r="T162" s="348">
        <v>281</v>
      </c>
      <c r="U162" s="347">
        <v>101.94</v>
      </c>
      <c r="V162" s="348">
        <v>214</v>
      </c>
      <c r="W162" s="347">
        <v>299.22000000000003</v>
      </c>
      <c r="X162" s="348">
        <v>31</v>
      </c>
      <c r="Y162" s="349">
        <v>15</v>
      </c>
      <c r="Z162" s="349">
        <v>0</v>
      </c>
      <c r="AA162" s="349">
        <v>0</v>
      </c>
      <c r="AB162" s="349">
        <v>103</v>
      </c>
      <c r="AC162" s="349">
        <v>6</v>
      </c>
      <c r="AD162" s="349">
        <v>1299</v>
      </c>
      <c r="AE162" s="349">
        <v>15</v>
      </c>
      <c r="AF162" s="349">
        <v>9</v>
      </c>
      <c r="AG162" s="349">
        <v>24</v>
      </c>
    </row>
    <row r="163" spans="1:33" x14ac:dyDescent="0.3">
      <c r="A163" s="342" t="s">
        <v>382</v>
      </c>
      <c r="B163" s="342" t="s">
        <v>383</v>
      </c>
      <c r="C163" s="349">
        <v>52156</v>
      </c>
      <c r="D163" s="349">
        <v>13</v>
      </c>
      <c r="E163" s="349">
        <v>2435</v>
      </c>
      <c r="F163" s="349">
        <v>3782</v>
      </c>
      <c r="G163" s="349">
        <v>848</v>
      </c>
      <c r="H163" s="346">
        <v>59234</v>
      </c>
      <c r="I163" s="346">
        <v>58386</v>
      </c>
      <c r="J163" s="349">
        <v>35</v>
      </c>
      <c r="K163" s="347">
        <v>84.51</v>
      </c>
      <c r="L163" s="347">
        <v>83.26</v>
      </c>
      <c r="M163" s="347">
        <v>9.6300000000000008</v>
      </c>
      <c r="N163" s="347">
        <v>87.13</v>
      </c>
      <c r="O163" s="348">
        <v>43600</v>
      </c>
      <c r="P163" s="347">
        <v>87.26</v>
      </c>
      <c r="Q163" s="347">
        <v>76.47</v>
      </c>
      <c r="R163" s="347">
        <v>48.83</v>
      </c>
      <c r="S163" s="347">
        <v>134.78</v>
      </c>
      <c r="T163" s="348">
        <v>4941</v>
      </c>
      <c r="U163" s="347">
        <v>103.68</v>
      </c>
      <c r="V163" s="348">
        <v>5805</v>
      </c>
      <c r="W163" s="347">
        <v>145.62</v>
      </c>
      <c r="X163" s="348">
        <v>136</v>
      </c>
      <c r="Y163" s="349">
        <v>0</v>
      </c>
      <c r="Z163" s="349">
        <v>146</v>
      </c>
      <c r="AA163" s="349">
        <v>20</v>
      </c>
      <c r="AB163" s="349">
        <v>16</v>
      </c>
      <c r="AC163" s="349">
        <v>17</v>
      </c>
      <c r="AD163" s="349">
        <v>49588</v>
      </c>
      <c r="AE163" s="349">
        <v>242</v>
      </c>
      <c r="AF163" s="349">
        <v>330</v>
      </c>
      <c r="AG163" s="349">
        <v>572</v>
      </c>
    </row>
    <row r="164" spans="1:33" x14ac:dyDescent="0.3">
      <c r="A164" s="342" t="s">
        <v>384</v>
      </c>
      <c r="B164" s="342" t="s">
        <v>385</v>
      </c>
      <c r="C164" s="349">
        <v>3925</v>
      </c>
      <c r="D164" s="349">
        <v>171</v>
      </c>
      <c r="E164" s="349">
        <v>378</v>
      </c>
      <c r="F164" s="349">
        <v>392</v>
      </c>
      <c r="G164" s="349">
        <v>317</v>
      </c>
      <c r="H164" s="346">
        <v>5183</v>
      </c>
      <c r="I164" s="346">
        <v>4866</v>
      </c>
      <c r="J164" s="349">
        <v>2</v>
      </c>
      <c r="K164" s="347">
        <v>101.95</v>
      </c>
      <c r="L164" s="347">
        <v>101.25</v>
      </c>
      <c r="M164" s="347">
        <v>6.46</v>
      </c>
      <c r="N164" s="347">
        <v>106.78</v>
      </c>
      <c r="O164" s="348">
        <v>2794</v>
      </c>
      <c r="P164" s="347">
        <v>101.83</v>
      </c>
      <c r="Q164" s="347">
        <v>97.26</v>
      </c>
      <c r="R164" s="347">
        <v>48.83</v>
      </c>
      <c r="S164" s="347">
        <v>148.97</v>
      </c>
      <c r="T164" s="348">
        <v>433</v>
      </c>
      <c r="U164" s="347">
        <v>143.35</v>
      </c>
      <c r="V164" s="348">
        <v>624</v>
      </c>
      <c r="W164" s="347">
        <v>139.29</v>
      </c>
      <c r="X164" s="348">
        <v>13</v>
      </c>
      <c r="Y164" s="349">
        <v>16</v>
      </c>
      <c r="Z164" s="349">
        <v>4</v>
      </c>
      <c r="AA164" s="349">
        <v>2</v>
      </c>
      <c r="AB164" s="349">
        <v>61</v>
      </c>
      <c r="AC164" s="349">
        <v>3</v>
      </c>
      <c r="AD164" s="349">
        <v>3550</v>
      </c>
      <c r="AE164" s="349">
        <v>12</v>
      </c>
      <c r="AF164" s="349">
        <v>7</v>
      </c>
      <c r="AG164" s="349">
        <v>19</v>
      </c>
    </row>
    <row r="165" spans="1:33" x14ac:dyDescent="0.3">
      <c r="A165" s="342" t="s">
        <v>386</v>
      </c>
      <c r="B165" s="342" t="s">
        <v>387</v>
      </c>
      <c r="C165" s="349">
        <v>8150</v>
      </c>
      <c r="D165" s="349">
        <v>0</v>
      </c>
      <c r="E165" s="349">
        <v>299</v>
      </c>
      <c r="F165" s="349">
        <v>1149</v>
      </c>
      <c r="G165" s="349">
        <v>1157</v>
      </c>
      <c r="H165" s="346">
        <v>10755</v>
      </c>
      <c r="I165" s="346">
        <v>9598</v>
      </c>
      <c r="J165" s="349">
        <v>41</v>
      </c>
      <c r="K165" s="347">
        <v>97.5</v>
      </c>
      <c r="L165" s="347">
        <v>96.38</v>
      </c>
      <c r="M165" s="347">
        <v>7.33</v>
      </c>
      <c r="N165" s="347">
        <v>103.13</v>
      </c>
      <c r="O165" s="348">
        <v>6032</v>
      </c>
      <c r="P165" s="347">
        <v>89.59</v>
      </c>
      <c r="Q165" s="347">
        <v>86.61</v>
      </c>
      <c r="R165" s="347">
        <v>22.33</v>
      </c>
      <c r="S165" s="347">
        <v>111.19</v>
      </c>
      <c r="T165" s="348">
        <v>1257</v>
      </c>
      <c r="U165" s="347">
        <v>161.1</v>
      </c>
      <c r="V165" s="348">
        <v>1760</v>
      </c>
      <c r="W165" s="347">
        <v>199.75</v>
      </c>
      <c r="X165" s="348">
        <v>70</v>
      </c>
      <c r="Y165" s="349">
        <v>94</v>
      </c>
      <c r="Z165" s="349">
        <v>6</v>
      </c>
      <c r="AA165" s="349">
        <v>0</v>
      </c>
      <c r="AB165" s="349">
        <v>199</v>
      </c>
      <c r="AC165" s="349">
        <v>19</v>
      </c>
      <c r="AD165" s="349">
        <v>7702</v>
      </c>
      <c r="AE165" s="349">
        <v>81</v>
      </c>
      <c r="AF165" s="349">
        <v>8</v>
      </c>
      <c r="AG165" s="349">
        <v>89</v>
      </c>
    </row>
    <row r="166" spans="1:33" x14ac:dyDescent="0.3">
      <c r="A166" s="342" t="s">
        <v>388</v>
      </c>
      <c r="B166" s="342" t="s">
        <v>389</v>
      </c>
      <c r="C166" s="349">
        <v>2391</v>
      </c>
      <c r="D166" s="349">
        <v>0</v>
      </c>
      <c r="E166" s="349">
        <v>32</v>
      </c>
      <c r="F166" s="349">
        <v>811</v>
      </c>
      <c r="G166" s="349">
        <v>170</v>
      </c>
      <c r="H166" s="346">
        <v>3404</v>
      </c>
      <c r="I166" s="346">
        <v>3234</v>
      </c>
      <c r="J166" s="349">
        <v>0</v>
      </c>
      <c r="K166" s="347">
        <v>104.35</v>
      </c>
      <c r="L166" s="347">
        <v>103.6</v>
      </c>
      <c r="M166" s="347">
        <v>4.3899999999999997</v>
      </c>
      <c r="N166" s="347">
        <v>107.08</v>
      </c>
      <c r="O166" s="348">
        <v>1943</v>
      </c>
      <c r="P166" s="347">
        <v>88.04</v>
      </c>
      <c r="Q166" s="347">
        <v>87.41</v>
      </c>
      <c r="R166" s="347">
        <v>14.81</v>
      </c>
      <c r="S166" s="347">
        <v>102.43</v>
      </c>
      <c r="T166" s="348">
        <v>765</v>
      </c>
      <c r="U166" s="347">
        <v>143.49</v>
      </c>
      <c r="V166" s="348">
        <v>435</v>
      </c>
      <c r="W166" s="347">
        <v>114.76</v>
      </c>
      <c r="X166" s="348">
        <v>1</v>
      </c>
      <c r="Y166" s="349">
        <v>0</v>
      </c>
      <c r="Z166" s="349">
        <v>1</v>
      </c>
      <c r="AA166" s="349">
        <v>0</v>
      </c>
      <c r="AB166" s="349">
        <v>37</v>
      </c>
      <c r="AC166" s="349">
        <v>1</v>
      </c>
      <c r="AD166" s="349">
        <v>2378</v>
      </c>
      <c r="AE166" s="349">
        <v>30</v>
      </c>
      <c r="AF166" s="349">
        <v>15</v>
      </c>
      <c r="AG166" s="349">
        <v>45</v>
      </c>
    </row>
    <row r="167" spans="1:33" x14ac:dyDescent="0.3">
      <c r="A167" s="342" t="s">
        <v>390</v>
      </c>
      <c r="B167" s="342" t="s">
        <v>391</v>
      </c>
      <c r="C167" s="349">
        <v>4483</v>
      </c>
      <c r="D167" s="349">
        <v>0</v>
      </c>
      <c r="E167" s="349">
        <v>65</v>
      </c>
      <c r="F167" s="349">
        <v>594</v>
      </c>
      <c r="G167" s="349">
        <v>433</v>
      </c>
      <c r="H167" s="346">
        <v>5575</v>
      </c>
      <c r="I167" s="346">
        <v>5142</v>
      </c>
      <c r="J167" s="349">
        <v>1</v>
      </c>
      <c r="K167" s="347">
        <v>97.41</v>
      </c>
      <c r="L167" s="347">
        <v>97.14</v>
      </c>
      <c r="M167" s="347">
        <v>4.0199999999999996</v>
      </c>
      <c r="N167" s="347">
        <v>101.09</v>
      </c>
      <c r="O167" s="348">
        <v>4051</v>
      </c>
      <c r="P167" s="347">
        <v>91.2</v>
      </c>
      <c r="Q167" s="347">
        <v>92.34</v>
      </c>
      <c r="R167" s="347">
        <v>30.54</v>
      </c>
      <c r="S167" s="347">
        <v>121.48</v>
      </c>
      <c r="T167" s="348">
        <v>599</v>
      </c>
      <c r="U167" s="347">
        <v>115.71</v>
      </c>
      <c r="V167" s="348">
        <v>343</v>
      </c>
      <c r="W167" s="347">
        <v>191.87</v>
      </c>
      <c r="X167" s="348">
        <v>60</v>
      </c>
      <c r="Y167" s="349">
        <v>0</v>
      </c>
      <c r="Z167" s="349">
        <v>3</v>
      </c>
      <c r="AA167" s="349">
        <v>1</v>
      </c>
      <c r="AB167" s="349">
        <v>64</v>
      </c>
      <c r="AC167" s="349">
        <v>4</v>
      </c>
      <c r="AD167" s="349">
        <v>4464</v>
      </c>
      <c r="AE167" s="349">
        <v>30</v>
      </c>
      <c r="AF167" s="349">
        <v>8</v>
      </c>
      <c r="AG167" s="349">
        <v>38</v>
      </c>
    </row>
    <row r="168" spans="1:33" x14ac:dyDescent="0.3">
      <c r="A168" s="342" t="s">
        <v>392</v>
      </c>
      <c r="B168" s="342" t="s">
        <v>393</v>
      </c>
      <c r="C168" s="349">
        <v>46153</v>
      </c>
      <c r="D168" s="349">
        <v>157</v>
      </c>
      <c r="E168" s="349">
        <v>1768</v>
      </c>
      <c r="F168" s="349">
        <v>3165</v>
      </c>
      <c r="G168" s="349">
        <v>1506</v>
      </c>
      <c r="H168" s="346">
        <v>52749</v>
      </c>
      <c r="I168" s="346">
        <v>51243</v>
      </c>
      <c r="J168" s="349">
        <v>12</v>
      </c>
      <c r="K168" s="347">
        <v>82.14</v>
      </c>
      <c r="L168" s="347">
        <v>82.94</v>
      </c>
      <c r="M168" s="347">
        <v>5.33</v>
      </c>
      <c r="N168" s="347">
        <v>84.24</v>
      </c>
      <c r="O168" s="348">
        <v>42180</v>
      </c>
      <c r="P168" s="347">
        <v>80.38</v>
      </c>
      <c r="Q168" s="347">
        <v>75.2</v>
      </c>
      <c r="R168" s="347">
        <v>46.48</v>
      </c>
      <c r="S168" s="347">
        <v>124.67</v>
      </c>
      <c r="T168" s="348">
        <v>4516</v>
      </c>
      <c r="U168" s="347">
        <v>111.99</v>
      </c>
      <c r="V168" s="348">
        <v>3120</v>
      </c>
      <c r="W168" s="347">
        <v>132.69999999999999</v>
      </c>
      <c r="X168" s="348">
        <v>104</v>
      </c>
      <c r="Y168" s="349">
        <v>6</v>
      </c>
      <c r="Z168" s="349">
        <v>133</v>
      </c>
      <c r="AA168" s="349">
        <v>7</v>
      </c>
      <c r="AB168" s="349">
        <v>110</v>
      </c>
      <c r="AC168" s="349">
        <v>27</v>
      </c>
      <c r="AD168" s="349">
        <v>45628</v>
      </c>
      <c r="AE168" s="349">
        <v>369</v>
      </c>
      <c r="AF168" s="349">
        <v>172</v>
      </c>
      <c r="AG168" s="349">
        <v>541</v>
      </c>
    </row>
    <row r="169" spans="1:33" x14ac:dyDescent="0.3">
      <c r="A169" s="342" t="s">
        <v>394</v>
      </c>
      <c r="B169" s="342" t="s">
        <v>395</v>
      </c>
      <c r="C169" s="349">
        <v>1731</v>
      </c>
      <c r="D169" s="349">
        <v>0</v>
      </c>
      <c r="E169" s="349">
        <v>359</v>
      </c>
      <c r="F169" s="349">
        <v>232</v>
      </c>
      <c r="G169" s="349">
        <v>131</v>
      </c>
      <c r="H169" s="346">
        <v>2453</v>
      </c>
      <c r="I169" s="346">
        <v>2322</v>
      </c>
      <c r="J169" s="349">
        <v>10</v>
      </c>
      <c r="K169" s="347">
        <v>82.49</v>
      </c>
      <c r="L169" s="347">
        <v>80.14</v>
      </c>
      <c r="M169" s="347">
        <v>5.89</v>
      </c>
      <c r="N169" s="347">
        <v>85.43</v>
      </c>
      <c r="O169" s="348">
        <v>1626</v>
      </c>
      <c r="P169" s="347">
        <v>109.97</v>
      </c>
      <c r="Q169" s="347">
        <v>77.650000000000006</v>
      </c>
      <c r="R169" s="347">
        <v>91.26</v>
      </c>
      <c r="S169" s="347">
        <v>200.07</v>
      </c>
      <c r="T169" s="348">
        <v>394</v>
      </c>
      <c r="U169" s="347">
        <v>97.9</v>
      </c>
      <c r="V169" s="348">
        <v>100</v>
      </c>
      <c r="W169" s="347">
        <v>0</v>
      </c>
      <c r="X169" s="348">
        <v>0</v>
      </c>
      <c r="Y169" s="349">
        <v>0</v>
      </c>
      <c r="Z169" s="349">
        <v>1</v>
      </c>
      <c r="AA169" s="349">
        <v>11</v>
      </c>
      <c r="AB169" s="349">
        <v>8</v>
      </c>
      <c r="AC169" s="349">
        <v>4</v>
      </c>
      <c r="AD169" s="349">
        <v>1718</v>
      </c>
      <c r="AE169" s="349">
        <v>3</v>
      </c>
      <c r="AF169" s="349">
        <v>10</v>
      </c>
      <c r="AG169" s="349">
        <v>13</v>
      </c>
    </row>
    <row r="170" spans="1:33" x14ac:dyDescent="0.3">
      <c r="A170" s="342" t="s">
        <v>396</v>
      </c>
      <c r="B170" s="342" t="s">
        <v>397</v>
      </c>
      <c r="C170" s="349">
        <v>4000</v>
      </c>
      <c r="D170" s="349">
        <v>1</v>
      </c>
      <c r="E170" s="349">
        <v>375</v>
      </c>
      <c r="F170" s="349">
        <v>897</v>
      </c>
      <c r="G170" s="349">
        <v>1430</v>
      </c>
      <c r="H170" s="346">
        <v>6703</v>
      </c>
      <c r="I170" s="346">
        <v>5273</v>
      </c>
      <c r="J170" s="349">
        <v>192</v>
      </c>
      <c r="K170" s="347">
        <v>101.21</v>
      </c>
      <c r="L170" s="347">
        <v>97.98</v>
      </c>
      <c r="M170" s="347">
        <v>8.1</v>
      </c>
      <c r="N170" s="347">
        <v>107.8</v>
      </c>
      <c r="O170" s="348">
        <v>2841</v>
      </c>
      <c r="P170" s="347">
        <v>96.44</v>
      </c>
      <c r="Q170" s="347">
        <v>86.14</v>
      </c>
      <c r="R170" s="347">
        <v>41.77</v>
      </c>
      <c r="S170" s="347">
        <v>137.85</v>
      </c>
      <c r="T170" s="348">
        <v>1034</v>
      </c>
      <c r="U170" s="347">
        <v>133.47999999999999</v>
      </c>
      <c r="V170" s="348">
        <v>807</v>
      </c>
      <c r="W170" s="347">
        <v>175.66</v>
      </c>
      <c r="X170" s="348">
        <v>61</v>
      </c>
      <c r="Y170" s="349">
        <v>0</v>
      </c>
      <c r="Z170" s="349">
        <v>0</v>
      </c>
      <c r="AA170" s="349">
        <v>2</v>
      </c>
      <c r="AB170" s="349">
        <v>57</v>
      </c>
      <c r="AC170" s="349">
        <v>20</v>
      </c>
      <c r="AD170" s="349">
        <v>3612</v>
      </c>
      <c r="AE170" s="349">
        <v>37</v>
      </c>
      <c r="AF170" s="349">
        <v>18</v>
      </c>
      <c r="AG170" s="349">
        <v>55</v>
      </c>
    </row>
    <row r="171" spans="1:33" x14ac:dyDescent="0.3">
      <c r="A171" s="342" t="s">
        <v>398</v>
      </c>
      <c r="B171" s="342" t="s">
        <v>399</v>
      </c>
      <c r="C171" s="349">
        <v>625</v>
      </c>
      <c r="D171" s="349">
        <v>0</v>
      </c>
      <c r="E171" s="349">
        <v>39</v>
      </c>
      <c r="F171" s="349">
        <v>77</v>
      </c>
      <c r="G171" s="349">
        <v>228</v>
      </c>
      <c r="H171" s="346">
        <v>969</v>
      </c>
      <c r="I171" s="346">
        <v>741</v>
      </c>
      <c r="J171" s="349">
        <v>0</v>
      </c>
      <c r="K171" s="347">
        <v>93.26</v>
      </c>
      <c r="L171" s="347">
        <v>90.35</v>
      </c>
      <c r="M171" s="347">
        <v>2.74</v>
      </c>
      <c r="N171" s="347">
        <v>95.39</v>
      </c>
      <c r="O171" s="348">
        <v>399</v>
      </c>
      <c r="P171" s="347">
        <v>92.77</v>
      </c>
      <c r="Q171" s="347">
        <v>84.73</v>
      </c>
      <c r="R171" s="347">
        <v>75.73</v>
      </c>
      <c r="S171" s="347">
        <v>167.19</v>
      </c>
      <c r="T171" s="348">
        <v>116</v>
      </c>
      <c r="U171" s="347">
        <v>108.14</v>
      </c>
      <c r="V171" s="348">
        <v>205</v>
      </c>
      <c r="W171" s="347">
        <v>0</v>
      </c>
      <c r="X171" s="348">
        <v>0</v>
      </c>
      <c r="Y171" s="349">
        <v>0</v>
      </c>
      <c r="Z171" s="349">
        <v>0</v>
      </c>
      <c r="AA171" s="349">
        <v>10</v>
      </c>
      <c r="AB171" s="349">
        <v>24</v>
      </c>
      <c r="AC171" s="349">
        <v>2</v>
      </c>
      <c r="AD171" s="349">
        <v>624</v>
      </c>
      <c r="AE171" s="349">
        <v>1</v>
      </c>
      <c r="AF171" s="349">
        <v>0</v>
      </c>
      <c r="AG171" s="349">
        <v>1</v>
      </c>
    </row>
    <row r="172" spans="1:33" x14ac:dyDescent="0.3">
      <c r="A172" s="342" t="s">
        <v>400</v>
      </c>
      <c r="B172" s="342" t="s">
        <v>401</v>
      </c>
      <c r="C172" s="349">
        <v>5159</v>
      </c>
      <c r="D172" s="349">
        <v>0</v>
      </c>
      <c r="E172" s="349">
        <v>286</v>
      </c>
      <c r="F172" s="349">
        <v>1011</v>
      </c>
      <c r="G172" s="349">
        <v>571</v>
      </c>
      <c r="H172" s="346">
        <v>7027</v>
      </c>
      <c r="I172" s="346">
        <v>6456</v>
      </c>
      <c r="J172" s="349">
        <v>84</v>
      </c>
      <c r="K172" s="347">
        <v>94.28</v>
      </c>
      <c r="L172" s="347">
        <v>93.41</v>
      </c>
      <c r="M172" s="347">
        <v>4.24</v>
      </c>
      <c r="N172" s="347">
        <v>96.45</v>
      </c>
      <c r="O172" s="348">
        <v>4316</v>
      </c>
      <c r="P172" s="347">
        <v>87.44</v>
      </c>
      <c r="Q172" s="347">
        <v>84.43</v>
      </c>
      <c r="R172" s="347">
        <v>32.880000000000003</v>
      </c>
      <c r="S172" s="347">
        <v>120.14</v>
      </c>
      <c r="T172" s="348">
        <v>1092</v>
      </c>
      <c r="U172" s="347">
        <v>118.06</v>
      </c>
      <c r="V172" s="348">
        <v>746</v>
      </c>
      <c r="W172" s="347">
        <v>108.23</v>
      </c>
      <c r="X172" s="348">
        <v>49</v>
      </c>
      <c r="Y172" s="349">
        <v>0</v>
      </c>
      <c r="Z172" s="349">
        <v>12</v>
      </c>
      <c r="AA172" s="349">
        <v>28</v>
      </c>
      <c r="AB172" s="349">
        <v>45</v>
      </c>
      <c r="AC172" s="349">
        <v>7</v>
      </c>
      <c r="AD172" s="349">
        <v>5065</v>
      </c>
      <c r="AE172" s="349">
        <v>11</v>
      </c>
      <c r="AF172" s="349">
        <v>31</v>
      </c>
      <c r="AG172" s="349">
        <v>42</v>
      </c>
    </row>
    <row r="173" spans="1:33" x14ac:dyDescent="0.3">
      <c r="A173" s="342" t="s">
        <v>402</v>
      </c>
      <c r="B173" s="342" t="s">
        <v>403</v>
      </c>
      <c r="C173" s="349">
        <v>10288</v>
      </c>
      <c r="D173" s="349">
        <v>23</v>
      </c>
      <c r="E173" s="349">
        <v>406</v>
      </c>
      <c r="F173" s="349">
        <v>790</v>
      </c>
      <c r="G173" s="349">
        <v>879</v>
      </c>
      <c r="H173" s="346">
        <v>12386</v>
      </c>
      <c r="I173" s="346">
        <v>11507</v>
      </c>
      <c r="J173" s="349">
        <v>118</v>
      </c>
      <c r="K173" s="347">
        <v>117.14</v>
      </c>
      <c r="L173" s="347">
        <v>115.74</v>
      </c>
      <c r="M173" s="347">
        <v>9.66</v>
      </c>
      <c r="N173" s="347">
        <v>123.53</v>
      </c>
      <c r="O173" s="348">
        <v>9041</v>
      </c>
      <c r="P173" s="347">
        <v>108.72</v>
      </c>
      <c r="Q173" s="347">
        <v>103.23</v>
      </c>
      <c r="R173" s="347">
        <v>38.11</v>
      </c>
      <c r="S173" s="347">
        <v>145.6</v>
      </c>
      <c r="T173" s="348">
        <v>896</v>
      </c>
      <c r="U173" s="347">
        <v>161.96</v>
      </c>
      <c r="V173" s="348">
        <v>1070</v>
      </c>
      <c r="W173" s="347">
        <v>268.56</v>
      </c>
      <c r="X173" s="348">
        <v>37</v>
      </c>
      <c r="Y173" s="349">
        <v>0</v>
      </c>
      <c r="Z173" s="349">
        <v>15</v>
      </c>
      <c r="AA173" s="349">
        <v>6</v>
      </c>
      <c r="AB173" s="349">
        <v>91</v>
      </c>
      <c r="AC173" s="349">
        <v>29</v>
      </c>
      <c r="AD173" s="349">
        <v>10199</v>
      </c>
      <c r="AE173" s="349">
        <v>63</v>
      </c>
      <c r="AF173" s="349">
        <v>82</v>
      </c>
      <c r="AG173" s="349">
        <v>145</v>
      </c>
    </row>
    <row r="174" spans="1:33" x14ac:dyDescent="0.3">
      <c r="A174" s="342" t="s">
        <v>404</v>
      </c>
      <c r="B174" s="342" t="s">
        <v>405</v>
      </c>
      <c r="C174" s="349">
        <v>1205</v>
      </c>
      <c r="D174" s="349">
        <v>0</v>
      </c>
      <c r="E174" s="349">
        <v>34</v>
      </c>
      <c r="F174" s="349">
        <v>283</v>
      </c>
      <c r="G174" s="349">
        <v>283</v>
      </c>
      <c r="H174" s="346">
        <v>1805</v>
      </c>
      <c r="I174" s="346">
        <v>1522</v>
      </c>
      <c r="J174" s="349">
        <v>0</v>
      </c>
      <c r="K174" s="347">
        <v>88.54</v>
      </c>
      <c r="L174" s="347">
        <v>85.38</v>
      </c>
      <c r="M174" s="347">
        <v>5.05</v>
      </c>
      <c r="N174" s="347">
        <v>92.94</v>
      </c>
      <c r="O174" s="348">
        <v>801</v>
      </c>
      <c r="P174" s="347">
        <v>79.540000000000006</v>
      </c>
      <c r="Q174" s="347">
        <v>76.599999999999994</v>
      </c>
      <c r="R174" s="347">
        <v>17.3</v>
      </c>
      <c r="S174" s="347">
        <v>95.9</v>
      </c>
      <c r="T174" s="348">
        <v>147</v>
      </c>
      <c r="U174" s="347">
        <v>128.61000000000001</v>
      </c>
      <c r="V174" s="348">
        <v>289</v>
      </c>
      <c r="W174" s="347">
        <v>0</v>
      </c>
      <c r="X174" s="348">
        <v>0</v>
      </c>
      <c r="Y174" s="349">
        <v>0</v>
      </c>
      <c r="Z174" s="349">
        <v>0</v>
      </c>
      <c r="AA174" s="349">
        <v>1</v>
      </c>
      <c r="AB174" s="349">
        <v>15</v>
      </c>
      <c r="AC174" s="349">
        <v>3</v>
      </c>
      <c r="AD174" s="349">
        <v>1087</v>
      </c>
      <c r="AE174" s="349">
        <v>7</v>
      </c>
      <c r="AF174" s="349">
        <v>9</v>
      </c>
      <c r="AG174" s="349">
        <v>16</v>
      </c>
    </row>
    <row r="175" spans="1:33" x14ac:dyDescent="0.3">
      <c r="A175" s="342" t="s">
        <v>406</v>
      </c>
      <c r="B175" s="342" t="s">
        <v>407</v>
      </c>
      <c r="C175" s="349">
        <v>1572</v>
      </c>
      <c r="D175" s="349">
        <v>0</v>
      </c>
      <c r="E175" s="349">
        <v>107</v>
      </c>
      <c r="F175" s="349">
        <v>210</v>
      </c>
      <c r="G175" s="349">
        <v>447</v>
      </c>
      <c r="H175" s="346">
        <v>2336</v>
      </c>
      <c r="I175" s="346">
        <v>1889</v>
      </c>
      <c r="J175" s="349">
        <v>2</v>
      </c>
      <c r="K175" s="347">
        <v>94.51</v>
      </c>
      <c r="L175" s="347">
        <v>93.76</v>
      </c>
      <c r="M175" s="347">
        <v>3.89</v>
      </c>
      <c r="N175" s="347">
        <v>97.36</v>
      </c>
      <c r="O175" s="348">
        <v>906</v>
      </c>
      <c r="P175" s="347">
        <v>87.41</v>
      </c>
      <c r="Q175" s="347">
        <v>79.95</v>
      </c>
      <c r="R175" s="347">
        <v>35.130000000000003</v>
      </c>
      <c r="S175" s="347">
        <v>122.41</v>
      </c>
      <c r="T175" s="348">
        <v>291</v>
      </c>
      <c r="U175" s="347">
        <v>117.16</v>
      </c>
      <c r="V175" s="348">
        <v>601</v>
      </c>
      <c r="W175" s="347">
        <v>116.39</v>
      </c>
      <c r="X175" s="348">
        <v>1</v>
      </c>
      <c r="Y175" s="349">
        <v>0</v>
      </c>
      <c r="Z175" s="349">
        <v>0</v>
      </c>
      <c r="AA175" s="349">
        <v>0</v>
      </c>
      <c r="AB175" s="349">
        <v>46</v>
      </c>
      <c r="AC175" s="349">
        <v>6</v>
      </c>
      <c r="AD175" s="349">
        <v>1572</v>
      </c>
      <c r="AE175" s="349">
        <v>51</v>
      </c>
      <c r="AF175" s="349">
        <v>4</v>
      </c>
      <c r="AG175" s="349">
        <v>55</v>
      </c>
    </row>
    <row r="176" spans="1:33" x14ac:dyDescent="0.3">
      <c r="A176" s="342" t="s">
        <v>408</v>
      </c>
      <c r="B176" s="342" t="s">
        <v>409</v>
      </c>
      <c r="C176" s="349">
        <v>6202</v>
      </c>
      <c r="D176" s="349">
        <v>3</v>
      </c>
      <c r="E176" s="349">
        <v>165</v>
      </c>
      <c r="F176" s="349">
        <v>784</v>
      </c>
      <c r="G176" s="349">
        <v>768</v>
      </c>
      <c r="H176" s="346">
        <v>7922</v>
      </c>
      <c r="I176" s="346">
        <v>7154</v>
      </c>
      <c r="J176" s="349">
        <v>17</v>
      </c>
      <c r="K176" s="347">
        <v>118.32</v>
      </c>
      <c r="L176" s="347">
        <v>113.17</v>
      </c>
      <c r="M176" s="347">
        <v>5.47</v>
      </c>
      <c r="N176" s="347">
        <v>122.35</v>
      </c>
      <c r="O176" s="348">
        <v>4151</v>
      </c>
      <c r="P176" s="347">
        <v>103.11</v>
      </c>
      <c r="Q176" s="347">
        <v>95.32</v>
      </c>
      <c r="R176" s="347">
        <v>47.36</v>
      </c>
      <c r="S176" s="347">
        <v>149.31</v>
      </c>
      <c r="T176" s="348">
        <v>772</v>
      </c>
      <c r="U176" s="347">
        <v>170.65</v>
      </c>
      <c r="V176" s="348">
        <v>1653</v>
      </c>
      <c r="W176" s="347">
        <v>197.04</v>
      </c>
      <c r="X176" s="348">
        <v>17</v>
      </c>
      <c r="Y176" s="349">
        <v>24</v>
      </c>
      <c r="Z176" s="349">
        <v>1</v>
      </c>
      <c r="AA176" s="349">
        <v>41</v>
      </c>
      <c r="AB176" s="349">
        <v>63</v>
      </c>
      <c r="AC176" s="349">
        <v>13</v>
      </c>
      <c r="AD176" s="349">
        <v>5899</v>
      </c>
      <c r="AE176" s="349">
        <v>130</v>
      </c>
      <c r="AF176" s="349">
        <v>4</v>
      </c>
      <c r="AG176" s="349">
        <v>134</v>
      </c>
    </row>
    <row r="177" spans="1:33" x14ac:dyDescent="0.3">
      <c r="A177" s="342" t="s">
        <v>410</v>
      </c>
      <c r="B177" s="342" t="s">
        <v>411</v>
      </c>
      <c r="C177" s="349">
        <v>13068</v>
      </c>
      <c r="D177" s="349">
        <v>2</v>
      </c>
      <c r="E177" s="349">
        <v>576</v>
      </c>
      <c r="F177" s="349">
        <v>1415</v>
      </c>
      <c r="G177" s="349">
        <v>264</v>
      </c>
      <c r="H177" s="346">
        <v>15325</v>
      </c>
      <c r="I177" s="346">
        <v>15061</v>
      </c>
      <c r="J177" s="349">
        <v>3</v>
      </c>
      <c r="K177" s="347">
        <v>86.69</v>
      </c>
      <c r="L177" s="347">
        <v>83.17</v>
      </c>
      <c r="M177" s="347">
        <v>8.15</v>
      </c>
      <c r="N177" s="347">
        <v>89.27</v>
      </c>
      <c r="O177" s="348">
        <v>12244</v>
      </c>
      <c r="P177" s="347">
        <v>88.94</v>
      </c>
      <c r="Q177" s="347">
        <v>78.67</v>
      </c>
      <c r="R177" s="347">
        <v>62.23</v>
      </c>
      <c r="S177" s="347">
        <v>137.59</v>
      </c>
      <c r="T177" s="348">
        <v>1843</v>
      </c>
      <c r="U177" s="347">
        <v>97.96</v>
      </c>
      <c r="V177" s="348">
        <v>705</v>
      </c>
      <c r="W177" s="347">
        <v>160.16</v>
      </c>
      <c r="X177" s="348">
        <v>102</v>
      </c>
      <c r="Y177" s="349">
        <v>18</v>
      </c>
      <c r="Z177" s="349">
        <v>45</v>
      </c>
      <c r="AA177" s="349">
        <v>6</v>
      </c>
      <c r="AB177" s="349">
        <v>5</v>
      </c>
      <c r="AC177" s="349">
        <v>8</v>
      </c>
      <c r="AD177" s="349">
        <v>13038</v>
      </c>
      <c r="AE177" s="349">
        <v>96</v>
      </c>
      <c r="AF177" s="349">
        <v>242</v>
      </c>
      <c r="AG177" s="349">
        <v>338</v>
      </c>
    </row>
    <row r="178" spans="1:33" x14ac:dyDescent="0.3">
      <c r="A178" s="342" t="s">
        <v>412</v>
      </c>
      <c r="B178" s="342" t="s">
        <v>413</v>
      </c>
      <c r="C178" s="349">
        <v>8558</v>
      </c>
      <c r="D178" s="349">
        <v>81</v>
      </c>
      <c r="E178" s="349">
        <v>601</v>
      </c>
      <c r="F178" s="349">
        <v>585</v>
      </c>
      <c r="G178" s="349">
        <v>5758</v>
      </c>
      <c r="H178" s="346">
        <v>15583</v>
      </c>
      <c r="I178" s="346">
        <v>9825</v>
      </c>
      <c r="J178" s="349">
        <v>10</v>
      </c>
      <c r="K178" s="347">
        <v>100.2</v>
      </c>
      <c r="L178" s="347">
        <v>97.58</v>
      </c>
      <c r="M178" s="347">
        <v>7.01</v>
      </c>
      <c r="N178" s="347">
        <v>104.8</v>
      </c>
      <c r="O178" s="348">
        <v>6468</v>
      </c>
      <c r="P178" s="347">
        <v>108.01</v>
      </c>
      <c r="Q178" s="347">
        <v>95.95</v>
      </c>
      <c r="R178" s="347">
        <v>41.05</v>
      </c>
      <c r="S178" s="347">
        <v>147.80000000000001</v>
      </c>
      <c r="T178" s="348">
        <v>876</v>
      </c>
      <c r="U178" s="347">
        <v>144.66999999999999</v>
      </c>
      <c r="V178" s="348">
        <v>1389</v>
      </c>
      <c r="W178" s="347">
        <v>136.77000000000001</v>
      </c>
      <c r="X178" s="348">
        <v>110</v>
      </c>
      <c r="Y178" s="349">
        <v>222</v>
      </c>
      <c r="Z178" s="349">
        <v>1</v>
      </c>
      <c r="AA178" s="349">
        <v>1</v>
      </c>
      <c r="AB178" s="349">
        <v>123</v>
      </c>
      <c r="AC178" s="349">
        <v>45</v>
      </c>
      <c r="AD178" s="349">
        <v>8342</v>
      </c>
      <c r="AE178" s="349">
        <v>48</v>
      </c>
      <c r="AF178" s="349">
        <v>30</v>
      </c>
      <c r="AG178" s="349">
        <v>78</v>
      </c>
    </row>
    <row r="179" spans="1:33" x14ac:dyDescent="0.3">
      <c r="A179" s="342" t="s">
        <v>414</v>
      </c>
      <c r="B179" s="342" t="s">
        <v>415</v>
      </c>
      <c r="C179" s="349">
        <v>3539</v>
      </c>
      <c r="D179" s="349">
        <v>11</v>
      </c>
      <c r="E179" s="349">
        <v>238</v>
      </c>
      <c r="F179" s="349">
        <v>629</v>
      </c>
      <c r="G179" s="349">
        <v>315</v>
      </c>
      <c r="H179" s="346">
        <v>4732</v>
      </c>
      <c r="I179" s="346">
        <v>4417</v>
      </c>
      <c r="J179" s="349">
        <v>2</v>
      </c>
      <c r="K179" s="347">
        <v>113.73</v>
      </c>
      <c r="L179" s="347">
        <v>115.57</v>
      </c>
      <c r="M179" s="347">
        <v>5.29</v>
      </c>
      <c r="N179" s="347">
        <v>117.54</v>
      </c>
      <c r="O179" s="348">
        <v>3019</v>
      </c>
      <c r="P179" s="347">
        <v>101.74</v>
      </c>
      <c r="Q179" s="347">
        <v>96.39</v>
      </c>
      <c r="R179" s="347">
        <v>43.9</v>
      </c>
      <c r="S179" s="347">
        <v>145.38999999999999</v>
      </c>
      <c r="T179" s="348">
        <v>693</v>
      </c>
      <c r="U179" s="347">
        <v>164.82</v>
      </c>
      <c r="V179" s="348">
        <v>491</v>
      </c>
      <c r="W179" s="347">
        <v>0</v>
      </c>
      <c r="X179" s="348">
        <v>0</v>
      </c>
      <c r="Y179" s="349">
        <v>0</v>
      </c>
      <c r="Z179" s="349">
        <v>10</v>
      </c>
      <c r="AA179" s="349">
        <v>0</v>
      </c>
      <c r="AB179" s="349">
        <v>17</v>
      </c>
      <c r="AC179" s="349">
        <v>7</v>
      </c>
      <c r="AD179" s="349">
        <v>3535</v>
      </c>
      <c r="AE179" s="349">
        <v>41</v>
      </c>
      <c r="AF179" s="349">
        <v>46</v>
      </c>
      <c r="AG179" s="349">
        <v>87</v>
      </c>
    </row>
    <row r="180" spans="1:33" x14ac:dyDescent="0.3">
      <c r="A180" s="342" t="s">
        <v>416</v>
      </c>
      <c r="B180" s="342" t="s">
        <v>417</v>
      </c>
      <c r="C180" s="349">
        <v>2873</v>
      </c>
      <c r="D180" s="349">
        <v>8</v>
      </c>
      <c r="E180" s="349">
        <v>289</v>
      </c>
      <c r="F180" s="349">
        <v>309</v>
      </c>
      <c r="G180" s="349">
        <v>420</v>
      </c>
      <c r="H180" s="346">
        <v>3899</v>
      </c>
      <c r="I180" s="346">
        <v>3479</v>
      </c>
      <c r="J180" s="349">
        <v>0</v>
      </c>
      <c r="K180" s="347">
        <v>113.74</v>
      </c>
      <c r="L180" s="347">
        <v>111.18</v>
      </c>
      <c r="M180" s="347">
        <v>4.5</v>
      </c>
      <c r="N180" s="347">
        <v>117</v>
      </c>
      <c r="O180" s="348">
        <v>2392</v>
      </c>
      <c r="P180" s="347">
        <v>104.06</v>
      </c>
      <c r="Q180" s="347">
        <v>92.61</v>
      </c>
      <c r="R180" s="347">
        <v>35.479999999999997</v>
      </c>
      <c r="S180" s="347">
        <v>136.9</v>
      </c>
      <c r="T180" s="348">
        <v>470</v>
      </c>
      <c r="U180" s="347">
        <v>147.83000000000001</v>
      </c>
      <c r="V180" s="348">
        <v>316</v>
      </c>
      <c r="W180" s="347">
        <v>142.52000000000001</v>
      </c>
      <c r="X180" s="348">
        <v>4</v>
      </c>
      <c r="Y180" s="349">
        <v>0</v>
      </c>
      <c r="Z180" s="349">
        <v>0</v>
      </c>
      <c r="AA180" s="349">
        <v>1</v>
      </c>
      <c r="AB180" s="349">
        <v>24</v>
      </c>
      <c r="AC180" s="349">
        <v>7</v>
      </c>
      <c r="AD180" s="349">
        <v>2781</v>
      </c>
      <c r="AE180" s="349">
        <v>11</v>
      </c>
      <c r="AF180" s="349">
        <v>7</v>
      </c>
      <c r="AG180" s="349">
        <v>18</v>
      </c>
    </row>
    <row r="181" spans="1:33" x14ac:dyDescent="0.3">
      <c r="A181" s="342" t="s">
        <v>418</v>
      </c>
      <c r="B181" s="342" t="s">
        <v>419</v>
      </c>
      <c r="C181" s="349">
        <v>2026</v>
      </c>
      <c r="D181" s="349">
        <v>0</v>
      </c>
      <c r="E181" s="349">
        <v>322</v>
      </c>
      <c r="F181" s="349">
        <v>263</v>
      </c>
      <c r="G181" s="349">
        <v>401</v>
      </c>
      <c r="H181" s="346">
        <v>3012</v>
      </c>
      <c r="I181" s="346">
        <v>2611</v>
      </c>
      <c r="J181" s="349">
        <v>0</v>
      </c>
      <c r="K181" s="347">
        <v>87.97</v>
      </c>
      <c r="L181" s="347">
        <v>84.83</v>
      </c>
      <c r="M181" s="347">
        <v>4.67</v>
      </c>
      <c r="N181" s="347">
        <v>90.61</v>
      </c>
      <c r="O181" s="348">
        <v>1566</v>
      </c>
      <c r="P181" s="347">
        <v>108.24</v>
      </c>
      <c r="Q181" s="347">
        <v>78.010000000000005</v>
      </c>
      <c r="R181" s="347">
        <v>71.39</v>
      </c>
      <c r="S181" s="347">
        <v>179.63</v>
      </c>
      <c r="T181" s="348">
        <v>435</v>
      </c>
      <c r="U181" s="347">
        <v>98.81</v>
      </c>
      <c r="V181" s="348">
        <v>373</v>
      </c>
      <c r="W181" s="347">
        <v>161.53</v>
      </c>
      <c r="X181" s="348">
        <v>5</v>
      </c>
      <c r="Y181" s="349">
        <v>9</v>
      </c>
      <c r="Z181" s="349">
        <v>1</v>
      </c>
      <c r="AA181" s="349">
        <v>7</v>
      </c>
      <c r="AB181" s="349">
        <v>53</v>
      </c>
      <c r="AC181" s="349">
        <v>5</v>
      </c>
      <c r="AD181" s="349">
        <v>2026</v>
      </c>
      <c r="AE181" s="349">
        <v>5</v>
      </c>
      <c r="AF181" s="349">
        <v>53</v>
      </c>
      <c r="AG181" s="349">
        <v>58</v>
      </c>
    </row>
    <row r="182" spans="1:33" x14ac:dyDescent="0.3">
      <c r="A182" s="342" t="s">
        <v>420</v>
      </c>
      <c r="B182" s="342" t="s">
        <v>421</v>
      </c>
      <c r="C182" s="349">
        <v>7237</v>
      </c>
      <c r="D182" s="349">
        <v>137</v>
      </c>
      <c r="E182" s="349">
        <v>1462</v>
      </c>
      <c r="F182" s="349">
        <v>1615</v>
      </c>
      <c r="G182" s="349">
        <v>354</v>
      </c>
      <c r="H182" s="346">
        <v>10805</v>
      </c>
      <c r="I182" s="346">
        <v>10451</v>
      </c>
      <c r="J182" s="349">
        <v>9</v>
      </c>
      <c r="K182" s="347">
        <v>78.75</v>
      </c>
      <c r="L182" s="347">
        <v>77.069999999999993</v>
      </c>
      <c r="M182" s="347">
        <v>9.8699999999999992</v>
      </c>
      <c r="N182" s="347">
        <v>87.02</v>
      </c>
      <c r="O182" s="348">
        <v>5634</v>
      </c>
      <c r="P182" s="347">
        <v>86.48</v>
      </c>
      <c r="Q182" s="347">
        <v>73.099999999999994</v>
      </c>
      <c r="R182" s="347">
        <v>67.180000000000007</v>
      </c>
      <c r="S182" s="347">
        <v>152.35</v>
      </c>
      <c r="T182" s="348">
        <v>2310</v>
      </c>
      <c r="U182" s="347">
        <v>102.39</v>
      </c>
      <c r="V182" s="348">
        <v>1202</v>
      </c>
      <c r="W182" s="347">
        <v>192.86</v>
      </c>
      <c r="X182" s="348">
        <v>365</v>
      </c>
      <c r="Y182" s="349">
        <v>0</v>
      </c>
      <c r="Z182" s="349">
        <v>5</v>
      </c>
      <c r="AA182" s="349">
        <v>2</v>
      </c>
      <c r="AB182" s="349">
        <v>35</v>
      </c>
      <c r="AC182" s="349">
        <v>10</v>
      </c>
      <c r="AD182" s="349">
        <v>6665</v>
      </c>
      <c r="AE182" s="349">
        <v>86</v>
      </c>
      <c r="AF182" s="349">
        <v>31</v>
      </c>
      <c r="AG182" s="349">
        <v>117</v>
      </c>
    </row>
    <row r="183" spans="1:33" x14ac:dyDescent="0.3">
      <c r="A183" s="342" t="s">
        <v>422</v>
      </c>
      <c r="B183" s="342" t="s">
        <v>423</v>
      </c>
      <c r="C183" s="349">
        <v>8716</v>
      </c>
      <c r="D183" s="349">
        <v>4</v>
      </c>
      <c r="E183" s="349">
        <v>122</v>
      </c>
      <c r="F183" s="349">
        <v>822</v>
      </c>
      <c r="G183" s="349">
        <v>267</v>
      </c>
      <c r="H183" s="346">
        <v>9931</v>
      </c>
      <c r="I183" s="346">
        <v>9664</v>
      </c>
      <c r="J183" s="349">
        <v>4</v>
      </c>
      <c r="K183" s="347">
        <v>78.41</v>
      </c>
      <c r="L183" s="347">
        <v>79.63</v>
      </c>
      <c r="M183" s="347">
        <v>4.34</v>
      </c>
      <c r="N183" s="347">
        <v>82.54</v>
      </c>
      <c r="O183" s="348">
        <v>8117</v>
      </c>
      <c r="P183" s="347">
        <v>78.78</v>
      </c>
      <c r="Q183" s="347">
        <v>74.23</v>
      </c>
      <c r="R183" s="347">
        <v>26.38</v>
      </c>
      <c r="S183" s="347">
        <v>105.15</v>
      </c>
      <c r="T183" s="348">
        <v>752</v>
      </c>
      <c r="U183" s="347">
        <v>97.58</v>
      </c>
      <c r="V183" s="348">
        <v>547</v>
      </c>
      <c r="W183" s="347">
        <v>231.02</v>
      </c>
      <c r="X183" s="348">
        <v>99</v>
      </c>
      <c r="Y183" s="349">
        <v>0</v>
      </c>
      <c r="Z183" s="349">
        <v>24</v>
      </c>
      <c r="AA183" s="349">
        <v>43</v>
      </c>
      <c r="AB183" s="349">
        <v>16</v>
      </c>
      <c r="AC183" s="349">
        <v>6</v>
      </c>
      <c r="AD183" s="349">
        <v>8716</v>
      </c>
      <c r="AE183" s="349">
        <v>64</v>
      </c>
      <c r="AF183" s="349">
        <v>100</v>
      </c>
      <c r="AG183" s="349">
        <v>164</v>
      </c>
    </row>
    <row r="184" spans="1:33" x14ac:dyDescent="0.3">
      <c r="A184" s="342" t="s">
        <v>424</v>
      </c>
      <c r="B184" s="342" t="s">
        <v>425</v>
      </c>
      <c r="C184" s="349">
        <v>12595</v>
      </c>
      <c r="D184" s="349">
        <v>25</v>
      </c>
      <c r="E184" s="349">
        <v>824</v>
      </c>
      <c r="F184" s="349">
        <v>917</v>
      </c>
      <c r="G184" s="349">
        <v>2530</v>
      </c>
      <c r="H184" s="346">
        <v>16891</v>
      </c>
      <c r="I184" s="346">
        <v>14361</v>
      </c>
      <c r="J184" s="349">
        <v>157</v>
      </c>
      <c r="K184" s="347">
        <v>121.12</v>
      </c>
      <c r="L184" s="347">
        <v>118.86</v>
      </c>
      <c r="M184" s="347">
        <v>11.28</v>
      </c>
      <c r="N184" s="347">
        <v>128.16</v>
      </c>
      <c r="O184" s="348">
        <v>9307</v>
      </c>
      <c r="P184" s="347">
        <v>104.13</v>
      </c>
      <c r="Q184" s="347">
        <v>97.16</v>
      </c>
      <c r="R184" s="347">
        <v>68.599999999999994</v>
      </c>
      <c r="S184" s="347">
        <v>170.6</v>
      </c>
      <c r="T184" s="348">
        <v>1548</v>
      </c>
      <c r="U184" s="347">
        <v>207.6</v>
      </c>
      <c r="V184" s="348">
        <v>1366</v>
      </c>
      <c r="W184" s="347">
        <v>191.52</v>
      </c>
      <c r="X184" s="348">
        <v>17</v>
      </c>
      <c r="Y184" s="349">
        <v>11</v>
      </c>
      <c r="Z184" s="349">
        <v>0</v>
      </c>
      <c r="AA184" s="349">
        <v>15</v>
      </c>
      <c r="AB184" s="349">
        <v>120</v>
      </c>
      <c r="AC184" s="349">
        <v>82</v>
      </c>
      <c r="AD184" s="349">
        <v>11824</v>
      </c>
      <c r="AE184" s="349">
        <v>186</v>
      </c>
      <c r="AF184" s="349">
        <v>91</v>
      </c>
      <c r="AG184" s="349">
        <v>277</v>
      </c>
    </row>
    <row r="185" spans="1:33" x14ac:dyDescent="0.3">
      <c r="A185" s="342" t="s">
        <v>426</v>
      </c>
      <c r="B185" s="342" t="s">
        <v>427</v>
      </c>
      <c r="C185" s="349">
        <v>4011</v>
      </c>
      <c r="D185" s="349">
        <v>0</v>
      </c>
      <c r="E185" s="349">
        <v>81</v>
      </c>
      <c r="F185" s="349">
        <v>795</v>
      </c>
      <c r="G185" s="349">
        <v>406</v>
      </c>
      <c r="H185" s="346">
        <v>5293</v>
      </c>
      <c r="I185" s="346">
        <v>4887</v>
      </c>
      <c r="J185" s="349">
        <v>18</v>
      </c>
      <c r="K185" s="347">
        <v>85.92</v>
      </c>
      <c r="L185" s="347">
        <v>85.27</v>
      </c>
      <c r="M185" s="347">
        <v>4</v>
      </c>
      <c r="N185" s="347">
        <v>88.53</v>
      </c>
      <c r="O185" s="348">
        <v>3465</v>
      </c>
      <c r="P185" s="347">
        <v>77.040000000000006</v>
      </c>
      <c r="Q185" s="347">
        <v>75.36</v>
      </c>
      <c r="R185" s="347">
        <v>20.32</v>
      </c>
      <c r="S185" s="347">
        <v>97.28</v>
      </c>
      <c r="T185" s="348">
        <v>759</v>
      </c>
      <c r="U185" s="347">
        <v>116.47</v>
      </c>
      <c r="V185" s="348">
        <v>488</v>
      </c>
      <c r="W185" s="347">
        <v>133.37</v>
      </c>
      <c r="X185" s="348">
        <v>31</v>
      </c>
      <c r="Y185" s="349">
        <v>0</v>
      </c>
      <c r="Z185" s="349">
        <v>4</v>
      </c>
      <c r="AA185" s="349">
        <v>3</v>
      </c>
      <c r="AB185" s="349">
        <v>20</v>
      </c>
      <c r="AC185" s="349">
        <v>3</v>
      </c>
      <c r="AD185" s="349">
        <v>3985</v>
      </c>
      <c r="AE185" s="349">
        <v>10</v>
      </c>
      <c r="AF185" s="349">
        <v>24</v>
      </c>
      <c r="AG185" s="349">
        <v>34</v>
      </c>
    </row>
    <row r="186" spans="1:33" x14ac:dyDescent="0.3">
      <c r="A186" s="342" t="s">
        <v>428</v>
      </c>
      <c r="B186" s="342" t="s">
        <v>429</v>
      </c>
      <c r="C186" s="349">
        <v>895</v>
      </c>
      <c r="D186" s="349">
        <v>1</v>
      </c>
      <c r="E186" s="349">
        <v>92</v>
      </c>
      <c r="F186" s="349">
        <v>114</v>
      </c>
      <c r="G186" s="349">
        <v>201</v>
      </c>
      <c r="H186" s="346">
        <v>1303</v>
      </c>
      <c r="I186" s="346">
        <v>1102</v>
      </c>
      <c r="J186" s="349">
        <v>14</v>
      </c>
      <c r="K186" s="347">
        <v>91.03</v>
      </c>
      <c r="L186" s="347">
        <v>89.73</v>
      </c>
      <c r="M186" s="347">
        <v>3.7</v>
      </c>
      <c r="N186" s="347">
        <v>92.72</v>
      </c>
      <c r="O186" s="348">
        <v>531</v>
      </c>
      <c r="P186" s="347">
        <v>105.14</v>
      </c>
      <c r="Q186" s="347">
        <v>90.53</v>
      </c>
      <c r="R186" s="347">
        <v>43.83</v>
      </c>
      <c r="S186" s="347">
        <v>145.11000000000001</v>
      </c>
      <c r="T186" s="348">
        <v>204</v>
      </c>
      <c r="U186" s="347">
        <v>101.51</v>
      </c>
      <c r="V186" s="348">
        <v>340</v>
      </c>
      <c r="W186" s="347">
        <v>0</v>
      </c>
      <c r="X186" s="348">
        <v>0</v>
      </c>
      <c r="Y186" s="349">
        <v>6</v>
      </c>
      <c r="Z186" s="349">
        <v>0</v>
      </c>
      <c r="AA186" s="349">
        <v>0</v>
      </c>
      <c r="AB186" s="349">
        <v>43</v>
      </c>
      <c r="AC186" s="349">
        <v>5</v>
      </c>
      <c r="AD186" s="349">
        <v>709</v>
      </c>
      <c r="AE186" s="349">
        <v>1</v>
      </c>
      <c r="AF186" s="349">
        <v>2</v>
      </c>
      <c r="AG186" s="349">
        <v>3</v>
      </c>
    </row>
    <row r="187" spans="1:33" x14ac:dyDescent="0.3">
      <c r="A187" s="342" t="s">
        <v>430</v>
      </c>
      <c r="B187" s="342" t="s">
        <v>431</v>
      </c>
      <c r="C187" s="349">
        <v>7922</v>
      </c>
      <c r="D187" s="349">
        <v>0</v>
      </c>
      <c r="E187" s="349">
        <v>464</v>
      </c>
      <c r="F187" s="349">
        <v>1096</v>
      </c>
      <c r="G187" s="349">
        <v>256</v>
      </c>
      <c r="H187" s="346">
        <v>9738</v>
      </c>
      <c r="I187" s="346">
        <v>9482</v>
      </c>
      <c r="J187" s="349">
        <v>1</v>
      </c>
      <c r="K187" s="347">
        <v>79.290000000000006</v>
      </c>
      <c r="L187" s="347">
        <v>78.459999999999994</v>
      </c>
      <c r="M187" s="347">
        <v>2.67</v>
      </c>
      <c r="N187" s="347">
        <v>81.290000000000006</v>
      </c>
      <c r="O187" s="348">
        <v>7838</v>
      </c>
      <c r="P187" s="347">
        <v>97.18</v>
      </c>
      <c r="Q187" s="347">
        <v>70.209999999999994</v>
      </c>
      <c r="R187" s="347">
        <v>34.4</v>
      </c>
      <c r="S187" s="347">
        <v>127.85</v>
      </c>
      <c r="T187" s="348">
        <v>1372</v>
      </c>
      <c r="U187" s="347">
        <v>93.44</v>
      </c>
      <c r="V187" s="348">
        <v>54</v>
      </c>
      <c r="W187" s="347">
        <v>278.83999999999997</v>
      </c>
      <c r="X187" s="348">
        <v>59</v>
      </c>
      <c r="Y187" s="349">
        <v>0</v>
      </c>
      <c r="Z187" s="349">
        <v>18</v>
      </c>
      <c r="AA187" s="349">
        <v>32</v>
      </c>
      <c r="AB187" s="349">
        <v>21</v>
      </c>
      <c r="AC187" s="349">
        <v>4</v>
      </c>
      <c r="AD187" s="349">
        <v>7920</v>
      </c>
      <c r="AE187" s="349">
        <v>37</v>
      </c>
      <c r="AF187" s="349">
        <v>44</v>
      </c>
      <c r="AG187" s="349">
        <v>81</v>
      </c>
    </row>
    <row r="188" spans="1:33" x14ac:dyDescent="0.3">
      <c r="A188" s="342" t="s">
        <v>432</v>
      </c>
      <c r="B188" s="342" t="s">
        <v>433</v>
      </c>
      <c r="C188" s="349">
        <v>9445</v>
      </c>
      <c r="D188" s="349">
        <v>3</v>
      </c>
      <c r="E188" s="349">
        <v>258</v>
      </c>
      <c r="F188" s="349">
        <v>1010</v>
      </c>
      <c r="G188" s="349">
        <v>605</v>
      </c>
      <c r="H188" s="346">
        <v>11321</v>
      </c>
      <c r="I188" s="346">
        <v>10716</v>
      </c>
      <c r="J188" s="349">
        <v>222</v>
      </c>
      <c r="K188" s="347">
        <v>110.29</v>
      </c>
      <c r="L188" s="347">
        <v>116.62</v>
      </c>
      <c r="M188" s="347">
        <v>5.19</v>
      </c>
      <c r="N188" s="347">
        <v>111.94</v>
      </c>
      <c r="O188" s="348">
        <v>9081</v>
      </c>
      <c r="P188" s="347">
        <v>99.42</v>
      </c>
      <c r="Q188" s="347">
        <v>98.02</v>
      </c>
      <c r="R188" s="347">
        <v>28.96</v>
      </c>
      <c r="S188" s="347">
        <v>127.04</v>
      </c>
      <c r="T188" s="348">
        <v>1230</v>
      </c>
      <c r="U188" s="347">
        <v>144.53</v>
      </c>
      <c r="V188" s="348">
        <v>302</v>
      </c>
      <c r="W188" s="347">
        <v>0</v>
      </c>
      <c r="X188" s="348">
        <v>0</v>
      </c>
      <c r="Y188" s="349">
        <v>0</v>
      </c>
      <c r="Z188" s="349">
        <v>13</v>
      </c>
      <c r="AA188" s="349">
        <v>5</v>
      </c>
      <c r="AB188" s="349">
        <v>58</v>
      </c>
      <c r="AC188" s="349">
        <v>11</v>
      </c>
      <c r="AD188" s="349">
        <v>9404</v>
      </c>
      <c r="AE188" s="349">
        <v>61</v>
      </c>
      <c r="AF188" s="349">
        <v>10</v>
      </c>
      <c r="AG188" s="349">
        <v>71</v>
      </c>
    </row>
    <row r="189" spans="1:33" x14ac:dyDescent="0.3">
      <c r="A189" s="342" t="s">
        <v>434</v>
      </c>
      <c r="B189" s="342" t="s">
        <v>435</v>
      </c>
      <c r="C189" s="349">
        <v>1177</v>
      </c>
      <c r="D189" s="349">
        <v>0</v>
      </c>
      <c r="E189" s="349">
        <v>147</v>
      </c>
      <c r="F189" s="349">
        <v>98</v>
      </c>
      <c r="G189" s="349">
        <v>459</v>
      </c>
      <c r="H189" s="346">
        <v>1881</v>
      </c>
      <c r="I189" s="346">
        <v>1422</v>
      </c>
      <c r="J189" s="349">
        <v>3</v>
      </c>
      <c r="K189" s="347">
        <v>88.75</v>
      </c>
      <c r="L189" s="347">
        <v>87.03</v>
      </c>
      <c r="M189" s="347">
        <v>4.8899999999999997</v>
      </c>
      <c r="N189" s="347">
        <v>92.73</v>
      </c>
      <c r="O189" s="348">
        <v>751</v>
      </c>
      <c r="P189" s="347">
        <v>109.05</v>
      </c>
      <c r="Q189" s="347">
        <v>83.81</v>
      </c>
      <c r="R189" s="347">
        <v>70.14</v>
      </c>
      <c r="S189" s="347">
        <v>179.19</v>
      </c>
      <c r="T189" s="348">
        <v>226</v>
      </c>
      <c r="U189" s="347">
        <v>103.83</v>
      </c>
      <c r="V189" s="348">
        <v>309</v>
      </c>
      <c r="W189" s="347">
        <v>117.33</v>
      </c>
      <c r="X189" s="348">
        <v>1</v>
      </c>
      <c r="Y189" s="349">
        <v>0</v>
      </c>
      <c r="Z189" s="349">
        <v>0</v>
      </c>
      <c r="AA189" s="349">
        <v>0</v>
      </c>
      <c r="AB189" s="349">
        <v>39</v>
      </c>
      <c r="AC189" s="349">
        <v>13</v>
      </c>
      <c r="AD189" s="349">
        <v>1094</v>
      </c>
      <c r="AE189" s="349">
        <v>23</v>
      </c>
      <c r="AF189" s="349">
        <v>2</v>
      </c>
      <c r="AG189" s="349">
        <v>25</v>
      </c>
    </row>
    <row r="190" spans="1:33" x14ac:dyDescent="0.3">
      <c r="A190" s="342" t="s">
        <v>436</v>
      </c>
      <c r="B190" s="342" t="s">
        <v>437</v>
      </c>
      <c r="C190" s="349">
        <v>10999</v>
      </c>
      <c r="D190" s="349">
        <v>2</v>
      </c>
      <c r="E190" s="349">
        <v>259</v>
      </c>
      <c r="F190" s="349">
        <v>317</v>
      </c>
      <c r="G190" s="349">
        <v>80</v>
      </c>
      <c r="H190" s="346">
        <v>11657</v>
      </c>
      <c r="I190" s="346">
        <v>11577</v>
      </c>
      <c r="J190" s="349">
        <v>2</v>
      </c>
      <c r="K190" s="347">
        <v>80.400000000000006</v>
      </c>
      <c r="L190" s="347">
        <v>80.19</v>
      </c>
      <c r="M190" s="347">
        <v>3.25</v>
      </c>
      <c r="N190" s="347">
        <v>82.1</v>
      </c>
      <c r="O190" s="348">
        <v>10317</v>
      </c>
      <c r="P190" s="347">
        <v>103.62</v>
      </c>
      <c r="Q190" s="347">
        <v>79.760000000000005</v>
      </c>
      <c r="R190" s="347">
        <v>64.069999999999993</v>
      </c>
      <c r="S190" s="347">
        <v>162.22</v>
      </c>
      <c r="T190" s="348">
        <v>504</v>
      </c>
      <c r="U190" s="347">
        <v>99.83</v>
      </c>
      <c r="V190" s="348">
        <v>605</v>
      </c>
      <c r="W190" s="347">
        <v>212.76</v>
      </c>
      <c r="X190" s="348">
        <v>48</v>
      </c>
      <c r="Y190" s="349">
        <v>1</v>
      </c>
      <c r="Z190" s="349">
        <v>28</v>
      </c>
      <c r="AA190" s="349">
        <v>1</v>
      </c>
      <c r="AB190" s="349">
        <v>4</v>
      </c>
      <c r="AC190" s="349">
        <v>2</v>
      </c>
      <c r="AD190" s="349">
        <v>10960</v>
      </c>
      <c r="AE190" s="349">
        <v>93</v>
      </c>
      <c r="AF190" s="349">
        <v>10</v>
      </c>
      <c r="AG190" s="349">
        <v>103</v>
      </c>
    </row>
    <row r="191" spans="1:33" x14ac:dyDescent="0.3">
      <c r="A191" s="342" t="s">
        <v>438</v>
      </c>
      <c r="B191" s="342" t="s">
        <v>439</v>
      </c>
      <c r="C191" s="349">
        <v>5475</v>
      </c>
      <c r="D191" s="349">
        <v>0</v>
      </c>
      <c r="E191" s="349">
        <v>128</v>
      </c>
      <c r="F191" s="349">
        <v>684</v>
      </c>
      <c r="G191" s="349">
        <v>270</v>
      </c>
      <c r="H191" s="346">
        <v>6557</v>
      </c>
      <c r="I191" s="346">
        <v>6287</v>
      </c>
      <c r="J191" s="349">
        <v>2</v>
      </c>
      <c r="K191" s="347">
        <v>89.33</v>
      </c>
      <c r="L191" s="347">
        <v>88.49</v>
      </c>
      <c r="M191" s="347">
        <v>2.44</v>
      </c>
      <c r="N191" s="347">
        <v>91.06</v>
      </c>
      <c r="O191" s="348">
        <v>4740</v>
      </c>
      <c r="P191" s="347">
        <v>91.26</v>
      </c>
      <c r="Q191" s="347">
        <v>79.23</v>
      </c>
      <c r="R191" s="347">
        <v>25.28</v>
      </c>
      <c r="S191" s="347">
        <v>116.54</v>
      </c>
      <c r="T191" s="348">
        <v>800</v>
      </c>
      <c r="U191" s="347">
        <v>107.41</v>
      </c>
      <c r="V191" s="348">
        <v>706</v>
      </c>
      <c r="W191" s="347">
        <v>95.46</v>
      </c>
      <c r="X191" s="348">
        <v>9</v>
      </c>
      <c r="Y191" s="349">
        <v>0</v>
      </c>
      <c r="Z191" s="349">
        <v>6</v>
      </c>
      <c r="AA191" s="349">
        <v>22</v>
      </c>
      <c r="AB191" s="349">
        <v>35</v>
      </c>
      <c r="AC191" s="349">
        <v>1</v>
      </c>
      <c r="AD191" s="349">
        <v>5452</v>
      </c>
      <c r="AE191" s="349">
        <v>51</v>
      </c>
      <c r="AF191" s="349">
        <v>21</v>
      </c>
      <c r="AG191" s="349">
        <v>72</v>
      </c>
    </row>
    <row r="192" spans="1:33" x14ac:dyDescent="0.3">
      <c r="A192" s="345" t="s">
        <v>799</v>
      </c>
      <c r="B192" s="345" t="s">
        <v>797</v>
      </c>
      <c r="C192" s="330">
        <v>13859</v>
      </c>
      <c r="D192" s="330">
        <v>198</v>
      </c>
      <c r="E192" s="330">
        <v>741</v>
      </c>
      <c r="F192" s="330">
        <v>1004</v>
      </c>
      <c r="G192" s="330">
        <v>1617</v>
      </c>
      <c r="H192" s="330">
        <v>17419</v>
      </c>
      <c r="I192" s="330">
        <v>15802</v>
      </c>
      <c r="J192" s="330">
        <v>29</v>
      </c>
      <c r="K192" s="330">
        <v>91.22</v>
      </c>
      <c r="L192" s="330">
        <v>90.55</v>
      </c>
      <c r="M192" s="330">
        <v>6.47</v>
      </c>
      <c r="N192" s="330">
        <v>94.18</v>
      </c>
      <c r="O192" s="333">
        <v>11765</v>
      </c>
      <c r="P192" s="330">
        <v>91.18</v>
      </c>
      <c r="Q192" s="330">
        <v>79.92</v>
      </c>
      <c r="R192" s="330">
        <v>51.51</v>
      </c>
      <c r="S192" s="330">
        <v>141.05000000000001</v>
      </c>
      <c r="T192" s="333">
        <v>1630</v>
      </c>
      <c r="U192" s="330">
        <v>109.84</v>
      </c>
      <c r="V192" s="333">
        <v>1697</v>
      </c>
      <c r="W192" s="330">
        <v>163.1</v>
      </c>
      <c r="X192" s="333">
        <v>7</v>
      </c>
      <c r="Y192" s="330">
        <v>0</v>
      </c>
      <c r="Z192" s="330">
        <v>26</v>
      </c>
      <c r="AA192" s="330">
        <v>2</v>
      </c>
      <c r="AB192" s="330">
        <v>68</v>
      </c>
      <c r="AC192" s="330">
        <v>29</v>
      </c>
      <c r="AD192" s="330">
        <v>13775</v>
      </c>
      <c r="AE192" s="330">
        <v>69</v>
      </c>
      <c r="AF192" s="330">
        <v>35</v>
      </c>
      <c r="AG192" s="330">
        <v>104</v>
      </c>
    </row>
    <row r="193" spans="1:33" x14ac:dyDescent="0.3">
      <c r="A193" s="342" t="s">
        <v>440</v>
      </c>
      <c r="B193" s="342" t="s">
        <v>441</v>
      </c>
      <c r="C193" s="349">
        <v>8418</v>
      </c>
      <c r="D193" s="349">
        <v>66</v>
      </c>
      <c r="E193" s="349">
        <v>366</v>
      </c>
      <c r="F193" s="349">
        <v>650</v>
      </c>
      <c r="G193" s="349">
        <v>569</v>
      </c>
      <c r="H193" s="346">
        <v>10069</v>
      </c>
      <c r="I193" s="346">
        <v>9500</v>
      </c>
      <c r="J193" s="349">
        <v>27</v>
      </c>
      <c r="K193" s="347">
        <v>94.96</v>
      </c>
      <c r="L193" s="347">
        <v>94.97</v>
      </c>
      <c r="M193" s="347">
        <v>4.8</v>
      </c>
      <c r="N193" s="347">
        <v>99.62</v>
      </c>
      <c r="O193" s="348">
        <v>7384</v>
      </c>
      <c r="P193" s="347">
        <v>105.54</v>
      </c>
      <c r="Q193" s="347">
        <v>88.36</v>
      </c>
      <c r="R193" s="347">
        <v>71.09</v>
      </c>
      <c r="S193" s="347">
        <v>174.87</v>
      </c>
      <c r="T193" s="348">
        <v>807</v>
      </c>
      <c r="U193" s="347">
        <v>128.31</v>
      </c>
      <c r="V193" s="348">
        <v>910</v>
      </c>
      <c r="W193" s="347">
        <v>175.04</v>
      </c>
      <c r="X193" s="348">
        <v>80</v>
      </c>
      <c r="Y193" s="349">
        <v>0</v>
      </c>
      <c r="Z193" s="349">
        <v>4</v>
      </c>
      <c r="AA193" s="349">
        <v>9</v>
      </c>
      <c r="AB193" s="349">
        <v>11</v>
      </c>
      <c r="AC193" s="349">
        <v>9</v>
      </c>
      <c r="AD193" s="349">
        <v>8301</v>
      </c>
      <c r="AE193" s="349">
        <v>38</v>
      </c>
      <c r="AF193" s="349">
        <v>41</v>
      </c>
      <c r="AG193" s="349">
        <v>79</v>
      </c>
    </row>
    <row r="194" spans="1:33" x14ac:dyDescent="0.3">
      <c r="A194" s="342" t="s">
        <v>442</v>
      </c>
      <c r="B194" s="342" t="s">
        <v>443</v>
      </c>
      <c r="C194" s="349">
        <v>4292</v>
      </c>
      <c r="D194" s="349">
        <v>0</v>
      </c>
      <c r="E194" s="349">
        <v>586</v>
      </c>
      <c r="F194" s="349">
        <v>1313</v>
      </c>
      <c r="G194" s="349">
        <v>376</v>
      </c>
      <c r="H194" s="346">
        <v>6567</v>
      </c>
      <c r="I194" s="346">
        <v>6191</v>
      </c>
      <c r="J194" s="349">
        <v>0</v>
      </c>
      <c r="K194" s="347">
        <v>82.65</v>
      </c>
      <c r="L194" s="347">
        <v>79.260000000000005</v>
      </c>
      <c r="M194" s="347">
        <v>7.81</v>
      </c>
      <c r="N194" s="347">
        <v>88.68</v>
      </c>
      <c r="O194" s="348">
        <v>3166</v>
      </c>
      <c r="P194" s="347">
        <v>92</v>
      </c>
      <c r="Q194" s="347">
        <v>73.790000000000006</v>
      </c>
      <c r="R194" s="347">
        <v>54.73</v>
      </c>
      <c r="S194" s="347">
        <v>146.15</v>
      </c>
      <c r="T194" s="348">
        <v>1610</v>
      </c>
      <c r="U194" s="347">
        <v>102.59</v>
      </c>
      <c r="V194" s="348">
        <v>925</v>
      </c>
      <c r="W194" s="347">
        <v>166.26</v>
      </c>
      <c r="X194" s="348">
        <v>133</v>
      </c>
      <c r="Y194" s="349">
        <v>26</v>
      </c>
      <c r="Z194" s="349">
        <v>0</v>
      </c>
      <c r="AA194" s="349">
        <v>4</v>
      </c>
      <c r="AB194" s="349">
        <v>11</v>
      </c>
      <c r="AC194" s="349">
        <v>2</v>
      </c>
      <c r="AD194" s="349">
        <v>4112</v>
      </c>
      <c r="AE194" s="349">
        <v>21</v>
      </c>
      <c r="AF194" s="349">
        <v>26</v>
      </c>
      <c r="AG194" s="349">
        <v>47</v>
      </c>
    </row>
    <row r="195" spans="1:33" x14ac:dyDescent="0.3">
      <c r="A195" s="342" t="s">
        <v>444</v>
      </c>
      <c r="B195" s="342" t="s">
        <v>445</v>
      </c>
      <c r="C195" s="349">
        <v>1118</v>
      </c>
      <c r="D195" s="349">
        <v>0</v>
      </c>
      <c r="E195" s="349">
        <v>11</v>
      </c>
      <c r="F195" s="349">
        <v>46</v>
      </c>
      <c r="G195" s="349">
        <v>239</v>
      </c>
      <c r="H195" s="346">
        <v>1414</v>
      </c>
      <c r="I195" s="346">
        <v>1175</v>
      </c>
      <c r="J195" s="349">
        <v>1</v>
      </c>
      <c r="K195" s="347">
        <v>98.65</v>
      </c>
      <c r="L195" s="347">
        <v>96.59</v>
      </c>
      <c r="M195" s="347">
        <v>5.6</v>
      </c>
      <c r="N195" s="347">
        <v>101.83</v>
      </c>
      <c r="O195" s="348">
        <v>844</v>
      </c>
      <c r="P195" s="347">
        <v>87.83</v>
      </c>
      <c r="Q195" s="347">
        <v>83</v>
      </c>
      <c r="R195" s="347">
        <v>26.14</v>
      </c>
      <c r="S195" s="347">
        <v>110.95</v>
      </c>
      <c r="T195" s="348">
        <v>52</v>
      </c>
      <c r="U195" s="347">
        <v>116.95</v>
      </c>
      <c r="V195" s="348">
        <v>270</v>
      </c>
      <c r="W195" s="347">
        <v>0</v>
      </c>
      <c r="X195" s="348">
        <v>0</v>
      </c>
      <c r="Y195" s="349">
        <v>0</v>
      </c>
      <c r="Z195" s="349">
        <v>1</v>
      </c>
      <c r="AA195" s="349">
        <v>0</v>
      </c>
      <c r="AB195" s="349">
        <v>15</v>
      </c>
      <c r="AC195" s="349">
        <v>4</v>
      </c>
      <c r="AD195" s="349">
        <v>1108</v>
      </c>
      <c r="AE195" s="349">
        <v>9</v>
      </c>
      <c r="AF195" s="349">
        <v>0</v>
      </c>
      <c r="AG195" s="349">
        <v>9</v>
      </c>
    </row>
    <row r="196" spans="1:33" x14ac:dyDescent="0.3">
      <c r="A196" s="342" t="s">
        <v>446</v>
      </c>
      <c r="B196" s="342" t="s">
        <v>447</v>
      </c>
      <c r="C196" s="349">
        <v>2056</v>
      </c>
      <c r="D196" s="349">
        <v>2</v>
      </c>
      <c r="E196" s="349">
        <v>66</v>
      </c>
      <c r="F196" s="349">
        <v>113</v>
      </c>
      <c r="G196" s="349">
        <v>507</v>
      </c>
      <c r="H196" s="346">
        <v>2744</v>
      </c>
      <c r="I196" s="346">
        <v>2237</v>
      </c>
      <c r="J196" s="349">
        <v>1</v>
      </c>
      <c r="K196" s="347">
        <v>88.11</v>
      </c>
      <c r="L196" s="347">
        <v>89.25</v>
      </c>
      <c r="M196" s="347">
        <v>6.85</v>
      </c>
      <c r="N196" s="347">
        <v>93.87</v>
      </c>
      <c r="O196" s="348">
        <v>1405</v>
      </c>
      <c r="P196" s="347">
        <v>90.2</v>
      </c>
      <c r="Q196" s="347">
        <v>97.63</v>
      </c>
      <c r="R196" s="347">
        <v>56.49</v>
      </c>
      <c r="S196" s="347">
        <v>146.69</v>
      </c>
      <c r="T196" s="348">
        <v>156</v>
      </c>
      <c r="U196" s="347">
        <v>106.16</v>
      </c>
      <c r="V196" s="348">
        <v>632</v>
      </c>
      <c r="W196" s="347">
        <v>0</v>
      </c>
      <c r="X196" s="348">
        <v>0</v>
      </c>
      <c r="Y196" s="349">
        <v>0</v>
      </c>
      <c r="Z196" s="349">
        <v>1</v>
      </c>
      <c r="AA196" s="349">
        <v>0</v>
      </c>
      <c r="AB196" s="349">
        <v>41</v>
      </c>
      <c r="AC196" s="349">
        <v>7</v>
      </c>
      <c r="AD196" s="349">
        <v>2056</v>
      </c>
      <c r="AE196" s="349">
        <v>17</v>
      </c>
      <c r="AF196" s="349">
        <v>16</v>
      </c>
      <c r="AG196" s="349">
        <v>33</v>
      </c>
    </row>
    <row r="197" spans="1:33" x14ac:dyDescent="0.3">
      <c r="A197" s="342" t="s">
        <v>448</v>
      </c>
      <c r="B197" s="342" t="s">
        <v>449</v>
      </c>
      <c r="C197" s="349">
        <v>14543</v>
      </c>
      <c r="D197" s="349">
        <v>0</v>
      </c>
      <c r="E197" s="349">
        <v>463</v>
      </c>
      <c r="F197" s="349">
        <v>2980</v>
      </c>
      <c r="G197" s="349">
        <v>555</v>
      </c>
      <c r="H197" s="346">
        <v>18541</v>
      </c>
      <c r="I197" s="346">
        <v>17986</v>
      </c>
      <c r="J197" s="349">
        <v>0</v>
      </c>
      <c r="K197" s="347">
        <v>76.03</v>
      </c>
      <c r="L197" s="347">
        <v>73.39</v>
      </c>
      <c r="M197" s="347">
        <v>2.25</v>
      </c>
      <c r="N197" s="347">
        <v>77.150000000000006</v>
      </c>
      <c r="O197" s="348">
        <v>12930</v>
      </c>
      <c r="P197" s="347">
        <v>77.56</v>
      </c>
      <c r="Q197" s="347">
        <v>67.17</v>
      </c>
      <c r="R197" s="347">
        <v>30.2</v>
      </c>
      <c r="S197" s="347">
        <v>104.16</v>
      </c>
      <c r="T197" s="348">
        <v>3204</v>
      </c>
      <c r="U197" s="347">
        <v>100.06</v>
      </c>
      <c r="V197" s="348">
        <v>1369</v>
      </c>
      <c r="W197" s="347">
        <v>136.07</v>
      </c>
      <c r="X197" s="348">
        <v>129</v>
      </c>
      <c r="Y197" s="349">
        <v>0</v>
      </c>
      <c r="Z197" s="349">
        <v>50</v>
      </c>
      <c r="AA197" s="349">
        <v>4</v>
      </c>
      <c r="AB197" s="349">
        <v>66</v>
      </c>
      <c r="AC197" s="349">
        <v>5</v>
      </c>
      <c r="AD197" s="349">
        <v>14306</v>
      </c>
      <c r="AE197" s="349">
        <v>142</v>
      </c>
      <c r="AF197" s="349">
        <v>50</v>
      </c>
      <c r="AG197" s="349">
        <v>192</v>
      </c>
    </row>
    <row r="198" spans="1:33" x14ac:dyDescent="0.3">
      <c r="A198" s="342" t="s">
        <v>450</v>
      </c>
      <c r="B198" s="342" t="s">
        <v>451</v>
      </c>
      <c r="C198" s="349">
        <v>4054</v>
      </c>
      <c r="D198" s="349">
        <v>0</v>
      </c>
      <c r="E198" s="349">
        <v>522</v>
      </c>
      <c r="F198" s="349">
        <v>1173</v>
      </c>
      <c r="G198" s="349">
        <v>271</v>
      </c>
      <c r="H198" s="346">
        <v>6020</v>
      </c>
      <c r="I198" s="346">
        <v>5749</v>
      </c>
      <c r="J198" s="349">
        <v>7</v>
      </c>
      <c r="K198" s="347">
        <v>89.37</v>
      </c>
      <c r="L198" s="347">
        <v>88.75</v>
      </c>
      <c r="M198" s="347">
        <v>6.44</v>
      </c>
      <c r="N198" s="347">
        <v>94.6</v>
      </c>
      <c r="O198" s="348">
        <v>3486</v>
      </c>
      <c r="P198" s="347">
        <v>100.23</v>
      </c>
      <c r="Q198" s="347">
        <v>81.790000000000006</v>
      </c>
      <c r="R198" s="347">
        <v>45.25</v>
      </c>
      <c r="S198" s="347">
        <v>142.66</v>
      </c>
      <c r="T198" s="348">
        <v>997</v>
      </c>
      <c r="U198" s="347">
        <v>110.31</v>
      </c>
      <c r="V198" s="348">
        <v>475</v>
      </c>
      <c r="W198" s="347">
        <v>140.41</v>
      </c>
      <c r="X198" s="348">
        <v>8</v>
      </c>
      <c r="Y198" s="349">
        <v>0</v>
      </c>
      <c r="Z198" s="349">
        <v>0</v>
      </c>
      <c r="AA198" s="349">
        <v>0</v>
      </c>
      <c r="AB198" s="349">
        <v>0</v>
      </c>
      <c r="AC198" s="349">
        <v>4</v>
      </c>
      <c r="AD198" s="349">
        <v>4038</v>
      </c>
      <c r="AE198" s="349">
        <v>22</v>
      </c>
      <c r="AF198" s="349">
        <v>24</v>
      </c>
      <c r="AG198" s="349">
        <v>46</v>
      </c>
    </row>
    <row r="199" spans="1:33" x14ac:dyDescent="0.3">
      <c r="A199" s="342" t="s">
        <v>452</v>
      </c>
      <c r="B199" s="342" t="s">
        <v>453</v>
      </c>
      <c r="C199" s="349">
        <v>6677</v>
      </c>
      <c r="D199" s="349">
        <v>217</v>
      </c>
      <c r="E199" s="349">
        <v>1362</v>
      </c>
      <c r="F199" s="349">
        <v>2199</v>
      </c>
      <c r="G199" s="349">
        <v>294</v>
      </c>
      <c r="H199" s="346">
        <v>10749</v>
      </c>
      <c r="I199" s="346">
        <v>10455</v>
      </c>
      <c r="J199" s="349">
        <v>38</v>
      </c>
      <c r="K199" s="347">
        <v>85.82</v>
      </c>
      <c r="L199" s="347">
        <v>82.76</v>
      </c>
      <c r="M199" s="347">
        <v>6.77</v>
      </c>
      <c r="N199" s="347">
        <v>90.18</v>
      </c>
      <c r="O199" s="348">
        <v>5738</v>
      </c>
      <c r="P199" s="347">
        <v>85.97</v>
      </c>
      <c r="Q199" s="347">
        <v>75.8</v>
      </c>
      <c r="R199" s="347">
        <v>79.39</v>
      </c>
      <c r="S199" s="347">
        <v>162.44999999999999</v>
      </c>
      <c r="T199" s="348">
        <v>2918</v>
      </c>
      <c r="U199" s="347">
        <v>104.62</v>
      </c>
      <c r="V199" s="348">
        <v>497</v>
      </c>
      <c r="W199" s="347">
        <v>198.27</v>
      </c>
      <c r="X199" s="348">
        <v>199</v>
      </c>
      <c r="Y199" s="349">
        <v>13</v>
      </c>
      <c r="Z199" s="349">
        <v>13</v>
      </c>
      <c r="AA199" s="349">
        <v>4</v>
      </c>
      <c r="AB199" s="349">
        <v>8</v>
      </c>
      <c r="AC199" s="349">
        <v>11</v>
      </c>
      <c r="AD199" s="349">
        <v>6603</v>
      </c>
      <c r="AE199" s="349">
        <v>66</v>
      </c>
      <c r="AF199" s="349">
        <v>36</v>
      </c>
      <c r="AG199" s="349">
        <v>102</v>
      </c>
    </row>
    <row r="200" spans="1:33" x14ac:dyDescent="0.3">
      <c r="A200" s="342" t="s">
        <v>454</v>
      </c>
      <c r="B200" s="342" t="s">
        <v>455</v>
      </c>
      <c r="C200" s="349">
        <v>2283</v>
      </c>
      <c r="D200" s="349">
        <v>0</v>
      </c>
      <c r="E200" s="349">
        <v>253</v>
      </c>
      <c r="F200" s="349">
        <v>360</v>
      </c>
      <c r="G200" s="349">
        <v>455</v>
      </c>
      <c r="H200" s="346">
        <v>3351</v>
      </c>
      <c r="I200" s="346">
        <v>2896</v>
      </c>
      <c r="J200" s="349">
        <v>0</v>
      </c>
      <c r="K200" s="347">
        <v>96.78</v>
      </c>
      <c r="L200" s="347">
        <v>92.94</v>
      </c>
      <c r="M200" s="347">
        <v>7.68</v>
      </c>
      <c r="N200" s="347">
        <v>103.18</v>
      </c>
      <c r="O200" s="348">
        <v>1670</v>
      </c>
      <c r="P200" s="347">
        <v>120.02</v>
      </c>
      <c r="Q200" s="347">
        <v>83.53</v>
      </c>
      <c r="R200" s="347">
        <v>61.81</v>
      </c>
      <c r="S200" s="347">
        <v>180.2</v>
      </c>
      <c r="T200" s="348">
        <v>455</v>
      </c>
      <c r="U200" s="347">
        <v>117.34</v>
      </c>
      <c r="V200" s="348">
        <v>596</v>
      </c>
      <c r="W200" s="347">
        <v>186.1</v>
      </c>
      <c r="X200" s="348">
        <v>60</v>
      </c>
      <c r="Y200" s="349">
        <v>0</v>
      </c>
      <c r="Z200" s="349">
        <v>1</v>
      </c>
      <c r="AA200" s="349">
        <v>0</v>
      </c>
      <c r="AB200" s="349">
        <v>36</v>
      </c>
      <c r="AC200" s="349">
        <v>8</v>
      </c>
      <c r="AD200" s="349">
        <v>2283</v>
      </c>
      <c r="AE200" s="349">
        <v>14</v>
      </c>
      <c r="AF200" s="349">
        <v>3</v>
      </c>
      <c r="AG200" s="349">
        <v>17</v>
      </c>
    </row>
    <row r="201" spans="1:33" x14ac:dyDescent="0.3">
      <c r="A201" s="342" t="s">
        <v>456</v>
      </c>
      <c r="B201" s="342" t="s">
        <v>457</v>
      </c>
      <c r="C201" s="349">
        <v>526</v>
      </c>
      <c r="D201" s="349">
        <v>0</v>
      </c>
      <c r="E201" s="349">
        <v>65</v>
      </c>
      <c r="F201" s="349">
        <v>95</v>
      </c>
      <c r="G201" s="349">
        <v>120</v>
      </c>
      <c r="H201" s="346">
        <v>806</v>
      </c>
      <c r="I201" s="346">
        <v>686</v>
      </c>
      <c r="J201" s="349">
        <v>2</v>
      </c>
      <c r="K201" s="347">
        <v>92.61</v>
      </c>
      <c r="L201" s="347">
        <v>89.91</v>
      </c>
      <c r="M201" s="347">
        <v>6.03</v>
      </c>
      <c r="N201" s="347">
        <v>95.96</v>
      </c>
      <c r="O201" s="348">
        <v>279</v>
      </c>
      <c r="P201" s="347">
        <v>112.89</v>
      </c>
      <c r="Q201" s="347">
        <v>74.58</v>
      </c>
      <c r="R201" s="347">
        <v>48.78</v>
      </c>
      <c r="S201" s="347">
        <v>161.66999999999999</v>
      </c>
      <c r="T201" s="348">
        <v>142</v>
      </c>
      <c r="U201" s="347">
        <v>112.14</v>
      </c>
      <c r="V201" s="348">
        <v>154</v>
      </c>
      <c r="W201" s="347">
        <v>0</v>
      </c>
      <c r="X201" s="348">
        <v>0</v>
      </c>
      <c r="Y201" s="349">
        <v>0</v>
      </c>
      <c r="Z201" s="349">
        <v>0</v>
      </c>
      <c r="AA201" s="349">
        <v>0</v>
      </c>
      <c r="AB201" s="349">
        <v>0</v>
      </c>
      <c r="AC201" s="349">
        <v>0</v>
      </c>
      <c r="AD201" s="349">
        <v>485</v>
      </c>
      <c r="AE201" s="349">
        <v>1</v>
      </c>
      <c r="AF201" s="349">
        <v>2</v>
      </c>
      <c r="AG201" s="349">
        <v>3</v>
      </c>
    </row>
    <row r="202" spans="1:33" x14ac:dyDescent="0.3">
      <c r="A202" s="342" t="s">
        <v>458</v>
      </c>
      <c r="B202" s="342" t="s">
        <v>459</v>
      </c>
      <c r="C202" s="349">
        <v>17142</v>
      </c>
      <c r="D202" s="349">
        <v>5</v>
      </c>
      <c r="E202" s="349">
        <v>583</v>
      </c>
      <c r="F202" s="349">
        <v>791</v>
      </c>
      <c r="G202" s="349">
        <v>280</v>
      </c>
      <c r="H202" s="346">
        <v>18801</v>
      </c>
      <c r="I202" s="346">
        <v>18521</v>
      </c>
      <c r="J202" s="349">
        <v>9</v>
      </c>
      <c r="K202" s="347">
        <v>78.17</v>
      </c>
      <c r="L202" s="347">
        <v>77.819999999999993</v>
      </c>
      <c r="M202" s="347">
        <v>4.54</v>
      </c>
      <c r="N202" s="347">
        <v>80.53</v>
      </c>
      <c r="O202" s="348">
        <v>15080</v>
      </c>
      <c r="P202" s="347">
        <v>78.11</v>
      </c>
      <c r="Q202" s="347">
        <v>74.75</v>
      </c>
      <c r="R202" s="347">
        <v>29.49</v>
      </c>
      <c r="S202" s="347">
        <v>104.29</v>
      </c>
      <c r="T202" s="348">
        <v>1307</v>
      </c>
      <c r="U202" s="347">
        <v>101.05</v>
      </c>
      <c r="V202" s="348">
        <v>1491</v>
      </c>
      <c r="W202" s="347">
        <v>0</v>
      </c>
      <c r="X202" s="348">
        <v>0</v>
      </c>
      <c r="Y202" s="349">
        <v>1</v>
      </c>
      <c r="Z202" s="349">
        <v>59</v>
      </c>
      <c r="AA202" s="349">
        <v>0</v>
      </c>
      <c r="AB202" s="349">
        <v>18</v>
      </c>
      <c r="AC202" s="349">
        <v>5</v>
      </c>
      <c r="AD202" s="349">
        <v>16523</v>
      </c>
      <c r="AE202" s="349">
        <v>34</v>
      </c>
      <c r="AF202" s="349">
        <v>72</v>
      </c>
      <c r="AG202" s="349">
        <v>106</v>
      </c>
    </row>
    <row r="203" spans="1:33" x14ac:dyDescent="0.3">
      <c r="A203" s="342" t="s">
        <v>460</v>
      </c>
      <c r="B203" s="342" t="s">
        <v>461</v>
      </c>
      <c r="C203" s="349">
        <v>3071</v>
      </c>
      <c r="D203" s="349">
        <v>2</v>
      </c>
      <c r="E203" s="349">
        <v>472</v>
      </c>
      <c r="F203" s="349">
        <v>859</v>
      </c>
      <c r="G203" s="349">
        <v>648</v>
      </c>
      <c r="H203" s="346">
        <v>5052</v>
      </c>
      <c r="I203" s="346">
        <v>4404</v>
      </c>
      <c r="J203" s="349">
        <v>2</v>
      </c>
      <c r="K203" s="347">
        <v>114.81</v>
      </c>
      <c r="L203" s="347">
        <v>111.19</v>
      </c>
      <c r="M203" s="347">
        <v>7.28</v>
      </c>
      <c r="N203" s="347">
        <v>120.57</v>
      </c>
      <c r="O203" s="348">
        <v>2878</v>
      </c>
      <c r="P203" s="347">
        <v>109.45</v>
      </c>
      <c r="Q203" s="347">
        <v>97.25</v>
      </c>
      <c r="R203" s="347">
        <v>49.95</v>
      </c>
      <c r="S203" s="347">
        <v>157.02000000000001</v>
      </c>
      <c r="T203" s="348">
        <v>1282</v>
      </c>
      <c r="U203" s="347">
        <v>176.1</v>
      </c>
      <c r="V203" s="348">
        <v>89</v>
      </c>
      <c r="W203" s="347">
        <v>0</v>
      </c>
      <c r="X203" s="348">
        <v>0</v>
      </c>
      <c r="Y203" s="349">
        <v>158</v>
      </c>
      <c r="Z203" s="349">
        <v>1</v>
      </c>
      <c r="AA203" s="349">
        <v>4</v>
      </c>
      <c r="AB203" s="349">
        <v>30</v>
      </c>
      <c r="AC203" s="349">
        <v>17</v>
      </c>
      <c r="AD203" s="349">
        <v>3071</v>
      </c>
      <c r="AE203" s="349">
        <v>27</v>
      </c>
      <c r="AF203" s="349">
        <v>72</v>
      </c>
      <c r="AG203" s="349">
        <v>99</v>
      </c>
    </row>
    <row r="204" spans="1:33" x14ac:dyDescent="0.3">
      <c r="A204" s="342" t="s">
        <v>462</v>
      </c>
      <c r="B204" s="342" t="s">
        <v>463</v>
      </c>
      <c r="C204" s="349">
        <v>4197</v>
      </c>
      <c r="D204" s="349">
        <v>0</v>
      </c>
      <c r="E204" s="349">
        <v>252</v>
      </c>
      <c r="F204" s="349">
        <v>198</v>
      </c>
      <c r="G204" s="349">
        <v>15</v>
      </c>
      <c r="H204" s="346">
        <v>4662</v>
      </c>
      <c r="I204" s="346">
        <v>4647</v>
      </c>
      <c r="J204" s="349">
        <v>2</v>
      </c>
      <c r="K204" s="347">
        <v>74.099999999999994</v>
      </c>
      <c r="L204" s="347">
        <v>70.959999999999994</v>
      </c>
      <c r="M204" s="347">
        <v>1.79</v>
      </c>
      <c r="N204" s="347">
        <v>75.73</v>
      </c>
      <c r="O204" s="348">
        <v>3719</v>
      </c>
      <c r="P204" s="347">
        <v>102.87</v>
      </c>
      <c r="Q204" s="347">
        <v>71.7</v>
      </c>
      <c r="R204" s="347">
        <v>63.63</v>
      </c>
      <c r="S204" s="347">
        <v>162.57</v>
      </c>
      <c r="T204" s="348">
        <v>323</v>
      </c>
      <c r="U204" s="347">
        <v>95.1</v>
      </c>
      <c r="V204" s="348">
        <v>463</v>
      </c>
      <c r="W204" s="347">
        <v>194.99</v>
      </c>
      <c r="X204" s="348">
        <v>27</v>
      </c>
      <c r="Y204" s="349">
        <v>17</v>
      </c>
      <c r="Z204" s="349">
        <v>8</v>
      </c>
      <c r="AA204" s="349">
        <v>11</v>
      </c>
      <c r="AB204" s="349">
        <v>0</v>
      </c>
      <c r="AC204" s="349">
        <v>1</v>
      </c>
      <c r="AD204" s="349">
        <v>4193</v>
      </c>
      <c r="AE204" s="349">
        <v>24</v>
      </c>
      <c r="AF204" s="349">
        <v>10</v>
      </c>
      <c r="AG204" s="349">
        <v>34</v>
      </c>
    </row>
    <row r="205" spans="1:33" x14ac:dyDescent="0.3">
      <c r="A205" s="342" t="s">
        <v>464</v>
      </c>
      <c r="B205" s="342" t="s">
        <v>465</v>
      </c>
      <c r="C205" s="349">
        <v>13122</v>
      </c>
      <c r="D205" s="349">
        <v>29</v>
      </c>
      <c r="E205" s="349">
        <v>615</v>
      </c>
      <c r="F205" s="349">
        <v>2312</v>
      </c>
      <c r="G205" s="349">
        <v>1103</v>
      </c>
      <c r="H205" s="346">
        <v>17181</v>
      </c>
      <c r="I205" s="346">
        <v>16078</v>
      </c>
      <c r="J205" s="349">
        <v>8</v>
      </c>
      <c r="K205" s="347">
        <v>87.21</v>
      </c>
      <c r="L205" s="347">
        <v>86.59</v>
      </c>
      <c r="M205" s="347">
        <v>5.89</v>
      </c>
      <c r="N205" s="347">
        <v>90.25</v>
      </c>
      <c r="O205" s="348">
        <v>11079</v>
      </c>
      <c r="P205" s="347">
        <v>92.56</v>
      </c>
      <c r="Q205" s="347">
        <v>84.49</v>
      </c>
      <c r="R205" s="347">
        <v>38.299999999999997</v>
      </c>
      <c r="S205" s="347">
        <v>129.22999999999999</v>
      </c>
      <c r="T205" s="348">
        <v>2585</v>
      </c>
      <c r="U205" s="347">
        <v>110.58</v>
      </c>
      <c r="V205" s="348">
        <v>1749</v>
      </c>
      <c r="W205" s="347">
        <v>207.35</v>
      </c>
      <c r="X205" s="348">
        <v>87</v>
      </c>
      <c r="Y205" s="349">
        <v>0</v>
      </c>
      <c r="Z205" s="349">
        <v>21</v>
      </c>
      <c r="AA205" s="349">
        <v>7</v>
      </c>
      <c r="AB205" s="349">
        <v>74</v>
      </c>
      <c r="AC205" s="349">
        <v>25</v>
      </c>
      <c r="AD205" s="349">
        <v>13122</v>
      </c>
      <c r="AE205" s="349">
        <v>71</v>
      </c>
      <c r="AF205" s="349">
        <v>5</v>
      </c>
      <c r="AG205" s="349">
        <v>76</v>
      </c>
    </row>
    <row r="206" spans="1:33" x14ac:dyDescent="0.3">
      <c r="A206" s="342" t="s">
        <v>466</v>
      </c>
      <c r="B206" s="342" t="s">
        <v>467</v>
      </c>
      <c r="C206" s="349">
        <v>18926</v>
      </c>
      <c r="D206" s="349">
        <v>0</v>
      </c>
      <c r="E206" s="349">
        <v>2467</v>
      </c>
      <c r="F206" s="349">
        <v>1063</v>
      </c>
      <c r="G206" s="349">
        <v>1200</v>
      </c>
      <c r="H206" s="346">
        <v>23656</v>
      </c>
      <c r="I206" s="346">
        <v>22456</v>
      </c>
      <c r="J206" s="349">
        <v>139</v>
      </c>
      <c r="K206" s="347">
        <v>76.55</v>
      </c>
      <c r="L206" s="347">
        <v>75.930000000000007</v>
      </c>
      <c r="M206" s="347">
        <v>6.99</v>
      </c>
      <c r="N206" s="347">
        <v>80.930000000000007</v>
      </c>
      <c r="O206" s="348">
        <v>13938</v>
      </c>
      <c r="P206" s="347">
        <v>72.900000000000006</v>
      </c>
      <c r="Q206" s="347">
        <v>70.650000000000006</v>
      </c>
      <c r="R206" s="347">
        <v>30.95</v>
      </c>
      <c r="S206" s="347">
        <v>101.4</v>
      </c>
      <c r="T206" s="348">
        <v>2918</v>
      </c>
      <c r="U206" s="347">
        <v>104.62</v>
      </c>
      <c r="V206" s="348">
        <v>4422</v>
      </c>
      <c r="W206" s="347">
        <v>97.55</v>
      </c>
      <c r="X206" s="348">
        <v>508</v>
      </c>
      <c r="Y206" s="349">
        <v>31</v>
      </c>
      <c r="Z206" s="349">
        <v>42</v>
      </c>
      <c r="AA206" s="349">
        <v>20</v>
      </c>
      <c r="AB206" s="349">
        <v>39</v>
      </c>
      <c r="AC206" s="349">
        <v>31</v>
      </c>
      <c r="AD206" s="349">
        <v>18434</v>
      </c>
      <c r="AE206" s="349">
        <v>111</v>
      </c>
      <c r="AF206" s="349">
        <v>176</v>
      </c>
      <c r="AG206" s="349">
        <v>287</v>
      </c>
    </row>
    <row r="207" spans="1:33" x14ac:dyDescent="0.3">
      <c r="A207" s="342" t="s">
        <v>468</v>
      </c>
      <c r="B207" s="342" t="s">
        <v>469</v>
      </c>
      <c r="C207" s="349">
        <v>4818</v>
      </c>
      <c r="D207" s="349">
        <v>36</v>
      </c>
      <c r="E207" s="349">
        <v>472</v>
      </c>
      <c r="F207" s="349">
        <v>1061</v>
      </c>
      <c r="G207" s="349">
        <v>639</v>
      </c>
      <c r="H207" s="346">
        <v>7026</v>
      </c>
      <c r="I207" s="346">
        <v>6387</v>
      </c>
      <c r="J207" s="349">
        <v>34</v>
      </c>
      <c r="K207" s="347">
        <v>100.16</v>
      </c>
      <c r="L207" s="347">
        <v>96.66</v>
      </c>
      <c r="M207" s="347">
        <v>9.23</v>
      </c>
      <c r="N207" s="347">
        <v>107.35</v>
      </c>
      <c r="O207" s="348">
        <v>3726</v>
      </c>
      <c r="P207" s="347">
        <v>88.74</v>
      </c>
      <c r="Q207" s="347">
        <v>77.98</v>
      </c>
      <c r="R207" s="347">
        <v>29.84</v>
      </c>
      <c r="S207" s="347">
        <v>117.07</v>
      </c>
      <c r="T207" s="348">
        <v>555</v>
      </c>
      <c r="U207" s="347">
        <v>131.94</v>
      </c>
      <c r="V207" s="348">
        <v>820</v>
      </c>
      <c r="W207" s="347">
        <v>183.89</v>
      </c>
      <c r="X207" s="348">
        <v>278</v>
      </c>
      <c r="Y207" s="349">
        <v>72</v>
      </c>
      <c r="Z207" s="349">
        <v>3</v>
      </c>
      <c r="AA207" s="349">
        <v>1</v>
      </c>
      <c r="AB207" s="349">
        <v>2</v>
      </c>
      <c r="AC207" s="349">
        <v>15</v>
      </c>
      <c r="AD207" s="349">
        <v>4724</v>
      </c>
      <c r="AE207" s="349">
        <v>23</v>
      </c>
      <c r="AF207" s="349">
        <v>9</v>
      </c>
      <c r="AG207" s="349">
        <v>32</v>
      </c>
    </row>
    <row r="208" spans="1:33" x14ac:dyDescent="0.3">
      <c r="A208" s="342" t="s">
        <v>470</v>
      </c>
      <c r="B208" s="342" t="s">
        <v>471</v>
      </c>
      <c r="C208" s="349">
        <v>10127</v>
      </c>
      <c r="D208" s="349">
        <v>12</v>
      </c>
      <c r="E208" s="349">
        <v>666</v>
      </c>
      <c r="F208" s="349">
        <v>1104</v>
      </c>
      <c r="G208" s="349">
        <v>535</v>
      </c>
      <c r="H208" s="346">
        <v>12444</v>
      </c>
      <c r="I208" s="346">
        <v>11909</v>
      </c>
      <c r="J208" s="349">
        <v>0</v>
      </c>
      <c r="K208" s="347">
        <v>79.599999999999994</v>
      </c>
      <c r="L208" s="347">
        <v>78.959999999999994</v>
      </c>
      <c r="M208" s="347">
        <v>5.85</v>
      </c>
      <c r="N208" s="347">
        <v>82.71</v>
      </c>
      <c r="O208" s="348">
        <v>8839</v>
      </c>
      <c r="P208" s="347">
        <v>80.819999999999993</v>
      </c>
      <c r="Q208" s="347">
        <v>70.739999999999995</v>
      </c>
      <c r="R208" s="347">
        <v>51.8</v>
      </c>
      <c r="S208" s="347">
        <v>128.76</v>
      </c>
      <c r="T208" s="348">
        <v>1599</v>
      </c>
      <c r="U208" s="347">
        <v>105.53</v>
      </c>
      <c r="V208" s="348">
        <v>1258</v>
      </c>
      <c r="W208" s="347">
        <v>200.65</v>
      </c>
      <c r="X208" s="348">
        <v>81</v>
      </c>
      <c r="Y208" s="349">
        <v>49</v>
      </c>
      <c r="Z208" s="349">
        <v>22</v>
      </c>
      <c r="AA208" s="349">
        <v>5</v>
      </c>
      <c r="AB208" s="349">
        <v>45</v>
      </c>
      <c r="AC208" s="349">
        <v>9</v>
      </c>
      <c r="AD208" s="349">
        <v>10106</v>
      </c>
      <c r="AE208" s="349">
        <v>70</v>
      </c>
      <c r="AF208" s="349">
        <v>145</v>
      </c>
      <c r="AG208" s="349">
        <v>215</v>
      </c>
    </row>
    <row r="209" spans="1:33" x14ac:dyDescent="0.3">
      <c r="A209" s="342" t="s">
        <v>472</v>
      </c>
      <c r="B209" s="342" t="s">
        <v>473</v>
      </c>
      <c r="C209" s="349">
        <v>3745</v>
      </c>
      <c r="D209" s="349">
        <v>0</v>
      </c>
      <c r="E209" s="349">
        <v>314</v>
      </c>
      <c r="F209" s="349">
        <v>491</v>
      </c>
      <c r="G209" s="349">
        <v>930</v>
      </c>
      <c r="H209" s="346">
        <v>5480</v>
      </c>
      <c r="I209" s="346">
        <v>4550</v>
      </c>
      <c r="J209" s="349">
        <v>18</v>
      </c>
      <c r="K209" s="347">
        <v>119.26</v>
      </c>
      <c r="L209" s="347">
        <v>117.06</v>
      </c>
      <c r="M209" s="347">
        <v>9.2899999999999991</v>
      </c>
      <c r="N209" s="347">
        <v>127.99</v>
      </c>
      <c r="O209" s="348">
        <v>2845</v>
      </c>
      <c r="P209" s="347">
        <v>106.9</v>
      </c>
      <c r="Q209" s="347">
        <v>99.64</v>
      </c>
      <c r="R209" s="347">
        <v>82.32</v>
      </c>
      <c r="S209" s="347">
        <v>181.7</v>
      </c>
      <c r="T209" s="348">
        <v>646</v>
      </c>
      <c r="U209" s="347">
        <v>188.24</v>
      </c>
      <c r="V209" s="348">
        <v>510</v>
      </c>
      <c r="W209" s="347">
        <v>140.78</v>
      </c>
      <c r="X209" s="348">
        <v>33</v>
      </c>
      <c r="Y209" s="349">
        <v>0</v>
      </c>
      <c r="Z209" s="349">
        <v>0</v>
      </c>
      <c r="AA209" s="349">
        <v>8</v>
      </c>
      <c r="AB209" s="349">
        <v>0</v>
      </c>
      <c r="AC209" s="349">
        <v>20</v>
      </c>
      <c r="AD209" s="349">
        <v>3574</v>
      </c>
      <c r="AE209" s="349">
        <v>35</v>
      </c>
      <c r="AF209" s="349">
        <v>14</v>
      </c>
      <c r="AG209" s="349">
        <v>49</v>
      </c>
    </row>
    <row r="210" spans="1:33" x14ac:dyDescent="0.3">
      <c r="A210" s="342" t="s">
        <v>474</v>
      </c>
      <c r="B210" s="342" t="s">
        <v>475</v>
      </c>
      <c r="C210" s="349">
        <v>3507</v>
      </c>
      <c r="D210" s="349">
        <v>3</v>
      </c>
      <c r="E210" s="349">
        <v>324</v>
      </c>
      <c r="F210" s="349">
        <v>1097</v>
      </c>
      <c r="G210" s="349">
        <v>864</v>
      </c>
      <c r="H210" s="346">
        <v>5795</v>
      </c>
      <c r="I210" s="346">
        <v>4931</v>
      </c>
      <c r="J210" s="349">
        <v>17</v>
      </c>
      <c r="K210" s="347">
        <v>125.25</v>
      </c>
      <c r="L210" s="347">
        <v>123.56</v>
      </c>
      <c r="M210" s="347">
        <v>12.24</v>
      </c>
      <c r="N210" s="347">
        <v>132.44999999999999</v>
      </c>
      <c r="O210" s="348">
        <v>2849</v>
      </c>
      <c r="P210" s="347">
        <v>105.96</v>
      </c>
      <c r="Q210" s="347">
        <v>98.54</v>
      </c>
      <c r="R210" s="347">
        <v>55.41</v>
      </c>
      <c r="S210" s="347">
        <v>160.52000000000001</v>
      </c>
      <c r="T210" s="348">
        <v>1247</v>
      </c>
      <c r="U210" s="347">
        <v>191.02</v>
      </c>
      <c r="V210" s="348">
        <v>385</v>
      </c>
      <c r="W210" s="347">
        <v>137.52000000000001</v>
      </c>
      <c r="X210" s="348">
        <v>53</v>
      </c>
      <c r="Y210" s="349">
        <v>5</v>
      </c>
      <c r="Z210" s="349">
        <v>1</v>
      </c>
      <c r="AA210" s="349">
        <v>1</v>
      </c>
      <c r="AB210" s="349">
        <v>24</v>
      </c>
      <c r="AC210" s="349">
        <v>18</v>
      </c>
      <c r="AD210" s="349">
        <v>3382</v>
      </c>
      <c r="AE210" s="349">
        <v>27</v>
      </c>
      <c r="AF210" s="349">
        <v>7</v>
      </c>
      <c r="AG210" s="349">
        <v>34</v>
      </c>
    </row>
    <row r="211" spans="1:33" x14ac:dyDescent="0.3">
      <c r="A211" s="342" t="s">
        <v>476</v>
      </c>
      <c r="B211" s="342" t="s">
        <v>477</v>
      </c>
      <c r="C211" s="349">
        <v>11402</v>
      </c>
      <c r="D211" s="349">
        <v>0</v>
      </c>
      <c r="E211" s="349">
        <v>263</v>
      </c>
      <c r="F211" s="349">
        <v>635</v>
      </c>
      <c r="G211" s="349">
        <v>303</v>
      </c>
      <c r="H211" s="346">
        <v>12603</v>
      </c>
      <c r="I211" s="346">
        <v>12300</v>
      </c>
      <c r="J211" s="349">
        <v>4</v>
      </c>
      <c r="K211" s="347">
        <v>88.12</v>
      </c>
      <c r="L211" s="347">
        <v>88.08</v>
      </c>
      <c r="M211" s="347">
        <v>5.13</v>
      </c>
      <c r="N211" s="347">
        <v>90.73</v>
      </c>
      <c r="O211" s="348">
        <v>10795</v>
      </c>
      <c r="P211" s="347">
        <v>86.13</v>
      </c>
      <c r="Q211" s="347">
        <v>76.650000000000006</v>
      </c>
      <c r="R211" s="347">
        <v>53.72</v>
      </c>
      <c r="S211" s="347">
        <v>139.76</v>
      </c>
      <c r="T211" s="348">
        <v>642</v>
      </c>
      <c r="U211" s="347">
        <v>104.81</v>
      </c>
      <c r="V211" s="348">
        <v>404</v>
      </c>
      <c r="W211" s="347">
        <v>139.77000000000001</v>
      </c>
      <c r="X211" s="348">
        <v>163</v>
      </c>
      <c r="Y211" s="349">
        <v>0</v>
      </c>
      <c r="Z211" s="349">
        <v>42</v>
      </c>
      <c r="AA211" s="349">
        <v>3</v>
      </c>
      <c r="AB211" s="349">
        <v>17</v>
      </c>
      <c r="AC211" s="349">
        <v>6</v>
      </c>
      <c r="AD211" s="349">
        <v>11402</v>
      </c>
      <c r="AE211" s="349">
        <v>92</v>
      </c>
      <c r="AF211" s="349">
        <v>104</v>
      </c>
      <c r="AG211" s="349">
        <v>196</v>
      </c>
    </row>
    <row r="212" spans="1:33" x14ac:dyDescent="0.3">
      <c r="A212" s="342" t="s">
        <v>478</v>
      </c>
      <c r="B212" s="342" t="s">
        <v>479</v>
      </c>
      <c r="C212" s="349">
        <v>1917</v>
      </c>
      <c r="D212" s="349">
        <v>0</v>
      </c>
      <c r="E212" s="349">
        <v>174</v>
      </c>
      <c r="F212" s="349">
        <v>181</v>
      </c>
      <c r="G212" s="349">
        <v>262</v>
      </c>
      <c r="H212" s="346">
        <v>2534</v>
      </c>
      <c r="I212" s="346">
        <v>2272</v>
      </c>
      <c r="J212" s="349">
        <v>0</v>
      </c>
      <c r="K212" s="347">
        <v>92.1</v>
      </c>
      <c r="L212" s="347">
        <v>90.66</v>
      </c>
      <c r="M212" s="347">
        <v>4.72</v>
      </c>
      <c r="N212" s="347">
        <v>96.1</v>
      </c>
      <c r="O212" s="348">
        <v>1513</v>
      </c>
      <c r="P212" s="347">
        <v>110.15</v>
      </c>
      <c r="Q212" s="347">
        <v>91.57</v>
      </c>
      <c r="R212" s="347">
        <v>64.95</v>
      </c>
      <c r="S212" s="347">
        <v>170.42</v>
      </c>
      <c r="T212" s="348">
        <v>250</v>
      </c>
      <c r="U212" s="347">
        <v>120.98</v>
      </c>
      <c r="V212" s="348">
        <v>196</v>
      </c>
      <c r="W212" s="347">
        <v>217.42</v>
      </c>
      <c r="X212" s="348">
        <v>44</v>
      </c>
      <c r="Y212" s="349">
        <v>0</v>
      </c>
      <c r="Z212" s="349">
        <v>1</v>
      </c>
      <c r="AA212" s="349">
        <v>1</v>
      </c>
      <c r="AB212" s="349">
        <v>25</v>
      </c>
      <c r="AC212" s="349">
        <v>6</v>
      </c>
      <c r="AD212" s="349">
        <v>1753</v>
      </c>
      <c r="AE212" s="349">
        <v>10</v>
      </c>
      <c r="AF212" s="349">
        <v>2</v>
      </c>
      <c r="AG212" s="349">
        <v>12</v>
      </c>
    </row>
    <row r="213" spans="1:33" x14ac:dyDescent="0.3">
      <c r="A213" s="342" t="s">
        <v>480</v>
      </c>
      <c r="B213" s="342" t="s">
        <v>481</v>
      </c>
      <c r="C213" s="349">
        <v>6247</v>
      </c>
      <c r="D213" s="349">
        <v>0</v>
      </c>
      <c r="E213" s="349">
        <v>431</v>
      </c>
      <c r="F213" s="349">
        <v>530</v>
      </c>
      <c r="G213" s="349">
        <v>926</v>
      </c>
      <c r="H213" s="346">
        <v>8134</v>
      </c>
      <c r="I213" s="346">
        <v>7208</v>
      </c>
      <c r="J213" s="349">
        <v>12</v>
      </c>
      <c r="K213" s="347">
        <v>119.59</v>
      </c>
      <c r="L213" s="347">
        <v>119.15</v>
      </c>
      <c r="M213" s="347">
        <v>4.9800000000000004</v>
      </c>
      <c r="N213" s="347">
        <v>124.36</v>
      </c>
      <c r="O213" s="348">
        <v>5188</v>
      </c>
      <c r="P213" s="347">
        <v>114.16</v>
      </c>
      <c r="Q213" s="347">
        <v>107.66</v>
      </c>
      <c r="R213" s="347">
        <v>30.92</v>
      </c>
      <c r="S213" s="347">
        <v>144.52000000000001</v>
      </c>
      <c r="T213" s="348">
        <v>611</v>
      </c>
      <c r="U213" s="347">
        <v>154.59</v>
      </c>
      <c r="V213" s="348">
        <v>940</v>
      </c>
      <c r="W213" s="347">
        <v>216.09</v>
      </c>
      <c r="X213" s="348">
        <v>63</v>
      </c>
      <c r="Y213" s="349">
        <v>0</v>
      </c>
      <c r="Z213" s="349">
        <v>6</v>
      </c>
      <c r="AA213" s="349">
        <v>0</v>
      </c>
      <c r="AB213" s="349">
        <v>46</v>
      </c>
      <c r="AC213" s="349">
        <v>18</v>
      </c>
      <c r="AD213" s="349">
        <v>6247</v>
      </c>
      <c r="AE213" s="349">
        <v>39</v>
      </c>
      <c r="AF213" s="349">
        <v>26</v>
      </c>
      <c r="AG213" s="349">
        <v>65</v>
      </c>
    </row>
    <row r="214" spans="1:33" x14ac:dyDescent="0.3">
      <c r="A214" s="342" t="s">
        <v>482</v>
      </c>
      <c r="B214" s="342" t="s">
        <v>483</v>
      </c>
      <c r="C214" s="349">
        <v>1329</v>
      </c>
      <c r="D214" s="349">
        <v>0</v>
      </c>
      <c r="E214" s="349">
        <v>86</v>
      </c>
      <c r="F214" s="349">
        <v>739</v>
      </c>
      <c r="G214" s="349">
        <v>453</v>
      </c>
      <c r="H214" s="346">
        <v>2607</v>
      </c>
      <c r="I214" s="346">
        <v>2154</v>
      </c>
      <c r="J214" s="349">
        <v>37</v>
      </c>
      <c r="K214" s="347">
        <v>85.99</v>
      </c>
      <c r="L214" s="347">
        <v>83.03</v>
      </c>
      <c r="M214" s="347">
        <v>3.82</v>
      </c>
      <c r="N214" s="347">
        <v>88.65</v>
      </c>
      <c r="O214" s="348">
        <v>949</v>
      </c>
      <c r="P214" s="347">
        <v>74.58</v>
      </c>
      <c r="Q214" s="347">
        <v>65.92</v>
      </c>
      <c r="R214" s="347">
        <v>19.100000000000001</v>
      </c>
      <c r="S214" s="347">
        <v>93.06</v>
      </c>
      <c r="T214" s="348">
        <v>776</v>
      </c>
      <c r="U214" s="347">
        <v>104.14</v>
      </c>
      <c r="V214" s="348">
        <v>377</v>
      </c>
      <c r="W214" s="347">
        <v>135.75</v>
      </c>
      <c r="X214" s="348">
        <v>12</v>
      </c>
      <c r="Y214" s="349">
        <v>15</v>
      </c>
      <c r="Z214" s="349">
        <v>3</v>
      </c>
      <c r="AA214" s="349">
        <v>3</v>
      </c>
      <c r="AB214" s="349">
        <v>33</v>
      </c>
      <c r="AC214" s="349">
        <v>10</v>
      </c>
      <c r="AD214" s="349">
        <v>1329</v>
      </c>
      <c r="AE214" s="349">
        <v>6</v>
      </c>
      <c r="AF214" s="349">
        <v>9</v>
      </c>
      <c r="AG214" s="349">
        <v>15</v>
      </c>
    </row>
    <row r="215" spans="1:33" x14ac:dyDescent="0.3">
      <c r="A215" s="342" t="s">
        <v>484</v>
      </c>
      <c r="B215" s="342" t="s">
        <v>485</v>
      </c>
      <c r="C215" s="349">
        <v>8826</v>
      </c>
      <c r="D215" s="349">
        <v>6</v>
      </c>
      <c r="E215" s="349">
        <v>278</v>
      </c>
      <c r="F215" s="349">
        <v>819</v>
      </c>
      <c r="G215" s="349">
        <v>469</v>
      </c>
      <c r="H215" s="346">
        <v>10398</v>
      </c>
      <c r="I215" s="346">
        <v>9929</v>
      </c>
      <c r="J215" s="349">
        <v>36</v>
      </c>
      <c r="K215" s="347">
        <v>123.56</v>
      </c>
      <c r="L215" s="347">
        <v>137.61000000000001</v>
      </c>
      <c r="M215" s="347">
        <v>10.46</v>
      </c>
      <c r="N215" s="347">
        <v>130.9</v>
      </c>
      <c r="O215" s="348">
        <v>7840</v>
      </c>
      <c r="P215" s="347">
        <v>121.53</v>
      </c>
      <c r="Q215" s="347">
        <v>118.28</v>
      </c>
      <c r="R215" s="347">
        <v>46.65</v>
      </c>
      <c r="S215" s="347">
        <v>164.63</v>
      </c>
      <c r="T215" s="348">
        <v>1010</v>
      </c>
      <c r="U215" s="347">
        <v>201.28</v>
      </c>
      <c r="V215" s="348">
        <v>834</v>
      </c>
      <c r="W215" s="347">
        <v>257.47000000000003</v>
      </c>
      <c r="X215" s="348">
        <v>4</v>
      </c>
      <c r="Y215" s="349">
        <v>2</v>
      </c>
      <c r="Z215" s="349">
        <v>1</v>
      </c>
      <c r="AA215" s="349">
        <v>1</v>
      </c>
      <c r="AB215" s="349">
        <v>0</v>
      </c>
      <c r="AC215" s="349">
        <v>12</v>
      </c>
      <c r="AD215" s="349">
        <v>8774</v>
      </c>
      <c r="AE215" s="349">
        <v>19</v>
      </c>
      <c r="AF215" s="349">
        <v>45</v>
      </c>
      <c r="AG215" s="349">
        <v>64</v>
      </c>
    </row>
    <row r="216" spans="1:33" x14ac:dyDescent="0.3">
      <c r="A216" s="342" t="s">
        <v>486</v>
      </c>
      <c r="B216" s="342" t="s">
        <v>487</v>
      </c>
      <c r="C216" s="349">
        <v>726</v>
      </c>
      <c r="D216" s="349">
        <v>0</v>
      </c>
      <c r="E216" s="349">
        <v>119</v>
      </c>
      <c r="F216" s="349">
        <v>96</v>
      </c>
      <c r="G216" s="349">
        <v>59</v>
      </c>
      <c r="H216" s="346">
        <v>1000</v>
      </c>
      <c r="I216" s="346">
        <v>941</v>
      </c>
      <c r="J216" s="349">
        <v>2</v>
      </c>
      <c r="K216" s="347">
        <v>92.28</v>
      </c>
      <c r="L216" s="347">
        <v>88.52</v>
      </c>
      <c r="M216" s="347">
        <v>3.99</v>
      </c>
      <c r="N216" s="347">
        <v>95.28</v>
      </c>
      <c r="O216" s="348">
        <v>530</v>
      </c>
      <c r="P216" s="347">
        <v>101.61</v>
      </c>
      <c r="Q216" s="347">
        <v>94.53</v>
      </c>
      <c r="R216" s="347">
        <v>116.98</v>
      </c>
      <c r="S216" s="347">
        <v>218.59</v>
      </c>
      <c r="T216" s="348">
        <v>84</v>
      </c>
      <c r="U216" s="347">
        <v>105.44</v>
      </c>
      <c r="V216" s="348">
        <v>174</v>
      </c>
      <c r="W216" s="347">
        <v>210.67</v>
      </c>
      <c r="X216" s="348">
        <v>121</v>
      </c>
      <c r="Y216" s="349">
        <v>0</v>
      </c>
      <c r="Z216" s="349">
        <v>0</v>
      </c>
      <c r="AA216" s="349">
        <v>1</v>
      </c>
      <c r="AB216" s="349">
        <v>4</v>
      </c>
      <c r="AC216" s="349">
        <v>0</v>
      </c>
      <c r="AD216" s="349">
        <v>726</v>
      </c>
      <c r="AE216" s="349">
        <v>3</v>
      </c>
      <c r="AF216" s="349">
        <v>6</v>
      </c>
      <c r="AG216" s="349">
        <v>9</v>
      </c>
    </row>
    <row r="217" spans="1:33" x14ac:dyDescent="0.3">
      <c r="A217" s="342" t="s">
        <v>488</v>
      </c>
      <c r="B217" s="342" t="s">
        <v>489</v>
      </c>
      <c r="C217" s="349">
        <v>18025</v>
      </c>
      <c r="D217" s="349">
        <v>0</v>
      </c>
      <c r="E217" s="349">
        <v>686</v>
      </c>
      <c r="F217" s="349">
        <v>2018</v>
      </c>
      <c r="G217" s="349">
        <v>228</v>
      </c>
      <c r="H217" s="346">
        <v>20957</v>
      </c>
      <c r="I217" s="346">
        <v>20729</v>
      </c>
      <c r="J217" s="349">
        <v>8</v>
      </c>
      <c r="K217" s="347">
        <v>76.33</v>
      </c>
      <c r="L217" s="347">
        <v>76.44</v>
      </c>
      <c r="M217" s="347">
        <v>5.07</v>
      </c>
      <c r="N217" s="347">
        <v>80.849999999999994</v>
      </c>
      <c r="O217" s="348">
        <v>15941</v>
      </c>
      <c r="P217" s="347">
        <v>76.97</v>
      </c>
      <c r="Q217" s="347">
        <v>70.58</v>
      </c>
      <c r="R217" s="347">
        <v>43.75</v>
      </c>
      <c r="S217" s="347">
        <v>118.82</v>
      </c>
      <c r="T217" s="348">
        <v>2466</v>
      </c>
      <c r="U217" s="347">
        <v>99.55</v>
      </c>
      <c r="V217" s="348">
        <v>1981</v>
      </c>
      <c r="W217" s="347">
        <v>243.35</v>
      </c>
      <c r="X217" s="348">
        <v>37</v>
      </c>
      <c r="Y217" s="349">
        <v>0</v>
      </c>
      <c r="Z217" s="349">
        <v>114</v>
      </c>
      <c r="AA217" s="349">
        <v>10</v>
      </c>
      <c r="AB217" s="349">
        <v>24</v>
      </c>
      <c r="AC217" s="349">
        <v>6</v>
      </c>
      <c r="AD217" s="349">
        <v>17873</v>
      </c>
      <c r="AE217" s="349">
        <v>67</v>
      </c>
      <c r="AF217" s="349">
        <v>210</v>
      </c>
      <c r="AG217" s="349">
        <v>277</v>
      </c>
    </row>
    <row r="218" spans="1:33" x14ac:dyDescent="0.3">
      <c r="A218" s="342" t="s">
        <v>490</v>
      </c>
      <c r="B218" s="342" t="s">
        <v>491</v>
      </c>
      <c r="C218" s="349">
        <v>2300</v>
      </c>
      <c r="D218" s="349">
        <v>0</v>
      </c>
      <c r="E218" s="349">
        <v>63</v>
      </c>
      <c r="F218" s="349">
        <v>698</v>
      </c>
      <c r="G218" s="349">
        <v>290</v>
      </c>
      <c r="H218" s="346">
        <v>3351</v>
      </c>
      <c r="I218" s="346">
        <v>3061</v>
      </c>
      <c r="J218" s="349">
        <v>6</v>
      </c>
      <c r="K218" s="347">
        <v>100.77</v>
      </c>
      <c r="L218" s="347">
        <v>100.9</v>
      </c>
      <c r="M218" s="347">
        <v>8.15</v>
      </c>
      <c r="N218" s="347">
        <v>105.17</v>
      </c>
      <c r="O218" s="348">
        <v>1757</v>
      </c>
      <c r="P218" s="347">
        <v>89.92</v>
      </c>
      <c r="Q218" s="347">
        <v>86.36</v>
      </c>
      <c r="R218" s="347">
        <v>45.74</v>
      </c>
      <c r="S218" s="347">
        <v>135.54</v>
      </c>
      <c r="T218" s="348">
        <v>755</v>
      </c>
      <c r="U218" s="347">
        <v>149.29</v>
      </c>
      <c r="V218" s="348">
        <v>538</v>
      </c>
      <c r="W218" s="347">
        <v>0</v>
      </c>
      <c r="X218" s="348">
        <v>0</v>
      </c>
      <c r="Y218" s="349">
        <v>0</v>
      </c>
      <c r="Z218" s="349">
        <v>1</v>
      </c>
      <c r="AA218" s="349">
        <v>5</v>
      </c>
      <c r="AB218" s="349">
        <v>31</v>
      </c>
      <c r="AC218" s="349">
        <v>1</v>
      </c>
      <c r="AD218" s="349">
        <v>2300</v>
      </c>
      <c r="AE218" s="349">
        <v>10</v>
      </c>
      <c r="AF218" s="349">
        <v>12</v>
      </c>
      <c r="AG218" s="349">
        <v>22</v>
      </c>
    </row>
    <row r="219" spans="1:33" x14ac:dyDescent="0.3">
      <c r="A219" s="342" t="s">
        <v>492</v>
      </c>
      <c r="B219" s="342" t="s">
        <v>493</v>
      </c>
      <c r="C219" s="349">
        <v>4189</v>
      </c>
      <c r="D219" s="349">
        <v>0</v>
      </c>
      <c r="E219" s="349">
        <v>106</v>
      </c>
      <c r="F219" s="349">
        <v>378</v>
      </c>
      <c r="G219" s="349">
        <v>40</v>
      </c>
      <c r="H219" s="346">
        <v>4713</v>
      </c>
      <c r="I219" s="346">
        <v>4673</v>
      </c>
      <c r="J219" s="349">
        <v>5</v>
      </c>
      <c r="K219" s="347">
        <v>74.53</v>
      </c>
      <c r="L219" s="347">
        <v>72.14</v>
      </c>
      <c r="M219" s="347">
        <v>4.8899999999999997</v>
      </c>
      <c r="N219" s="347">
        <v>75.05</v>
      </c>
      <c r="O219" s="348">
        <v>3627</v>
      </c>
      <c r="P219" s="347">
        <v>90.21</v>
      </c>
      <c r="Q219" s="347">
        <v>80.34</v>
      </c>
      <c r="R219" s="347">
        <v>46.49</v>
      </c>
      <c r="S219" s="347">
        <v>132.03</v>
      </c>
      <c r="T219" s="348">
        <v>438</v>
      </c>
      <c r="U219" s="347">
        <v>93.18</v>
      </c>
      <c r="V219" s="348">
        <v>552</v>
      </c>
      <c r="W219" s="347">
        <v>0</v>
      </c>
      <c r="X219" s="348">
        <v>0</v>
      </c>
      <c r="Y219" s="349">
        <v>0</v>
      </c>
      <c r="Z219" s="349">
        <v>13</v>
      </c>
      <c r="AA219" s="349">
        <v>1</v>
      </c>
      <c r="AB219" s="349">
        <v>0</v>
      </c>
      <c r="AC219" s="349">
        <v>3</v>
      </c>
      <c r="AD219" s="349">
        <v>4184</v>
      </c>
      <c r="AE219" s="349">
        <v>15</v>
      </c>
      <c r="AF219" s="349">
        <v>22</v>
      </c>
      <c r="AG219" s="349">
        <v>37</v>
      </c>
    </row>
    <row r="220" spans="1:33" x14ac:dyDescent="0.3">
      <c r="A220" s="342" t="s">
        <v>494</v>
      </c>
      <c r="B220" s="342" t="s">
        <v>495</v>
      </c>
      <c r="C220" s="349">
        <v>3733</v>
      </c>
      <c r="D220" s="349">
        <v>0</v>
      </c>
      <c r="E220" s="349">
        <v>80</v>
      </c>
      <c r="F220" s="349">
        <v>685</v>
      </c>
      <c r="G220" s="349">
        <v>344</v>
      </c>
      <c r="H220" s="346">
        <v>4842</v>
      </c>
      <c r="I220" s="346">
        <v>4498</v>
      </c>
      <c r="J220" s="349">
        <v>10</v>
      </c>
      <c r="K220" s="347">
        <v>97.11</v>
      </c>
      <c r="L220" s="347">
        <v>95.51</v>
      </c>
      <c r="M220" s="347">
        <v>3.31</v>
      </c>
      <c r="N220" s="347">
        <v>99.83</v>
      </c>
      <c r="O220" s="348">
        <v>3147</v>
      </c>
      <c r="P220" s="347">
        <v>87.77</v>
      </c>
      <c r="Q220" s="347">
        <v>80.08</v>
      </c>
      <c r="R220" s="347">
        <v>41.44</v>
      </c>
      <c r="S220" s="347">
        <v>129.13999999999999</v>
      </c>
      <c r="T220" s="348">
        <v>621</v>
      </c>
      <c r="U220" s="347">
        <v>123.54</v>
      </c>
      <c r="V220" s="348">
        <v>583</v>
      </c>
      <c r="W220" s="347">
        <v>132.29</v>
      </c>
      <c r="X220" s="348">
        <v>14</v>
      </c>
      <c r="Y220" s="349">
        <v>0</v>
      </c>
      <c r="Z220" s="349">
        <v>2</v>
      </c>
      <c r="AA220" s="349">
        <v>22</v>
      </c>
      <c r="AB220" s="349">
        <v>49</v>
      </c>
      <c r="AC220" s="349">
        <v>2</v>
      </c>
      <c r="AD220" s="349">
        <v>3733</v>
      </c>
      <c r="AE220" s="349">
        <v>17</v>
      </c>
      <c r="AF220" s="349">
        <v>10</v>
      </c>
      <c r="AG220" s="349">
        <v>27</v>
      </c>
    </row>
    <row r="221" spans="1:33" x14ac:dyDescent="0.3">
      <c r="A221" s="342" t="s">
        <v>496</v>
      </c>
      <c r="B221" s="342" t="s">
        <v>497</v>
      </c>
      <c r="C221" s="349">
        <v>3446</v>
      </c>
      <c r="D221" s="349">
        <v>0</v>
      </c>
      <c r="E221" s="349">
        <v>442</v>
      </c>
      <c r="F221" s="349">
        <v>859</v>
      </c>
      <c r="G221" s="349">
        <v>338</v>
      </c>
      <c r="H221" s="346">
        <v>5085</v>
      </c>
      <c r="I221" s="346">
        <v>4747</v>
      </c>
      <c r="J221" s="349">
        <v>2</v>
      </c>
      <c r="K221" s="347">
        <v>82.61</v>
      </c>
      <c r="L221" s="347">
        <v>81.040000000000006</v>
      </c>
      <c r="M221" s="347">
        <v>7.92</v>
      </c>
      <c r="N221" s="347">
        <v>86.86</v>
      </c>
      <c r="O221" s="348">
        <v>2769</v>
      </c>
      <c r="P221" s="347">
        <v>91.39</v>
      </c>
      <c r="Q221" s="347">
        <v>75.709999999999994</v>
      </c>
      <c r="R221" s="347">
        <v>43.87</v>
      </c>
      <c r="S221" s="347">
        <v>132.47999999999999</v>
      </c>
      <c r="T221" s="348">
        <v>1262</v>
      </c>
      <c r="U221" s="347">
        <v>100.6</v>
      </c>
      <c r="V221" s="348">
        <v>561</v>
      </c>
      <c r="W221" s="347">
        <v>142.28</v>
      </c>
      <c r="X221" s="348">
        <v>25</v>
      </c>
      <c r="Y221" s="349">
        <v>1</v>
      </c>
      <c r="Z221" s="349">
        <v>0</v>
      </c>
      <c r="AA221" s="349">
        <v>13</v>
      </c>
      <c r="AB221" s="349">
        <v>18</v>
      </c>
      <c r="AC221" s="349">
        <v>6</v>
      </c>
      <c r="AD221" s="349">
        <v>3389</v>
      </c>
      <c r="AE221" s="349">
        <v>30</v>
      </c>
      <c r="AF221" s="349">
        <v>10</v>
      </c>
      <c r="AG221" s="349">
        <v>40</v>
      </c>
    </row>
    <row r="222" spans="1:33" x14ac:dyDescent="0.3">
      <c r="A222" s="342" t="s">
        <v>498</v>
      </c>
      <c r="B222" s="342" t="s">
        <v>499</v>
      </c>
      <c r="C222" s="349">
        <v>2585</v>
      </c>
      <c r="D222" s="349">
        <v>0</v>
      </c>
      <c r="E222" s="349">
        <v>41</v>
      </c>
      <c r="F222" s="349">
        <v>234</v>
      </c>
      <c r="G222" s="349">
        <v>703</v>
      </c>
      <c r="H222" s="346">
        <v>3563</v>
      </c>
      <c r="I222" s="346">
        <v>2860</v>
      </c>
      <c r="J222" s="349">
        <v>7</v>
      </c>
      <c r="K222" s="347">
        <v>100.62</v>
      </c>
      <c r="L222" s="347">
        <v>98.28</v>
      </c>
      <c r="M222" s="347">
        <v>6.06</v>
      </c>
      <c r="N222" s="347">
        <v>105.11</v>
      </c>
      <c r="O222" s="348">
        <v>2189</v>
      </c>
      <c r="P222" s="347">
        <v>87.9</v>
      </c>
      <c r="Q222" s="347">
        <v>79.61</v>
      </c>
      <c r="R222" s="347">
        <v>35.78</v>
      </c>
      <c r="S222" s="347">
        <v>122.75</v>
      </c>
      <c r="T222" s="348">
        <v>154</v>
      </c>
      <c r="U222" s="347">
        <v>129.41</v>
      </c>
      <c r="V222" s="348">
        <v>357</v>
      </c>
      <c r="W222" s="347">
        <v>204.25</v>
      </c>
      <c r="X222" s="348">
        <v>77</v>
      </c>
      <c r="Y222" s="349">
        <v>15</v>
      </c>
      <c r="Z222" s="349">
        <v>2</v>
      </c>
      <c r="AA222" s="349">
        <v>1</v>
      </c>
      <c r="AB222" s="349">
        <v>99</v>
      </c>
      <c r="AC222" s="349">
        <v>12</v>
      </c>
      <c r="AD222" s="349">
        <v>2548</v>
      </c>
      <c r="AE222" s="349">
        <v>21</v>
      </c>
      <c r="AF222" s="349">
        <v>32</v>
      </c>
      <c r="AG222" s="349">
        <v>53</v>
      </c>
    </row>
    <row r="223" spans="1:33" x14ac:dyDescent="0.3">
      <c r="A223" s="342" t="s">
        <v>500</v>
      </c>
      <c r="B223" s="342" t="s">
        <v>501</v>
      </c>
      <c r="C223" s="349">
        <v>1352</v>
      </c>
      <c r="D223" s="349">
        <v>282</v>
      </c>
      <c r="E223" s="349">
        <v>60</v>
      </c>
      <c r="F223" s="349">
        <v>286</v>
      </c>
      <c r="G223" s="349">
        <v>401</v>
      </c>
      <c r="H223" s="346">
        <v>2381</v>
      </c>
      <c r="I223" s="346">
        <v>1980</v>
      </c>
      <c r="J223" s="349">
        <v>19</v>
      </c>
      <c r="K223" s="347">
        <v>121.62</v>
      </c>
      <c r="L223" s="347">
        <v>118.51</v>
      </c>
      <c r="M223" s="347">
        <v>9.84</v>
      </c>
      <c r="N223" s="347">
        <v>130.29</v>
      </c>
      <c r="O223" s="348">
        <v>853</v>
      </c>
      <c r="P223" s="347">
        <v>116.6</v>
      </c>
      <c r="Q223" s="347">
        <v>107.35</v>
      </c>
      <c r="R223" s="347">
        <v>24.17</v>
      </c>
      <c r="S223" s="347">
        <v>140.15</v>
      </c>
      <c r="T223" s="348">
        <v>312</v>
      </c>
      <c r="U223" s="347">
        <v>203.74</v>
      </c>
      <c r="V223" s="348">
        <v>273</v>
      </c>
      <c r="W223" s="347">
        <v>157.24</v>
      </c>
      <c r="X223" s="348">
        <v>32</v>
      </c>
      <c r="Y223" s="349">
        <v>0</v>
      </c>
      <c r="Z223" s="349">
        <v>0</v>
      </c>
      <c r="AA223" s="349">
        <v>0</v>
      </c>
      <c r="AB223" s="349">
        <v>10</v>
      </c>
      <c r="AC223" s="349">
        <v>9</v>
      </c>
      <c r="AD223" s="349">
        <v>1303</v>
      </c>
      <c r="AE223" s="349">
        <v>20</v>
      </c>
      <c r="AF223" s="349">
        <v>4</v>
      </c>
      <c r="AG223" s="349">
        <v>24</v>
      </c>
    </row>
    <row r="224" spans="1:33" x14ac:dyDescent="0.3">
      <c r="A224" s="342" t="s">
        <v>502</v>
      </c>
      <c r="B224" s="342" t="s">
        <v>503</v>
      </c>
      <c r="C224" s="349">
        <v>2976</v>
      </c>
      <c r="D224" s="349">
        <v>0</v>
      </c>
      <c r="E224" s="349">
        <v>94</v>
      </c>
      <c r="F224" s="349">
        <v>1384</v>
      </c>
      <c r="G224" s="349">
        <v>486</v>
      </c>
      <c r="H224" s="346">
        <v>4940</v>
      </c>
      <c r="I224" s="346">
        <v>4454</v>
      </c>
      <c r="J224" s="349">
        <v>28</v>
      </c>
      <c r="K224" s="347">
        <v>96.85</v>
      </c>
      <c r="L224" s="347">
        <v>97.2</v>
      </c>
      <c r="M224" s="347">
        <v>4.76</v>
      </c>
      <c r="N224" s="347">
        <v>98.71</v>
      </c>
      <c r="O224" s="348">
        <v>2673</v>
      </c>
      <c r="P224" s="347">
        <v>95.58</v>
      </c>
      <c r="Q224" s="347">
        <v>85.43</v>
      </c>
      <c r="R224" s="347">
        <v>20.100000000000001</v>
      </c>
      <c r="S224" s="347">
        <v>115.42</v>
      </c>
      <c r="T224" s="348">
        <v>1466</v>
      </c>
      <c r="U224" s="347">
        <v>111.59</v>
      </c>
      <c r="V224" s="348">
        <v>299</v>
      </c>
      <c r="W224" s="347">
        <v>122.3</v>
      </c>
      <c r="X224" s="348">
        <v>11</v>
      </c>
      <c r="Y224" s="349">
        <v>99</v>
      </c>
      <c r="Z224" s="349">
        <v>4</v>
      </c>
      <c r="AA224" s="349">
        <v>0</v>
      </c>
      <c r="AB224" s="349">
        <v>59</v>
      </c>
      <c r="AC224" s="349">
        <v>15</v>
      </c>
      <c r="AD224" s="349">
        <v>2976</v>
      </c>
      <c r="AE224" s="349">
        <v>19</v>
      </c>
      <c r="AF224" s="349">
        <v>8</v>
      </c>
      <c r="AG224" s="349">
        <v>27</v>
      </c>
    </row>
    <row r="225" spans="1:33" x14ac:dyDescent="0.3">
      <c r="A225" s="342" t="s">
        <v>504</v>
      </c>
      <c r="B225" s="342" t="s">
        <v>505</v>
      </c>
      <c r="C225" s="349">
        <v>5708</v>
      </c>
      <c r="D225" s="349">
        <v>16</v>
      </c>
      <c r="E225" s="349">
        <v>231</v>
      </c>
      <c r="F225" s="349">
        <v>648</v>
      </c>
      <c r="G225" s="349">
        <v>569</v>
      </c>
      <c r="H225" s="346">
        <v>7172</v>
      </c>
      <c r="I225" s="346">
        <v>6603</v>
      </c>
      <c r="J225" s="349">
        <v>9</v>
      </c>
      <c r="K225" s="347">
        <v>112.2</v>
      </c>
      <c r="L225" s="347">
        <v>107.77</v>
      </c>
      <c r="M225" s="347">
        <v>9.0500000000000007</v>
      </c>
      <c r="N225" s="347">
        <v>117.2</v>
      </c>
      <c r="O225" s="348">
        <v>4415</v>
      </c>
      <c r="P225" s="347">
        <v>99.57</v>
      </c>
      <c r="Q225" s="347">
        <v>89.75</v>
      </c>
      <c r="R225" s="347">
        <v>44.74</v>
      </c>
      <c r="S225" s="347">
        <v>143.38999999999999</v>
      </c>
      <c r="T225" s="348">
        <v>831</v>
      </c>
      <c r="U225" s="347">
        <v>159.68</v>
      </c>
      <c r="V225" s="348">
        <v>1126</v>
      </c>
      <c r="W225" s="347">
        <v>160.82</v>
      </c>
      <c r="X225" s="348">
        <v>39</v>
      </c>
      <c r="Y225" s="349">
        <v>0</v>
      </c>
      <c r="Z225" s="349">
        <v>1</v>
      </c>
      <c r="AA225" s="349">
        <v>1</v>
      </c>
      <c r="AB225" s="349">
        <v>0</v>
      </c>
      <c r="AC225" s="349">
        <v>20</v>
      </c>
      <c r="AD225" s="349">
        <v>5392</v>
      </c>
      <c r="AE225" s="349">
        <v>31</v>
      </c>
      <c r="AF225" s="349">
        <v>41</v>
      </c>
      <c r="AG225" s="349">
        <v>72</v>
      </c>
    </row>
    <row r="226" spans="1:33" x14ac:dyDescent="0.3">
      <c r="A226" s="342" t="s">
        <v>506</v>
      </c>
      <c r="B226" s="342" t="s">
        <v>507</v>
      </c>
      <c r="C226" s="349">
        <v>1505</v>
      </c>
      <c r="D226" s="349">
        <v>0</v>
      </c>
      <c r="E226" s="349">
        <v>42</v>
      </c>
      <c r="F226" s="349">
        <v>287</v>
      </c>
      <c r="G226" s="349">
        <v>215</v>
      </c>
      <c r="H226" s="346">
        <v>2049</v>
      </c>
      <c r="I226" s="346">
        <v>1834</v>
      </c>
      <c r="J226" s="349">
        <v>6</v>
      </c>
      <c r="K226" s="347">
        <v>91.1</v>
      </c>
      <c r="L226" s="347">
        <v>94.81</v>
      </c>
      <c r="M226" s="347">
        <v>6.33</v>
      </c>
      <c r="N226" s="347">
        <v>93.72</v>
      </c>
      <c r="O226" s="348">
        <v>1251</v>
      </c>
      <c r="P226" s="347">
        <v>88.61</v>
      </c>
      <c r="Q226" s="347">
        <v>81.16</v>
      </c>
      <c r="R226" s="347">
        <v>38.909999999999997</v>
      </c>
      <c r="S226" s="347">
        <v>121.01</v>
      </c>
      <c r="T226" s="348">
        <v>227</v>
      </c>
      <c r="U226" s="347">
        <v>113.63</v>
      </c>
      <c r="V226" s="348">
        <v>223</v>
      </c>
      <c r="W226" s="347">
        <v>0</v>
      </c>
      <c r="X226" s="348">
        <v>0</v>
      </c>
      <c r="Y226" s="349">
        <v>0</v>
      </c>
      <c r="Z226" s="349">
        <v>4</v>
      </c>
      <c r="AA226" s="349">
        <v>0</v>
      </c>
      <c r="AB226" s="349">
        <v>8</v>
      </c>
      <c r="AC226" s="349">
        <v>1</v>
      </c>
      <c r="AD226" s="349">
        <v>1492</v>
      </c>
      <c r="AE226" s="349">
        <v>5</v>
      </c>
      <c r="AF226" s="349">
        <v>1</v>
      </c>
      <c r="AG226" s="349">
        <v>6</v>
      </c>
    </row>
    <row r="227" spans="1:33" x14ac:dyDescent="0.3">
      <c r="A227" s="342" t="s">
        <v>508</v>
      </c>
      <c r="B227" s="342" t="s">
        <v>509</v>
      </c>
      <c r="C227" s="349">
        <v>3155</v>
      </c>
      <c r="D227" s="349">
        <v>0</v>
      </c>
      <c r="E227" s="349">
        <v>38</v>
      </c>
      <c r="F227" s="349">
        <v>145</v>
      </c>
      <c r="G227" s="349">
        <v>99</v>
      </c>
      <c r="H227" s="346">
        <v>3437</v>
      </c>
      <c r="I227" s="346">
        <v>3338</v>
      </c>
      <c r="J227" s="349">
        <v>4</v>
      </c>
      <c r="K227" s="347">
        <v>91.05</v>
      </c>
      <c r="L227" s="347">
        <v>86.84</v>
      </c>
      <c r="M227" s="347">
        <v>3.58</v>
      </c>
      <c r="N227" s="347">
        <v>92.49</v>
      </c>
      <c r="O227" s="348">
        <v>2015</v>
      </c>
      <c r="P227" s="347">
        <v>79.73</v>
      </c>
      <c r="Q227" s="347">
        <v>76.86</v>
      </c>
      <c r="R227" s="347">
        <v>52.62</v>
      </c>
      <c r="S227" s="347">
        <v>131.63</v>
      </c>
      <c r="T227" s="348">
        <v>146</v>
      </c>
      <c r="U227" s="347">
        <v>99.81</v>
      </c>
      <c r="V227" s="348">
        <v>1056</v>
      </c>
      <c r="W227" s="347">
        <v>175.94</v>
      </c>
      <c r="X227" s="348">
        <v>21</v>
      </c>
      <c r="Y227" s="349">
        <v>0</v>
      </c>
      <c r="Z227" s="349">
        <v>0</v>
      </c>
      <c r="AA227" s="349">
        <v>6</v>
      </c>
      <c r="AB227" s="349">
        <v>36</v>
      </c>
      <c r="AC227" s="349">
        <v>0</v>
      </c>
      <c r="AD227" s="349">
        <v>3130</v>
      </c>
      <c r="AE227" s="349">
        <v>102</v>
      </c>
      <c r="AF227" s="349">
        <v>10</v>
      </c>
      <c r="AG227" s="349">
        <v>112</v>
      </c>
    </row>
    <row r="228" spans="1:33" x14ac:dyDescent="0.3">
      <c r="A228" s="342" t="s">
        <v>510</v>
      </c>
      <c r="B228" s="342" t="s">
        <v>511</v>
      </c>
      <c r="C228" s="349">
        <v>26928</v>
      </c>
      <c r="D228" s="349">
        <v>14</v>
      </c>
      <c r="E228" s="349">
        <v>1604</v>
      </c>
      <c r="F228" s="349">
        <v>1364</v>
      </c>
      <c r="G228" s="349">
        <v>406</v>
      </c>
      <c r="H228" s="346">
        <v>30316</v>
      </c>
      <c r="I228" s="346">
        <v>29910</v>
      </c>
      <c r="J228" s="349">
        <v>11</v>
      </c>
      <c r="K228" s="347">
        <v>78.97</v>
      </c>
      <c r="L228" s="347">
        <v>78.89</v>
      </c>
      <c r="M228" s="347">
        <v>8.1300000000000008</v>
      </c>
      <c r="N228" s="347">
        <v>82.74</v>
      </c>
      <c r="O228" s="348">
        <v>24357</v>
      </c>
      <c r="P228" s="347">
        <v>81.150000000000006</v>
      </c>
      <c r="Q228" s="347">
        <v>74.34</v>
      </c>
      <c r="R228" s="347">
        <v>37.520000000000003</v>
      </c>
      <c r="S228" s="347">
        <v>117.77</v>
      </c>
      <c r="T228" s="348">
        <v>2659</v>
      </c>
      <c r="U228" s="347">
        <v>111.53</v>
      </c>
      <c r="V228" s="348">
        <v>2355</v>
      </c>
      <c r="W228" s="347">
        <v>164.55</v>
      </c>
      <c r="X228" s="348">
        <v>65</v>
      </c>
      <c r="Y228" s="349">
        <v>0</v>
      </c>
      <c r="Z228" s="349">
        <v>92</v>
      </c>
      <c r="AA228" s="349">
        <v>20</v>
      </c>
      <c r="AB228" s="349">
        <v>40</v>
      </c>
      <c r="AC228" s="349">
        <v>15</v>
      </c>
      <c r="AD228" s="349">
        <v>26823</v>
      </c>
      <c r="AE228" s="349">
        <v>101</v>
      </c>
      <c r="AF228" s="349">
        <v>188</v>
      </c>
      <c r="AG228" s="349">
        <v>289</v>
      </c>
    </row>
    <row r="229" spans="1:33" x14ac:dyDescent="0.3">
      <c r="A229" s="342" t="s">
        <v>512</v>
      </c>
      <c r="B229" s="342" t="s">
        <v>513</v>
      </c>
      <c r="C229" s="349">
        <v>5845</v>
      </c>
      <c r="D229" s="349">
        <v>13</v>
      </c>
      <c r="E229" s="349">
        <v>459</v>
      </c>
      <c r="F229" s="349">
        <v>1039</v>
      </c>
      <c r="G229" s="349">
        <v>516</v>
      </c>
      <c r="H229" s="346">
        <v>7872</v>
      </c>
      <c r="I229" s="346">
        <v>7356</v>
      </c>
      <c r="J229" s="349">
        <v>18</v>
      </c>
      <c r="K229" s="347">
        <v>90.17</v>
      </c>
      <c r="L229" s="347">
        <v>88.06</v>
      </c>
      <c r="M229" s="347">
        <v>7.55</v>
      </c>
      <c r="N229" s="347">
        <v>96.08</v>
      </c>
      <c r="O229" s="348">
        <v>4497</v>
      </c>
      <c r="P229" s="347">
        <v>92.34</v>
      </c>
      <c r="Q229" s="347">
        <v>81.540000000000006</v>
      </c>
      <c r="R229" s="347">
        <v>51.85</v>
      </c>
      <c r="S229" s="347">
        <v>141.91</v>
      </c>
      <c r="T229" s="348">
        <v>1024</v>
      </c>
      <c r="U229" s="347">
        <v>113.17</v>
      </c>
      <c r="V229" s="348">
        <v>845</v>
      </c>
      <c r="W229" s="347">
        <v>193.04</v>
      </c>
      <c r="X229" s="348">
        <v>292</v>
      </c>
      <c r="Y229" s="349">
        <v>0</v>
      </c>
      <c r="Z229" s="349">
        <v>8</v>
      </c>
      <c r="AA229" s="349">
        <v>3</v>
      </c>
      <c r="AB229" s="349">
        <v>23</v>
      </c>
      <c r="AC229" s="349">
        <v>12</v>
      </c>
      <c r="AD229" s="349">
        <v>5616</v>
      </c>
      <c r="AE229" s="349">
        <v>50</v>
      </c>
      <c r="AF229" s="349">
        <v>26</v>
      </c>
      <c r="AG229" s="349">
        <v>76</v>
      </c>
    </row>
    <row r="230" spans="1:33" x14ac:dyDescent="0.3">
      <c r="A230" s="342" t="s">
        <v>514</v>
      </c>
      <c r="B230" s="342" t="s">
        <v>515</v>
      </c>
      <c r="C230" s="349">
        <v>6223</v>
      </c>
      <c r="D230" s="349">
        <v>0</v>
      </c>
      <c r="E230" s="349">
        <v>206</v>
      </c>
      <c r="F230" s="349">
        <v>631</v>
      </c>
      <c r="G230" s="349">
        <v>357</v>
      </c>
      <c r="H230" s="346">
        <v>7417</v>
      </c>
      <c r="I230" s="346">
        <v>7060</v>
      </c>
      <c r="J230" s="349">
        <v>7</v>
      </c>
      <c r="K230" s="347">
        <v>84.84</v>
      </c>
      <c r="L230" s="347">
        <v>84.19</v>
      </c>
      <c r="M230" s="347">
        <v>3.7</v>
      </c>
      <c r="N230" s="347">
        <v>86.39</v>
      </c>
      <c r="O230" s="348">
        <v>5409</v>
      </c>
      <c r="P230" s="347">
        <v>94.36</v>
      </c>
      <c r="Q230" s="347">
        <v>83.32</v>
      </c>
      <c r="R230" s="347">
        <v>46</v>
      </c>
      <c r="S230" s="347">
        <v>139.75</v>
      </c>
      <c r="T230" s="348">
        <v>672</v>
      </c>
      <c r="U230" s="347">
        <v>105.06</v>
      </c>
      <c r="V230" s="348">
        <v>802</v>
      </c>
      <c r="W230" s="347">
        <v>207.52</v>
      </c>
      <c r="X230" s="348">
        <v>70</v>
      </c>
      <c r="Y230" s="349">
        <v>1</v>
      </c>
      <c r="Z230" s="349">
        <v>14</v>
      </c>
      <c r="AA230" s="349">
        <v>9</v>
      </c>
      <c r="AB230" s="349">
        <v>18</v>
      </c>
      <c r="AC230" s="349">
        <v>7</v>
      </c>
      <c r="AD230" s="349">
        <v>6180</v>
      </c>
      <c r="AE230" s="349">
        <v>34</v>
      </c>
      <c r="AF230" s="349">
        <v>60</v>
      </c>
      <c r="AG230" s="349">
        <v>94</v>
      </c>
    </row>
    <row r="231" spans="1:33" x14ac:dyDescent="0.3">
      <c r="A231" s="342" t="s">
        <v>516</v>
      </c>
      <c r="B231" s="342" t="s">
        <v>517</v>
      </c>
      <c r="C231" s="349">
        <v>2961</v>
      </c>
      <c r="D231" s="349">
        <v>0</v>
      </c>
      <c r="E231" s="349">
        <v>273</v>
      </c>
      <c r="F231" s="349">
        <v>89</v>
      </c>
      <c r="G231" s="349">
        <v>329</v>
      </c>
      <c r="H231" s="346">
        <v>3652</v>
      </c>
      <c r="I231" s="346">
        <v>3323</v>
      </c>
      <c r="J231" s="349">
        <v>1</v>
      </c>
      <c r="K231" s="347">
        <v>92.68</v>
      </c>
      <c r="L231" s="347">
        <v>90.21</v>
      </c>
      <c r="M231" s="347">
        <v>4.32</v>
      </c>
      <c r="N231" s="347">
        <v>96.44</v>
      </c>
      <c r="O231" s="348">
        <v>1526</v>
      </c>
      <c r="P231" s="347">
        <v>83.88</v>
      </c>
      <c r="Q231" s="347">
        <v>78.38</v>
      </c>
      <c r="R231" s="347">
        <v>49.22</v>
      </c>
      <c r="S231" s="347">
        <v>133.1</v>
      </c>
      <c r="T231" s="348">
        <v>201</v>
      </c>
      <c r="U231" s="347">
        <v>116.92</v>
      </c>
      <c r="V231" s="348">
        <v>656</v>
      </c>
      <c r="W231" s="347">
        <v>99.06</v>
      </c>
      <c r="X231" s="348">
        <v>20</v>
      </c>
      <c r="Y231" s="349">
        <v>0</v>
      </c>
      <c r="Z231" s="349">
        <v>0</v>
      </c>
      <c r="AA231" s="349">
        <v>0</v>
      </c>
      <c r="AB231" s="349">
        <v>34</v>
      </c>
      <c r="AC231" s="349">
        <v>7</v>
      </c>
      <c r="AD231" s="349">
        <v>2082</v>
      </c>
      <c r="AE231" s="349">
        <v>8</v>
      </c>
      <c r="AF231" s="349">
        <v>4</v>
      </c>
      <c r="AG231" s="349">
        <v>12</v>
      </c>
    </row>
    <row r="232" spans="1:33" x14ac:dyDescent="0.3">
      <c r="A232" s="342" t="s">
        <v>518</v>
      </c>
      <c r="B232" s="342" t="s">
        <v>519</v>
      </c>
      <c r="C232" s="349">
        <v>15464</v>
      </c>
      <c r="D232" s="349">
        <v>0</v>
      </c>
      <c r="E232" s="349">
        <v>1704</v>
      </c>
      <c r="F232" s="349">
        <v>1618</v>
      </c>
      <c r="G232" s="349">
        <v>640</v>
      </c>
      <c r="H232" s="346">
        <v>19426</v>
      </c>
      <c r="I232" s="346">
        <v>18786</v>
      </c>
      <c r="J232" s="349">
        <v>36</v>
      </c>
      <c r="K232" s="347">
        <v>87.23</v>
      </c>
      <c r="L232" s="347">
        <v>84.95</v>
      </c>
      <c r="M232" s="347">
        <v>11.83</v>
      </c>
      <c r="N232" s="347">
        <v>91.56</v>
      </c>
      <c r="O232" s="348">
        <v>13611</v>
      </c>
      <c r="P232" s="347">
        <v>81.739999999999995</v>
      </c>
      <c r="Q232" s="347">
        <v>75.930000000000007</v>
      </c>
      <c r="R232" s="347">
        <v>39.409999999999997</v>
      </c>
      <c r="S232" s="347">
        <v>120.14</v>
      </c>
      <c r="T232" s="348">
        <v>2771</v>
      </c>
      <c r="U232" s="347">
        <v>103.7</v>
      </c>
      <c r="V232" s="348">
        <v>1193</v>
      </c>
      <c r="W232" s="347">
        <v>127.31</v>
      </c>
      <c r="X232" s="348">
        <v>21</v>
      </c>
      <c r="Y232" s="349">
        <v>0</v>
      </c>
      <c r="Z232" s="349">
        <v>53</v>
      </c>
      <c r="AA232" s="349">
        <v>147</v>
      </c>
      <c r="AB232" s="349">
        <v>79</v>
      </c>
      <c r="AC232" s="349">
        <v>1</v>
      </c>
      <c r="AD232" s="349">
        <v>14917</v>
      </c>
      <c r="AE232" s="349">
        <v>42</v>
      </c>
      <c r="AF232" s="349">
        <v>37</v>
      </c>
      <c r="AG232" s="349">
        <v>79</v>
      </c>
    </row>
    <row r="233" spans="1:33" x14ac:dyDescent="0.3">
      <c r="A233" s="342" t="s">
        <v>520</v>
      </c>
      <c r="B233" s="342" t="s">
        <v>521</v>
      </c>
      <c r="C233" s="349">
        <v>1826</v>
      </c>
      <c r="D233" s="349">
        <v>0</v>
      </c>
      <c r="E233" s="349">
        <v>38</v>
      </c>
      <c r="F233" s="349">
        <v>195</v>
      </c>
      <c r="G233" s="349">
        <v>390</v>
      </c>
      <c r="H233" s="346">
        <v>2449</v>
      </c>
      <c r="I233" s="346">
        <v>2059</v>
      </c>
      <c r="J233" s="349">
        <v>0</v>
      </c>
      <c r="K233" s="347">
        <v>93.91</v>
      </c>
      <c r="L233" s="347">
        <v>87.47</v>
      </c>
      <c r="M233" s="347">
        <v>5.5</v>
      </c>
      <c r="N233" s="347">
        <v>97.77</v>
      </c>
      <c r="O233" s="348">
        <v>1138</v>
      </c>
      <c r="P233" s="347">
        <v>105.85</v>
      </c>
      <c r="Q233" s="347">
        <v>93.75</v>
      </c>
      <c r="R233" s="347">
        <v>66.680000000000007</v>
      </c>
      <c r="S233" s="347">
        <v>171.96</v>
      </c>
      <c r="T233" s="348">
        <v>233</v>
      </c>
      <c r="U233" s="347">
        <v>113.9</v>
      </c>
      <c r="V233" s="348">
        <v>502</v>
      </c>
      <c r="W233" s="347">
        <v>0</v>
      </c>
      <c r="X233" s="348">
        <v>0</v>
      </c>
      <c r="Y233" s="349">
        <v>8</v>
      </c>
      <c r="Z233" s="349">
        <v>0</v>
      </c>
      <c r="AA233" s="349">
        <v>3</v>
      </c>
      <c r="AB233" s="349">
        <v>71</v>
      </c>
      <c r="AC233" s="349">
        <v>6</v>
      </c>
      <c r="AD233" s="349">
        <v>1786</v>
      </c>
      <c r="AE233" s="349">
        <v>49</v>
      </c>
      <c r="AF233" s="349">
        <v>8</v>
      </c>
      <c r="AG233" s="349">
        <v>57</v>
      </c>
    </row>
    <row r="234" spans="1:33" x14ac:dyDescent="0.3">
      <c r="A234" s="342" t="s">
        <v>522</v>
      </c>
      <c r="B234" s="342" t="s">
        <v>523</v>
      </c>
      <c r="C234" s="349">
        <v>5532</v>
      </c>
      <c r="D234" s="349">
        <v>0</v>
      </c>
      <c r="E234" s="349">
        <v>84</v>
      </c>
      <c r="F234" s="349">
        <v>1071</v>
      </c>
      <c r="G234" s="349">
        <v>883</v>
      </c>
      <c r="H234" s="346">
        <v>7570</v>
      </c>
      <c r="I234" s="346">
        <v>6687</v>
      </c>
      <c r="J234" s="349">
        <v>1</v>
      </c>
      <c r="K234" s="347">
        <v>108.05</v>
      </c>
      <c r="L234" s="347">
        <v>104.56</v>
      </c>
      <c r="M234" s="347">
        <v>4.32</v>
      </c>
      <c r="N234" s="347">
        <v>110.82</v>
      </c>
      <c r="O234" s="348">
        <v>5182</v>
      </c>
      <c r="P234" s="347">
        <v>93.26</v>
      </c>
      <c r="Q234" s="347">
        <v>88.57</v>
      </c>
      <c r="R234" s="347">
        <v>22.91</v>
      </c>
      <c r="S234" s="347">
        <v>115.99</v>
      </c>
      <c r="T234" s="348">
        <v>903</v>
      </c>
      <c r="U234" s="347">
        <v>163.41999999999999</v>
      </c>
      <c r="V234" s="348">
        <v>316</v>
      </c>
      <c r="W234" s="347">
        <v>141.97</v>
      </c>
      <c r="X234" s="348">
        <v>102</v>
      </c>
      <c r="Y234" s="349">
        <v>0</v>
      </c>
      <c r="Z234" s="349">
        <v>0</v>
      </c>
      <c r="AA234" s="349">
        <v>1</v>
      </c>
      <c r="AB234" s="349">
        <v>53</v>
      </c>
      <c r="AC234" s="349">
        <v>15</v>
      </c>
      <c r="AD234" s="349">
        <v>5520</v>
      </c>
      <c r="AE234" s="349">
        <v>25</v>
      </c>
      <c r="AF234" s="349">
        <v>8</v>
      </c>
      <c r="AG234" s="349">
        <v>33</v>
      </c>
    </row>
    <row r="235" spans="1:33" x14ac:dyDescent="0.3">
      <c r="A235" s="342" t="s">
        <v>524</v>
      </c>
      <c r="B235" s="342" t="s">
        <v>525</v>
      </c>
      <c r="C235" s="349">
        <v>15408</v>
      </c>
      <c r="D235" s="349">
        <v>2</v>
      </c>
      <c r="E235" s="349">
        <v>1366</v>
      </c>
      <c r="F235" s="349">
        <v>1135</v>
      </c>
      <c r="G235" s="349">
        <v>435</v>
      </c>
      <c r="H235" s="346">
        <v>18346</v>
      </c>
      <c r="I235" s="346">
        <v>17911</v>
      </c>
      <c r="J235" s="349">
        <v>187</v>
      </c>
      <c r="K235" s="347">
        <v>80.84</v>
      </c>
      <c r="L235" s="347">
        <v>79.66</v>
      </c>
      <c r="M235" s="347">
        <v>7.99</v>
      </c>
      <c r="N235" s="347">
        <v>83.46</v>
      </c>
      <c r="O235" s="348">
        <v>12890</v>
      </c>
      <c r="P235" s="347">
        <v>86.58</v>
      </c>
      <c r="Q235" s="347">
        <v>78.760000000000005</v>
      </c>
      <c r="R235" s="347">
        <v>54.45</v>
      </c>
      <c r="S235" s="347">
        <v>140.47999999999999</v>
      </c>
      <c r="T235" s="348">
        <v>2226</v>
      </c>
      <c r="U235" s="347">
        <v>99.34</v>
      </c>
      <c r="V235" s="348">
        <v>2243</v>
      </c>
      <c r="W235" s="347">
        <v>101.41</v>
      </c>
      <c r="X235" s="348">
        <v>9</v>
      </c>
      <c r="Y235" s="349">
        <v>2</v>
      </c>
      <c r="Z235" s="349">
        <v>24</v>
      </c>
      <c r="AA235" s="349">
        <v>22</v>
      </c>
      <c r="AB235" s="349">
        <v>2</v>
      </c>
      <c r="AC235" s="349">
        <v>11</v>
      </c>
      <c r="AD235" s="349">
        <v>15301</v>
      </c>
      <c r="AE235" s="349">
        <v>109</v>
      </c>
      <c r="AF235" s="349">
        <v>96</v>
      </c>
      <c r="AG235" s="349">
        <v>205</v>
      </c>
    </row>
    <row r="236" spans="1:33" x14ac:dyDescent="0.3">
      <c r="A236" s="342" t="s">
        <v>526</v>
      </c>
      <c r="B236" s="342" t="s">
        <v>527</v>
      </c>
      <c r="C236" s="349">
        <v>12762</v>
      </c>
      <c r="D236" s="349">
        <v>25</v>
      </c>
      <c r="E236" s="349">
        <v>386</v>
      </c>
      <c r="F236" s="349">
        <v>1724</v>
      </c>
      <c r="G236" s="349">
        <v>975</v>
      </c>
      <c r="H236" s="346">
        <v>15872</v>
      </c>
      <c r="I236" s="346">
        <v>14897</v>
      </c>
      <c r="J236" s="349">
        <v>0</v>
      </c>
      <c r="K236" s="347">
        <v>89.01</v>
      </c>
      <c r="L236" s="347">
        <v>86.9</v>
      </c>
      <c r="M236" s="347">
        <v>3.9</v>
      </c>
      <c r="N236" s="347">
        <v>91.09</v>
      </c>
      <c r="O236" s="348">
        <v>10066</v>
      </c>
      <c r="P236" s="347">
        <v>84.66</v>
      </c>
      <c r="Q236" s="347">
        <v>80.12</v>
      </c>
      <c r="R236" s="347">
        <v>28.68</v>
      </c>
      <c r="S236" s="347">
        <v>113.21</v>
      </c>
      <c r="T236" s="348">
        <v>1634</v>
      </c>
      <c r="U236" s="347">
        <v>107.91</v>
      </c>
      <c r="V236" s="348">
        <v>1901</v>
      </c>
      <c r="W236" s="347">
        <v>198.93</v>
      </c>
      <c r="X236" s="348">
        <v>372</v>
      </c>
      <c r="Y236" s="349">
        <v>0</v>
      </c>
      <c r="Z236" s="349">
        <v>24</v>
      </c>
      <c r="AA236" s="349">
        <v>27</v>
      </c>
      <c r="AB236" s="349">
        <v>74</v>
      </c>
      <c r="AC236" s="349">
        <v>9</v>
      </c>
      <c r="AD236" s="349">
        <v>12474</v>
      </c>
      <c r="AE236" s="349">
        <v>130</v>
      </c>
      <c r="AF236" s="349">
        <v>102</v>
      </c>
      <c r="AG236" s="349">
        <v>232</v>
      </c>
    </row>
    <row r="237" spans="1:33" x14ac:dyDescent="0.3">
      <c r="A237" s="342" t="s">
        <v>528</v>
      </c>
      <c r="B237" s="342" t="s">
        <v>529</v>
      </c>
      <c r="C237" s="349">
        <v>3569</v>
      </c>
      <c r="D237" s="349">
        <v>24</v>
      </c>
      <c r="E237" s="349">
        <v>370</v>
      </c>
      <c r="F237" s="349">
        <v>230</v>
      </c>
      <c r="G237" s="349">
        <v>412</v>
      </c>
      <c r="H237" s="346">
        <v>4605</v>
      </c>
      <c r="I237" s="346">
        <v>4193</v>
      </c>
      <c r="J237" s="349">
        <v>31</v>
      </c>
      <c r="K237" s="347">
        <v>121.79</v>
      </c>
      <c r="L237" s="347">
        <v>119.85</v>
      </c>
      <c r="M237" s="347">
        <v>8.31</v>
      </c>
      <c r="N237" s="347">
        <v>128.94999999999999</v>
      </c>
      <c r="O237" s="348">
        <v>3199</v>
      </c>
      <c r="P237" s="347">
        <v>108.43</v>
      </c>
      <c r="Q237" s="347">
        <v>98.93</v>
      </c>
      <c r="R237" s="347">
        <v>61.93</v>
      </c>
      <c r="S237" s="347">
        <v>157.31</v>
      </c>
      <c r="T237" s="348">
        <v>489</v>
      </c>
      <c r="U237" s="347">
        <v>150.56</v>
      </c>
      <c r="V237" s="348">
        <v>176</v>
      </c>
      <c r="W237" s="347">
        <v>0</v>
      </c>
      <c r="X237" s="348">
        <v>0</v>
      </c>
      <c r="Y237" s="349">
        <v>2</v>
      </c>
      <c r="Z237" s="349">
        <v>1</v>
      </c>
      <c r="AA237" s="349">
        <v>23</v>
      </c>
      <c r="AB237" s="349">
        <v>0</v>
      </c>
      <c r="AC237" s="349">
        <v>16</v>
      </c>
      <c r="AD237" s="349">
        <v>3421</v>
      </c>
      <c r="AE237" s="349">
        <v>18</v>
      </c>
      <c r="AF237" s="349">
        <v>10</v>
      </c>
      <c r="AG237" s="349">
        <v>28</v>
      </c>
    </row>
    <row r="238" spans="1:33" x14ac:dyDescent="0.3">
      <c r="A238" s="342" t="s">
        <v>530</v>
      </c>
      <c r="B238" s="342" t="s">
        <v>531</v>
      </c>
      <c r="C238" s="349">
        <v>2629</v>
      </c>
      <c r="D238" s="349">
        <v>0</v>
      </c>
      <c r="E238" s="349">
        <v>227</v>
      </c>
      <c r="F238" s="349">
        <v>613</v>
      </c>
      <c r="G238" s="349">
        <v>605</v>
      </c>
      <c r="H238" s="346">
        <v>4074</v>
      </c>
      <c r="I238" s="346">
        <v>3469</v>
      </c>
      <c r="J238" s="349">
        <v>0</v>
      </c>
      <c r="K238" s="347">
        <v>104.22</v>
      </c>
      <c r="L238" s="347">
        <v>102.68</v>
      </c>
      <c r="M238" s="347">
        <v>5.61</v>
      </c>
      <c r="N238" s="347">
        <v>108.63</v>
      </c>
      <c r="O238" s="348">
        <v>2007</v>
      </c>
      <c r="P238" s="347">
        <v>92.3</v>
      </c>
      <c r="Q238" s="347">
        <v>85.78</v>
      </c>
      <c r="R238" s="347">
        <v>60.41</v>
      </c>
      <c r="S238" s="347">
        <v>149.36000000000001</v>
      </c>
      <c r="T238" s="348">
        <v>468</v>
      </c>
      <c r="U238" s="347">
        <v>113.61</v>
      </c>
      <c r="V238" s="348">
        <v>586</v>
      </c>
      <c r="W238" s="347">
        <v>224.08</v>
      </c>
      <c r="X238" s="348">
        <v>38</v>
      </c>
      <c r="Y238" s="349">
        <v>0</v>
      </c>
      <c r="Z238" s="349">
        <v>2</v>
      </c>
      <c r="AA238" s="349">
        <v>6</v>
      </c>
      <c r="AB238" s="349">
        <v>30</v>
      </c>
      <c r="AC238" s="349">
        <v>10</v>
      </c>
      <c r="AD238" s="349">
        <v>2592</v>
      </c>
      <c r="AE238" s="349">
        <v>13</v>
      </c>
      <c r="AF238" s="349">
        <v>1</v>
      </c>
      <c r="AG238" s="349">
        <v>14</v>
      </c>
    </row>
    <row r="239" spans="1:33" x14ac:dyDescent="0.3">
      <c r="A239" s="342" t="s">
        <v>532</v>
      </c>
      <c r="B239" s="342" t="s">
        <v>533</v>
      </c>
      <c r="C239" s="349">
        <v>4121</v>
      </c>
      <c r="D239" s="349">
        <v>0</v>
      </c>
      <c r="E239" s="349">
        <v>418</v>
      </c>
      <c r="F239" s="349">
        <v>877</v>
      </c>
      <c r="G239" s="349">
        <v>574</v>
      </c>
      <c r="H239" s="346">
        <v>5990</v>
      </c>
      <c r="I239" s="346">
        <v>5416</v>
      </c>
      <c r="J239" s="349">
        <v>76</v>
      </c>
      <c r="K239" s="347">
        <v>96.86</v>
      </c>
      <c r="L239" s="347">
        <v>95.72</v>
      </c>
      <c r="M239" s="347">
        <v>4.38</v>
      </c>
      <c r="N239" s="347">
        <v>100.45</v>
      </c>
      <c r="O239" s="348">
        <v>3336</v>
      </c>
      <c r="P239" s="347">
        <v>91.07</v>
      </c>
      <c r="Q239" s="347">
        <v>90.06</v>
      </c>
      <c r="R239" s="347">
        <v>35.68</v>
      </c>
      <c r="S239" s="347">
        <v>126.01</v>
      </c>
      <c r="T239" s="348">
        <v>1019</v>
      </c>
      <c r="U239" s="347">
        <v>114.67</v>
      </c>
      <c r="V239" s="348">
        <v>392</v>
      </c>
      <c r="W239" s="347">
        <v>149.99</v>
      </c>
      <c r="X239" s="348">
        <v>78</v>
      </c>
      <c r="Y239" s="349">
        <v>0</v>
      </c>
      <c r="Z239" s="349">
        <v>5</v>
      </c>
      <c r="AA239" s="349">
        <v>4</v>
      </c>
      <c r="AB239" s="349">
        <v>14</v>
      </c>
      <c r="AC239" s="349">
        <v>7</v>
      </c>
      <c r="AD239" s="349">
        <v>3735</v>
      </c>
      <c r="AE239" s="349">
        <v>21</v>
      </c>
      <c r="AF239" s="349">
        <v>3</v>
      </c>
      <c r="AG239" s="349">
        <v>24</v>
      </c>
    </row>
    <row r="240" spans="1:33" x14ac:dyDescent="0.3">
      <c r="A240" s="342" t="s">
        <v>534</v>
      </c>
      <c r="B240" s="342" t="s">
        <v>535</v>
      </c>
      <c r="C240" s="349">
        <v>3626</v>
      </c>
      <c r="D240" s="349">
        <v>0</v>
      </c>
      <c r="E240" s="349">
        <v>367</v>
      </c>
      <c r="F240" s="349">
        <v>206</v>
      </c>
      <c r="G240" s="349">
        <v>1296</v>
      </c>
      <c r="H240" s="346">
        <v>5495</v>
      </c>
      <c r="I240" s="346">
        <v>4199</v>
      </c>
      <c r="J240" s="349">
        <v>23</v>
      </c>
      <c r="K240" s="347">
        <v>112.74</v>
      </c>
      <c r="L240" s="347">
        <v>112.25</v>
      </c>
      <c r="M240" s="347">
        <v>3.35</v>
      </c>
      <c r="N240" s="347">
        <v>115.57</v>
      </c>
      <c r="O240" s="348">
        <v>2383</v>
      </c>
      <c r="P240" s="347">
        <v>105.06</v>
      </c>
      <c r="Q240" s="347">
        <v>102.19</v>
      </c>
      <c r="R240" s="347">
        <v>48.74</v>
      </c>
      <c r="S240" s="347">
        <v>153.80000000000001</v>
      </c>
      <c r="T240" s="348">
        <v>260</v>
      </c>
      <c r="U240" s="347">
        <v>155.46</v>
      </c>
      <c r="V240" s="348">
        <v>872</v>
      </c>
      <c r="W240" s="347">
        <v>181.34</v>
      </c>
      <c r="X240" s="348">
        <v>79</v>
      </c>
      <c r="Y240" s="349">
        <v>14</v>
      </c>
      <c r="Z240" s="349">
        <v>0</v>
      </c>
      <c r="AA240" s="349">
        <v>0</v>
      </c>
      <c r="AB240" s="349">
        <v>95</v>
      </c>
      <c r="AC240" s="349">
        <v>35</v>
      </c>
      <c r="AD240" s="349">
        <v>3399</v>
      </c>
      <c r="AE240" s="349">
        <v>16</v>
      </c>
      <c r="AF240" s="349">
        <v>2</v>
      </c>
      <c r="AG240" s="349">
        <v>18</v>
      </c>
    </row>
    <row r="241" spans="1:33" x14ac:dyDescent="0.3">
      <c r="A241" s="342" t="s">
        <v>536</v>
      </c>
      <c r="B241" s="342" t="s">
        <v>537</v>
      </c>
      <c r="C241" s="349">
        <v>1747</v>
      </c>
      <c r="D241" s="349">
        <v>0</v>
      </c>
      <c r="E241" s="349">
        <v>148</v>
      </c>
      <c r="F241" s="349">
        <v>44</v>
      </c>
      <c r="G241" s="349">
        <v>374</v>
      </c>
      <c r="H241" s="346">
        <v>2313</v>
      </c>
      <c r="I241" s="346">
        <v>1939</v>
      </c>
      <c r="J241" s="349">
        <v>6</v>
      </c>
      <c r="K241" s="347">
        <v>94.07</v>
      </c>
      <c r="L241" s="347">
        <v>93.51</v>
      </c>
      <c r="M241" s="347">
        <v>4.54</v>
      </c>
      <c r="N241" s="347">
        <v>97.32</v>
      </c>
      <c r="O241" s="348">
        <v>1331</v>
      </c>
      <c r="P241" s="347">
        <v>110.77</v>
      </c>
      <c r="Q241" s="347">
        <v>109.98</v>
      </c>
      <c r="R241" s="347">
        <v>95.41</v>
      </c>
      <c r="S241" s="347">
        <v>205.38</v>
      </c>
      <c r="T241" s="348">
        <v>119</v>
      </c>
      <c r="U241" s="347">
        <v>109.41</v>
      </c>
      <c r="V241" s="348">
        <v>407</v>
      </c>
      <c r="W241" s="347">
        <v>193.93</v>
      </c>
      <c r="X241" s="348">
        <v>48</v>
      </c>
      <c r="Y241" s="349">
        <v>33</v>
      </c>
      <c r="Z241" s="349">
        <v>2</v>
      </c>
      <c r="AA241" s="349">
        <v>0</v>
      </c>
      <c r="AB241" s="349">
        <v>96</v>
      </c>
      <c r="AC241" s="349">
        <v>4</v>
      </c>
      <c r="AD241" s="349">
        <v>1731</v>
      </c>
      <c r="AE241" s="349">
        <v>29</v>
      </c>
      <c r="AF241" s="349">
        <v>11</v>
      </c>
      <c r="AG241" s="349">
        <v>40</v>
      </c>
    </row>
    <row r="242" spans="1:33" x14ac:dyDescent="0.3">
      <c r="A242" s="342" t="s">
        <v>538</v>
      </c>
      <c r="B242" s="342" t="s">
        <v>539</v>
      </c>
      <c r="C242" s="349">
        <v>11292</v>
      </c>
      <c r="D242" s="349">
        <v>0</v>
      </c>
      <c r="E242" s="349">
        <v>345</v>
      </c>
      <c r="F242" s="349">
        <v>1799</v>
      </c>
      <c r="G242" s="349">
        <v>1056</v>
      </c>
      <c r="H242" s="346">
        <v>14492</v>
      </c>
      <c r="I242" s="346">
        <v>13436</v>
      </c>
      <c r="J242" s="349">
        <v>0</v>
      </c>
      <c r="K242" s="347">
        <v>100.58</v>
      </c>
      <c r="L242" s="347">
        <v>101.05</v>
      </c>
      <c r="M242" s="347">
        <v>5.65</v>
      </c>
      <c r="N242" s="347">
        <v>103.99</v>
      </c>
      <c r="O242" s="348">
        <v>10245</v>
      </c>
      <c r="P242" s="347">
        <v>91.26</v>
      </c>
      <c r="Q242" s="347">
        <v>85.21</v>
      </c>
      <c r="R242" s="347">
        <v>35.130000000000003</v>
      </c>
      <c r="S242" s="347">
        <v>125.93</v>
      </c>
      <c r="T242" s="348">
        <v>1883</v>
      </c>
      <c r="U242" s="347">
        <v>142.61000000000001</v>
      </c>
      <c r="V242" s="348">
        <v>683</v>
      </c>
      <c r="W242" s="347">
        <v>203.05</v>
      </c>
      <c r="X242" s="348">
        <v>95</v>
      </c>
      <c r="Y242" s="349">
        <v>0</v>
      </c>
      <c r="Z242" s="349">
        <v>19</v>
      </c>
      <c r="AA242" s="349">
        <v>4</v>
      </c>
      <c r="AB242" s="349">
        <v>86</v>
      </c>
      <c r="AC242" s="349">
        <v>13</v>
      </c>
      <c r="AD242" s="349">
        <v>10973</v>
      </c>
      <c r="AE242" s="349">
        <v>59</v>
      </c>
      <c r="AF242" s="349">
        <v>106</v>
      </c>
      <c r="AG242" s="349">
        <v>165</v>
      </c>
    </row>
    <row r="243" spans="1:33" x14ac:dyDescent="0.3">
      <c r="A243" s="342" t="s">
        <v>540</v>
      </c>
      <c r="B243" s="342" t="s">
        <v>541</v>
      </c>
      <c r="C243" s="349">
        <v>4002</v>
      </c>
      <c r="D243" s="349">
        <v>0</v>
      </c>
      <c r="E243" s="349">
        <v>87</v>
      </c>
      <c r="F243" s="349">
        <v>597</v>
      </c>
      <c r="G243" s="349">
        <v>553</v>
      </c>
      <c r="H243" s="346">
        <v>5239</v>
      </c>
      <c r="I243" s="346">
        <v>4686</v>
      </c>
      <c r="J243" s="349">
        <v>0</v>
      </c>
      <c r="K243" s="347">
        <v>94.73</v>
      </c>
      <c r="L243" s="347">
        <v>91.17</v>
      </c>
      <c r="M243" s="347">
        <v>2.25</v>
      </c>
      <c r="N243" s="347">
        <v>96.88</v>
      </c>
      <c r="O243" s="348">
        <v>3293</v>
      </c>
      <c r="P243" s="347">
        <v>83.57</v>
      </c>
      <c r="Q243" s="347">
        <v>74.849999999999994</v>
      </c>
      <c r="R243" s="347">
        <v>34.97</v>
      </c>
      <c r="S243" s="347">
        <v>117.78</v>
      </c>
      <c r="T243" s="348">
        <v>556</v>
      </c>
      <c r="U243" s="347">
        <v>127.59</v>
      </c>
      <c r="V243" s="348">
        <v>376</v>
      </c>
      <c r="W243" s="347">
        <v>202.96</v>
      </c>
      <c r="X243" s="348">
        <v>41</v>
      </c>
      <c r="Y243" s="349">
        <v>0</v>
      </c>
      <c r="Z243" s="349">
        <v>4</v>
      </c>
      <c r="AA243" s="349">
        <v>0</v>
      </c>
      <c r="AB243" s="349">
        <v>34</v>
      </c>
      <c r="AC243" s="349">
        <v>19</v>
      </c>
      <c r="AD243" s="349">
        <v>3731</v>
      </c>
      <c r="AE243" s="349">
        <v>28</v>
      </c>
      <c r="AF243" s="349">
        <v>9</v>
      </c>
      <c r="AG243" s="349">
        <v>37</v>
      </c>
    </row>
    <row r="244" spans="1:33" x14ac:dyDescent="0.3">
      <c r="A244" s="342" t="s">
        <v>542</v>
      </c>
      <c r="B244" s="342" t="s">
        <v>543</v>
      </c>
      <c r="C244" s="349">
        <v>1054</v>
      </c>
      <c r="D244" s="349">
        <v>0</v>
      </c>
      <c r="E244" s="349">
        <v>109</v>
      </c>
      <c r="F244" s="349">
        <v>0</v>
      </c>
      <c r="G244" s="349">
        <v>348</v>
      </c>
      <c r="H244" s="346">
        <v>1511</v>
      </c>
      <c r="I244" s="346">
        <v>1163</v>
      </c>
      <c r="J244" s="349">
        <v>1</v>
      </c>
      <c r="K244" s="347">
        <v>86.25</v>
      </c>
      <c r="L244" s="347">
        <v>84.47</v>
      </c>
      <c r="M244" s="347">
        <v>5.03</v>
      </c>
      <c r="N244" s="347">
        <v>90.3</v>
      </c>
      <c r="O244" s="348">
        <v>750</v>
      </c>
      <c r="P244" s="347">
        <v>118.07</v>
      </c>
      <c r="Q244" s="347">
        <v>69.56</v>
      </c>
      <c r="R244" s="347">
        <v>109.12</v>
      </c>
      <c r="S244" s="347">
        <v>227.19</v>
      </c>
      <c r="T244" s="348">
        <v>95</v>
      </c>
      <c r="U244" s="347">
        <v>107.92</v>
      </c>
      <c r="V244" s="348">
        <v>185</v>
      </c>
      <c r="W244" s="347">
        <v>0</v>
      </c>
      <c r="X244" s="348">
        <v>0</v>
      </c>
      <c r="Y244" s="349">
        <v>0</v>
      </c>
      <c r="Z244" s="349">
        <v>0</v>
      </c>
      <c r="AA244" s="349">
        <v>0</v>
      </c>
      <c r="AB244" s="349">
        <v>10</v>
      </c>
      <c r="AC244" s="349">
        <v>2</v>
      </c>
      <c r="AD244" s="349">
        <v>989</v>
      </c>
      <c r="AE244" s="349">
        <v>5</v>
      </c>
      <c r="AF244" s="349">
        <v>0</v>
      </c>
      <c r="AG244" s="349">
        <v>5</v>
      </c>
    </row>
    <row r="245" spans="1:33" x14ac:dyDescent="0.3">
      <c r="A245" s="342" t="s">
        <v>544</v>
      </c>
      <c r="B245" s="342" t="s">
        <v>545</v>
      </c>
      <c r="C245" s="349">
        <v>1807</v>
      </c>
      <c r="D245" s="349">
        <v>0</v>
      </c>
      <c r="E245" s="349">
        <v>142</v>
      </c>
      <c r="F245" s="349">
        <v>268</v>
      </c>
      <c r="G245" s="349">
        <v>522</v>
      </c>
      <c r="H245" s="346">
        <v>2739</v>
      </c>
      <c r="I245" s="346">
        <v>2217</v>
      </c>
      <c r="J245" s="349">
        <v>3</v>
      </c>
      <c r="K245" s="347">
        <v>88.98</v>
      </c>
      <c r="L245" s="347">
        <v>87.46</v>
      </c>
      <c r="M245" s="347">
        <v>5.71</v>
      </c>
      <c r="N245" s="347">
        <v>94.09</v>
      </c>
      <c r="O245" s="348">
        <v>1240</v>
      </c>
      <c r="P245" s="347">
        <v>97.05</v>
      </c>
      <c r="Q245" s="347">
        <v>72.02</v>
      </c>
      <c r="R245" s="347">
        <v>47.08</v>
      </c>
      <c r="S245" s="347">
        <v>144.13</v>
      </c>
      <c r="T245" s="348">
        <v>275</v>
      </c>
      <c r="U245" s="347">
        <v>107.88</v>
      </c>
      <c r="V245" s="348">
        <v>278</v>
      </c>
      <c r="W245" s="347">
        <v>0</v>
      </c>
      <c r="X245" s="348">
        <v>0</v>
      </c>
      <c r="Y245" s="349">
        <v>33</v>
      </c>
      <c r="Z245" s="349">
        <v>1</v>
      </c>
      <c r="AA245" s="349">
        <v>0</v>
      </c>
      <c r="AB245" s="349">
        <v>34</v>
      </c>
      <c r="AC245" s="349">
        <v>12</v>
      </c>
      <c r="AD245" s="349">
        <v>1718</v>
      </c>
      <c r="AE245" s="349">
        <v>23</v>
      </c>
      <c r="AF245" s="349">
        <v>4</v>
      </c>
      <c r="AG245" s="349">
        <v>27</v>
      </c>
    </row>
    <row r="246" spans="1:33" x14ac:dyDescent="0.3">
      <c r="A246" s="342" t="s">
        <v>546</v>
      </c>
      <c r="B246" s="342" t="s">
        <v>547</v>
      </c>
      <c r="C246" s="349">
        <v>4097</v>
      </c>
      <c r="D246" s="349">
        <v>2</v>
      </c>
      <c r="E246" s="349">
        <v>201</v>
      </c>
      <c r="F246" s="349">
        <v>541</v>
      </c>
      <c r="G246" s="349">
        <v>220</v>
      </c>
      <c r="H246" s="346">
        <v>5061</v>
      </c>
      <c r="I246" s="346">
        <v>4841</v>
      </c>
      <c r="J246" s="349">
        <v>0</v>
      </c>
      <c r="K246" s="347">
        <v>92.96</v>
      </c>
      <c r="L246" s="347">
        <v>92.94</v>
      </c>
      <c r="M246" s="347">
        <v>4.57</v>
      </c>
      <c r="N246" s="347">
        <v>94.28</v>
      </c>
      <c r="O246" s="348">
        <v>3518</v>
      </c>
      <c r="P246" s="347">
        <v>86.35</v>
      </c>
      <c r="Q246" s="347">
        <v>82.43</v>
      </c>
      <c r="R246" s="347">
        <v>45.59</v>
      </c>
      <c r="S246" s="347">
        <v>131.38999999999999</v>
      </c>
      <c r="T246" s="348">
        <v>667</v>
      </c>
      <c r="U246" s="347">
        <v>116.06</v>
      </c>
      <c r="V246" s="348">
        <v>494</v>
      </c>
      <c r="W246" s="347">
        <v>207.9</v>
      </c>
      <c r="X246" s="348">
        <v>8</v>
      </c>
      <c r="Y246" s="349">
        <v>0</v>
      </c>
      <c r="Z246" s="349">
        <v>10</v>
      </c>
      <c r="AA246" s="349">
        <v>1</v>
      </c>
      <c r="AB246" s="349">
        <v>23</v>
      </c>
      <c r="AC246" s="349">
        <v>2</v>
      </c>
      <c r="AD246" s="349">
        <v>4011</v>
      </c>
      <c r="AE246" s="349">
        <v>27</v>
      </c>
      <c r="AF246" s="349">
        <v>11</v>
      </c>
      <c r="AG246" s="349">
        <v>38</v>
      </c>
    </row>
    <row r="247" spans="1:33" x14ac:dyDescent="0.3">
      <c r="A247" s="342" t="s">
        <v>548</v>
      </c>
      <c r="B247" s="342" t="s">
        <v>549</v>
      </c>
      <c r="C247" s="349">
        <v>6642</v>
      </c>
      <c r="D247" s="349">
        <v>0</v>
      </c>
      <c r="E247" s="349">
        <v>227</v>
      </c>
      <c r="F247" s="349">
        <v>819</v>
      </c>
      <c r="G247" s="349">
        <v>694</v>
      </c>
      <c r="H247" s="346">
        <v>8382</v>
      </c>
      <c r="I247" s="346">
        <v>7688</v>
      </c>
      <c r="J247" s="349">
        <v>6</v>
      </c>
      <c r="K247" s="347">
        <v>89.39</v>
      </c>
      <c r="L247" s="347">
        <v>88.92</v>
      </c>
      <c r="M247" s="347">
        <v>5.39</v>
      </c>
      <c r="N247" s="347">
        <v>91</v>
      </c>
      <c r="O247" s="348">
        <v>4478</v>
      </c>
      <c r="P247" s="347">
        <v>90.56</v>
      </c>
      <c r="Q247" s="347">
        <v>81.63</v>
      </c>
      <c r="R247" s="347">
        <v>40.909999999999997</v>
      </c>
      <c r="S247" s="347">
        <v>130.78</v>
      </c>
      <c r="T247" s="348">
        <v>1003</v>
      </c>
      <c r="U247" s="347">
        <v>115.87</v>
      </c>
      <c r="V247" s="348">
        <v>1948</v>
      </c>
      <c r="W247" s="347">
        <v>0</v>
      </c>
      <c r="X247" s="348">
        <v>0</v>
      </c>
      <c r="Y247" s="349">
        <v>74</v>
      </c>
      <c r="Z247" s="349">
        <v>4</v>
      </c>
      <c r="AA247" s="349">
        <v>10</v>
      </c>
      <c r="AB247" s="349">
        <v>35</v>
      </c>
      <c r="AC247" s="349">
        <v>10</v>
      </c>
      <c r="AD247" s="349">
        <v>6637</v>
      </c>
      <c r="AE247" s="349">
        <v>45</v>
      </c>
      <c r="AF247" s="349">
        <v>35</v>
      </c>
      <c r="AG247" s="349">
        <v>80</v>
      </c>
    </row>
    <row r="248" spans="1:33" x14ac:dyDescent="0.3">
      <c r="A248" s="342" t="s">
        <v>550</v>
      </c>
      <c r="B248" s="342" t="s">
        <v>551</v>
      </c>
      <c r="C248" s="349">
        <v>6587</v>
      </c>
      <c r="D248" s="349">
        <v>0</v>
      </c>
      <c r="E248" s="349">
        <v>239</v>
      </c>
      <c r="F248" s="349">
        <v>768</v>
      </c>
      <c r="G248" s="349">
        <v>1033</v>
      </c>
      <c r="H248" s="346">
        <v>8627</v>
      </c>
      <c r="I248" s="346">
        <v>7594</v>
      </c>
      <c r="J248" s="349">
        <v>0</v>
      </c>
      <c r="K248" s="347">
        <v>112.64</v>
      </c>
      <c r="L248" s="347">
        <v>111.27</v>
      </c>
      <c r="M248" s="347">
        <v>5.54</v>
      </c>
      <c r="N248" s="347">
        <v>114.64</v>
      </c>
      <c r="O248" s="348">
        <v>5259</v>
      </c>
      <c r="P248" s="347">
        <v>96.46</v>
      </c>
      <c r="Q248" s="347">
        <v>92.33</v>
      </c>
      <c r="R248" s="347">
        <v>29.64</v>
      </c>
      <c r="S248" s="347">
        <v>123.72</v>
      </c>
      <c r="T248" s="348">
        <v>810</v>
      </c>
      <c r="U248" s="347">
        <v>181.64</v>
      </c>
      <c r="V248" s="348">
        <v>1115</v>
      </c>
      <c r="W248" s="347">
        <v>165.73</v>
      </c>
      <c r="X248" s="348">
        <v>66</v>
      </c>
      <c r="Y248" s="349">
        <v>79</v>
      </c>
      <c r="Z248" s="349">
        <v>1</v>
      </c>
      <c r="AA248" s="349">
        <v>2</v>
      </c>
      <c r="AB248" s="349">
        <v>93</v>
      </c>
      <c r="AC248" s="349">
        <v>25</v>
      </c>
      <c r="AD248" s="349">
        <v>6384</v>
      </c>
      <c r="AE248" s="349">
        <v>42</v>
      </c>
      <c r="AF248" s="349">
        <v>5</v>
      </c>
      <c r="AG248" s="349">
        <v>47</v>
      </c>
    </row>
    <row r="249" spans="1:33" x14ac:dyDescent="0.3">
      <c r="A249" s="342" t="s">
        <v>552</v>
      </c>
      <c r="B249" s="342" t="s">
        <v>553</v>
      </c>
      <c r="C249" s="349">
        <v>3993</v>
      </c>
      <c r="D249" s="349">
        <v>3</v>
      </c>
      <c r="E249" s="349">
        <v>266</v>
      </c>
      <c r="F249" s="349">
        <v>1059</v>
      </c>
      <c r="G249" s="349">
        <v>254</v>
      </c>
      <c r="H249" s="346">
        <v>5575</v>
      </c>
      <c r="I249" s="346">
        <v>5321</v>
      </c>
      <c r="J249" s="349">
        <v>2</v>
      </c>
      <c r="K249" s="347">
        <v>88.16</v>
      </c>
      <c r="L249" s="347">
        <v>87.22</v>
      </c>
      <c r="M249" s="347">
        <v>2.7</v>
      </c>
      <c r="N249" s="347">
        <v>90.77</v>
      </c>
      <c r="O249" s="348">
        <v>3551</v>
      </c>
      <c r="P249" s="347">
        <v>90.54</v>
      </c>
      <c r="Q249" s="347">
        <v>81.17</v>
      </c>
      <c r="R249" s="347">
        <v>26.36</v>
      </c>
      <c r="S249" s="347">
        <v>116.7</v>
      </c>
      <c r="T249" s="348">
        <v>1237</v>
      </c>
      <c r="U249" s="347">
        <v>105.22</v>
      </c>
      <c r="V249" s="348">
        <v>427</v>
      </c>
      <c r="W249" s="347">
        <v>0</v>
      </c>
      <c r="X249" s="348">
        <v>0</v>
      </c>
      <c r="Y249" s="349">
        <v>5</v>
      </c>
      <c r="Z249" s="349">
        <v>4</v>
      </c>
      <c r="AA249" s="349">
        <v>0</v>
      </c>
      <c r="AB249" s="349">
        <v>32</v>
      </c>
      <c r="AC249" s="349">
        <v>3</v>
      </c>
      <c r="AD249" s="349">
        <v>3991</v>
      </c>
      <c r="AE249" s="349">
        <v>31</v>
      </c>
      <c r="AF249" s="349">
        <v>6</v>
      </c>
      <c r="AG249" s="349">
        <v>37</v>
      </c>
    </row>
    <row r="250" spans="1:33" x14ac:dyDescent="0.3">
      <c r="A250" s="342" t="s">
        <v>554</v>
      </c>
      <c r="B250" s="342" t="s">
        <v>555</v>
      </c>
      <c r="C250" s="349">
        <v>9293</v>
      </c>
      <c r="D250" s="349">
        <v>0</v>
      </c>
      <c r="E250" s="349">
        <v>319</v>
      </c>
      <c r="F250" s="349">
        <v>1698</v>
      </c>
      <c r="G250" s="349">
        <v>731</v>
      </c>
      <c r="H250" s="346">
        <v>12041</v>
      </c>
      <c r="I250" s="346">
        <v>11310</v>
      </c>
      <c r="J250" s="349">
        <v>5</v>
      </c>
      <c r="K250" s="347">
        <v>93.22</v>
      </c>
      <c r="L250" s="347">
        <v>89.3</v>
      </c>
      <c r="M250" s="347">
        <v>4.2300000000000004</v>
      </c>
      <c r="N250" s="347">
        <v>94.58</v>
      </c>
      <c r="O250" s="348">
        <v>8340</v>
      </c>
      <c r="P250" s="347">
        <v>88.22</v>
      </c>
      <c r="Q250" s="347">
        <v>78.760000000000005</v>
      </c>
      <c r="R250" s="347">
        <v>29.75</v>
      </c>
      <c r="S250" s="347">
        <v>117.9</v>
      </c>
      <c r="T250" s="348">
        <v>1963</v>
      </c>
      <c r="U250" s="347">
        <v>118.61</v>
      </c>
      <c r="V250" s="348">
        <v>630</v>
      </c>
      <c r="W250" s="347">
        <v>159.32</v>
      </c>
      <c r="X250" s="348">
        <v>15</v>
      </c>
      <c r="Y250" s="349">
        <v>0</v>
      </c>
      <c r="Z250" s="349">
        <v>26</v>
      </c>
      <c r="AA250" s="349">
        <v>38</v>
      </c>
      <c r="AB250" s="349">
        <v>13</v>
      </c>
      <c r="AC250" s="349">
        <v>19</v>
      </c>
      <c r="AD250" s="349">
        <v>9207</v>
      </c>
      <c r="AE250" s="349">
        <v>32</v>
      </c>
      <c r="AF250" s="349">
        <v>71</v>
      </c>
      <c r="AG250" s="349">
        <v>103</v>
      </c>
    </row>
    <row r="251" spans="1:33" x14ac:dyDescent="0.3">
      <c r="A251" s="342" t="s">
        <v>556</v>
      </c>
      <c r="B251" s="342" t="s">
        <v>557</v>
      </c>
      <c r="C251" s="349">
        <v>5728</v>
      </c>
      <c r="D251" s="349">
        <v>0</v>
      </c>
      <c r="E251" s="349">
        <v>301</v>
      </c>
      <c r="F251" s="349">
        <v>664</v>
      </c>
      <c r="G251" s="349">
        <v>375</v>
      </c>
      <c r="H251" s="346">
        <v>7068</v>
      </c>
      <c r="I251" s="346">
        <v>6693</v>
      </c>
      <c r="J251" s="349">
        <v>5</v>
      </c>
      <c r="K251" s="347">
        <v>89.35</v>
      </c>
      <c r="L251" s="347">
        <v>85.48</v>
      </c>
      <c r="M251" s="347">
        <v>5.2</v>
      </c>
      <c r="N251" s="347">
        <v>90.82</v>
      </c>
      <c r="O251" s="348">
        <v>5586</v>
      </c>
      <c r="P251" s="347">
        <v>82.73</v>
      </c>
      <c r="Q251" s="347">
        <v>77.150000000000006</v>
      </c>
      <c r="R251" s="347">
        <v>42.02</v>
      </c>
      <c r="S251" s="347">
        <v>123.47</v>
      </c>
      <c r="T251" s="348">
        <v>790</v>
      </c>
      <c r="U251" s="347">
        <v>106.87</v>
      </c>
      <c r="V251" s="348">
        <v>100</v>
      </c>
      <c r="W251" s="347">
        <v>171.03</v>
      </c>
      <c r="X251" s="348">
        <v>160</v>
      </c>
      <c r="Y251" s="349">
        <v>0</v>
      </c>
      <c r="Z251" s="349">
        <v>6</v>
      </c>
      <c r="AA251" s="349">
        <v>0</v>
      </c>
      <c r="AB251" s="349">
        <v>39</v>
      </c>
      <c r="AC251" s="349">
        <v>8</v>
      </c>
      <c r="AD251" s="349">
        <v>5728</v>
      </c>
      <c r="AE251" s="349">
        <v>27</v>
      </c>
      <c r="AF251" s="349">
        <v>9</v>
      </c>
      <c r="AG251" s="349">
        <v>36</v>
      </c>
    </row>
    <row r="252" spans="1:33" x14ac:dyDescent="0.3">
      <c r="A252" s="342" t="s">
        <v>558</v>
      </c>
      <c r="B252" s="342" t="s">
        <v>559</v>
      </c>
      <c r="C252" s="349">
        <v>3876</v>
      </c>
      <c r="D252" s="349">
        <v>55</v>
      </c>
      <c r="E252" s="349">
        <v>385</v>
      </c>
      <c r="F252" s="349">
        <v>1000</v>
      </c>
      <c r="G252" s="349">
        <v>192</v>
      </c>
      <c r="H252" s="346">
        <v>5508</v>
      </c>
      <c r="I252" s="346">
        <v>5316</v>
      </c>
      <c r="J252" s="349">
        <v>0</v>
      </c>
      <c r="K252" s="347">
        <v>81.010000000000005</v>
      </c>
      <c r="L252" s="347">
        <v>77.7</v>
      </c>
      <c r="M252" s="347">
        <v>3.11</v>
      </c>
      <c r="N252" s="347">
        <v>83.18</v>
      </c>
      <c r="O252" s="348">
        <v>3130</v>
      </c>
      <c r="P252" s="347">
        <v>84.58</v>
      </c>
      <c r="Q252" s="347">
        <v>75.37</v>
      </c>
      <c r="R252" s="347">
        <v>66.42</v>
      </c>
      <c r="S252" s="347">
        <v>150.36000000000001</v>
      </c>
      <c r="T252" s="348">
        <v>941</v>
      </c>
      <c r="U252" s="347">
        <v>98.24</v>
      </c>
      <c r="V252" s="348">
        <v>656</v>
      </c>
      <c r="W252" s="347">
        <v>126.33</v>
      </c>
      <c r="X252" s="348">
        <v>326</v>
      </c>
      <c r="Y252" s="349">
        <v>0</v>
      </c>
      <c r="Z252" s="349">
        <v>4</v>
      </c>
      <c r="AA252" s="349">
        <v>4</v>
      </c>
      <c r="AB252" s="349">
        <v>2</v>
      </c>
      <c r="AC252" s="349">
        <v>1</v>
      </c>
      <c r="AD252" s="349">
        <v>3673</v>
      </c>
      <c r="AE252" s="349">
        <v>40</v>
      </c>
      <c r="AF252" s="349">
        <v>38</v>
      </c>
      <c r="AG252" s="349">
        <v>78</v>
      </c>
    </row>
    <row r="253" spans="1:33" x14ac:dyDescent="0.3">
      <c r="A253" s="342" t="s">
        <v>560</v>
      </c>
      <c r="B253" s="342" t="s">
        <v>561</v>
      </c>
      <c r="C253" s="349">
        <v>5891</v>
      </c>
      <c r="D253" s="349">
        <v>93</v>
      </c>
      <c r="E253" s="349">
        <v>937</v>
      </c>
      <c r="F253" s="349">
        <v>1085</v>
      </c>
      <c r="G253" s="349">
        <v>995</v>
      </c>
      <c r="H253" s="346">
        <v>9001</v>
      </c>
      <c r="I253" s="346">
        <v>8006</v>
      </c>
      <c r="J253" s="349">
        <v>1</v>
      </c>
      <c r="K253" s="347">
        <v>106.17</v>
      </c>
      <c r="L253" s="347">
        <v>103.22</v>
      </c>
      <c r="M253" s="347">
        <v>7.88</v>
      </c>
      <c r="N253" s="347">
        <v>112.91</v>
      </c>
      <c r="O253" s="348">
        <v>4667</v>
      </c>
      <c r="P253" s="347">
        <v>93.52</v>
      </c>
      <c r="Q253" s="347">
        <v>88.06</v>
      </c>
      <c r="R253" s="347">
        <v>43.65</v>
      </c>
      <c r="S253" s="347">
        <v>135.16</v>
      </c>
      <c r="T253" s="348">
        <v>1616</v>
      </c>
      <c r="U253" s="347">
        <v>143.35</v>
      </c>
      <c r="V253" s="348">
        <v>816</v>
      </c>
      <c r="W253" s="347">
        <v>147.38</v>
      </c>
      <c r="X253" s="348">
        <v>23</v>
      </c>
      <c r="Y253" s="349">
        <v>0</v>
      </c>
      <c r="Z253" s="349">
        <v>1</v>
      </c>
      <c r="AA253" s="349">
        <v>8</v>
      </c>
      <c r="AB253" s="349">
        <v>41</v>
      </c>
      <c r="AC253" s="349">
        <v>20</v>
      </c>
      <c r="AD253" s="349">
        <v>5745</v>
      </c>
      <c r="AE253" s="349">
        <v>41</v>
      </c>
      <c r="AF253" s="349">
        <v>5</v>
      </c>
      <c r="AG253" s="349">
        <v>46</v>
      </c>
    </row>
    <row r="254" spans="1:33" x14ac:dyDescent="0.3">
      <c r="A254" s="342" t="s">
        <v>562</v>
      </c>
      <c r="B254" s="342" t="s">
        <v>563</v>
      </c>
      <c r="C254" s="349">
        <v>2851</v>
      </c>
      <c r="D254" s="349">
        <v>0</v>
      </c>
      <c r="E254" s="349">
        <v>554</v>
      </c>
      <c r="F254" s="349">
        <v>318</v>
      </c>
      <c r="G254" s="349">
        <v>422</v>
      </c>
      <c r="H254" s="346">
        <v>4145</v>
      </c>
      <c r="I254" s="346">
        <v>3723</v>
      </c>
      <c r="J254" s="349">
        <v>2</v>
      </c>
      <c r="K254" s="347">
        <v>98.44</v>
      </c>
      <c r="L254" s="347">
        <v>96.84</v>
      </c>
      <c r="M254" s="347">
        <v>13.95</v>
      </c>
      <c r="N254" s="347">
        <v>109.4</v>
      </c>
      <c r="O254" s="348">
        <v>2443</v>
      </c>
      <c r="P254" s="347">
        <v>91.61</v>
      </c>
      <c r="Q254" s="347">
        <v>83.29</v>
      </c>
      <c r="R254" s="347">
        <v>64.16</v>
      </c>
      <c r="S254" s="347">
        <v>154.02000000000001</v>
      </c>
      <c r="T254" s="348">
        <v>512</v>
      </c>
      <c r="U254" s="347">
        <v>149.6</v>
      </c>
      <c r="V254" s="348">
        <v>367</v>
      </c>
      <c r="W254" s="347">
        <v>0</v>
      </c>
      <c r="X254" s="348">
        <v>0</v>
      </c>
      <c r="Y254" s="349">
        <v>1</v>
      </c>
      <c r="Z254" s="349">
        <v>0</v>
      </c>
      <c r="AA254" s="349">
        <v>0</v>
      </c>
      <c r="AB254" s="349">
        <v>2</v>
      </c>
      <c r="AC254" s="349">
        <v>8</v>
      </c>
      <c r="AD254" s="349">
        <v>2851</v>
      </c>
      <c r="AE254" s="349">
        <v>10</v>
      </c>
      <c r="AF254" s="349">
        <v>3</v>
      </c>
      <c r="AG254" s="349">
        <v>13</v>
      </c>
    </row>
    <row r="255" spans="1:33" x14ac:dyDescent="0.3">
      <c r="A255" s="342" t="s">
        <v>564</v>
      </c>
      <c r="B255" s="342" t="s">
        <v>565</v>
      </c>
      <c r="C255" s="349">
        <v>14891</v>
      </c>
      <c r="D255" s="349">
        <v>428</v>
      </c>
      <c r="E255" s="349">
        <v>1405</v>
      </c>
      <c r="F255" s="349">
        <v>715</v>
      </c>
      <c r="G255" s="349">
        <v>3136</v>
      </c>
      <c r="H255" s="346">
        <v>20575</v>
      </c>
      <c r="I255" s="346">
        <v>17439</v>
      </c>
      <c r="J255" s="349">
        <v>175</v>
      </c>
      <c r="K255" s="347">
        <v>123.69</v>
      </c>
      <c r="L255" s="347">
        <v>126.34</v>
      </c>
      <c r="M255" s="347">
        <v>14.14</v>
      </c>
      <c r="N255" s="347">
        <v>134.93</v>
      </c>
      <c r="O255" s="348">
        <v>12297</v>
      </c>
      <c r="P255" s="347">
        <v>110.06</v>
      </c>
      <c r="Q255" s="347">
        <v>104.26</v>
      </c>
      <c r="R255" s="347">
        <v>61.13</v>
      </c>
      <c r="S255" s="347">
        <v>168.15</v>
      </c>
      <c r="T255" s="348">
        <v>1893</v>
      </c>
      <c r="U255" s="347">
        <v>199.48</v>
      </c>
      <c r="V255" s="348">
        <v>1185</v>
      </c>
      <c r="W255" s="347">
        <v>206.63</v>
      </c>
      <c r="X255" s="348">
        <v>25</v>
      </c>
      <c r="Y255" s="349">
        <v>0</v>
      </c>
      <c r="Z255" s="349">
        <v>0</v>
      </c>
      <c r="AA255" s="349">
        <v>77</v>
      </c>
      <c r="AB255" s="349">
        <v>112</v>
      </c>
      <c r="AC255" s="349">
        <v>182</v>
      </c>
      <c r="AD255" s="349">
        <v>14229</v>
      </c>
      <c r="AE255" s="349">
        <v>128</v>
      </c>
      <c r="AF255" s="349">
        <v>60</v>
      </c>
      <c r="AG255" s="349">
        <v>188</v>
      </c>
    </row>
    <row r="256" spans="1:33" x14ac:dyDescent="0.3">
      <c r="A256" s="342" t="s">
        <v>566</v>
      </c>
      <c r="B256" s="342" t="s">
        <v>567</v>
      </c>
      <c r="C256" s="349">
        <v>4925</v>
      </c>
      <c r="D256" s="349">
        <v>0</v>
      </c>
      <c r="E256" s="349">
        <v>156</v>
      </c>
      <c r="F256" s="349">
        <v>338</v>
      </c>
      <c r="G256" s="349">
        <v>394</v>
      </c>
      <c r="H256" s="346">
        <v>5813</v>
      </c>
      <c r="I256" s="346">
        <v>5419</v>
      </c>
      <c r="J256" s="349">
        <v>9</v>
      </c>
      <c r="K256" s="347">
        <v>117.53</v>
      </c>
      <c r="L256" s="347">
        <v>112.5</v>
      </c>
      <c r="M256" s="347">
        <v>5.77</v>
      </c>
      <c r="N256" s="347">
        <v>122.69</v>
      </c>
      <c r="O256" s="348">
        <v>4719</v>
      </c>
      <c r="P256" s="347">
        <v>110.7</v>
      </c>
      <c r="Q256" s="347">
        <v>104.7</v>
      </c>
      <c r="R256" s="347">
        <v>68.510000000000005</v>
      </c>
      <c r="S256" s="347">
        <v>171.87</v>
      </c>
      <c r="T256" s="348">
        <v>345</v>
      </c>
      <c r="U256" s="347">
        <v>215.98</v>
      </c>
      <c r="V256" s="348">
        <v>184</v>
      </c>
      <c r="W256" s="347">
        <v>156.82</v>
      </c>
      <c r="X256" s="348">
        <v>2</v>
      </c>
      <c r="Y256" s="349">
        <v>0</v>
      </c>
      <c r="Z256" s="349">
        <v>2</v>
      </c>
      <c r="AA256" s="349">
        <v>0</v>
      </c>
      <c r="AB256" s="349">
        <v>0</v>
      </c>
      <c r="AC256" s="349">
        <v>15</v>
      </c>
      <c r="AD256" s="349">
        <v>4922</v>
      </c>
      <c r="AE256" s="349">
        <v>24</v>
      </c>
      <c r="AF256" s="349">
        <v>3</v>
      </c>
      <c r="AG256" s="349">
        <v>27</v>
      </c>
    </row>
    <row r="257" spans="1:33" x14ac:dyDescent="0.3">
      <c r="A257" s="342" t="s">
        <v>568</v>
      </c>
      <c r="B257" s="342" t="s">
        <v>569</v>
      </c>
      <c r="C257" s="349">
        <v>2187</v>
      </c>
      <c r="D257" s="349">
        <v>0</v>
      </c>
      <c r="E257" s="349">
        <v>276</v>
      </c>
      <c r="F257" s="349">
        <v>206</v>
      </c>
      <c r="G257" s="349">
        <v>254</v>
      </c>
      <c r="H257" s="346">
        <v>2923</v>
      </c>
      <c r="I257" s="346">
        <v>2669</v>
      </c>
      <c r="J257" s="349">
        <v>2</v>
      </c>
      <c r="K257" s="347">
        <v>123.11</v>
      </c>
      <c r="L257" s="347">
        <v>120.79</v>
      </c>
      <c r="M257" s="347">
        <v>7.97</v>
      </c>
      <c r="N257" s="347">
        <v>129.62</v>
      </c>
      <c r="O257" s="348">
        <v>1617</v>
      </c>
      <c r="P257" s="347">
        <v>119.72</v>
      </c>
      <c r="Q257" s="347">
        <v>106.71</v>
      </c>
      <c r="R257" s="347">
        <v>38.729999999999997</v>
      </c>
      <c r="S257" s="347">
        <v>157.06</v>
      </c>
      <c r="T257" s="348">
        <v>391</v>
      </c>
      <c r="U257" s="347">
        <v>194.01</v>
      </c>
      <c r="V257" s="348">
        <v>339</v>
      </c>
      <c r="W257" s="347">
        <v>187.3</v>
      </c>
      <c r="X257" s="348">
        <v>38</v>
      </c>
      <c r="Y257" s="349">
        <v>0</v>
      </c>
      <c r="Z257" s="349">
        <v>0</v>
      </c>
      <c r="AA257" s="349">
        <v>0</v>
      </c>
      <c r="AB257" s="349">
        <v>29</v>
      </c>
      <c r="AC257" s="349">
        <v>16</v>
      </c>
      <c r="AD257" s="349">
        <v>2184</v>
      </c>
      <c r="AE257" s="349">
        <v>20</v>
      </c>
      <c r="AF257" s="349">
        <v>4</v>
      </c>
      <c r="AG257" s="349">
        <v>24</v>
      </c>
    </row>
    <row r="258" spans="1:33" x14ac:dyDescent="0.3">
      <c r="A258" s="342" t="s">
        <v>570</v>
      </c>
      <c r="B258" s="342" t="s">
        <v>571</v>
      </c>
      <c r="C258" s="349">
        <v>14585</v>
      </c>
      <c r="D258" s="349">
        <v>0</v>
      </c>
      <c r="E258" s="349">
        <v>646</v>
      </c>
      <c r="F258" s="349">
        <v>2189</v>
      </c>
      <c r="G258" s="349">
        <v>567</v>
      </c>
      <c r="H258" s="346">
        <v>17987</v>
      </c>
      <c r="I258" s="346">
        <v>17420</v>
      </c>
      <c r="J258" s="349">
        <v>94</v>
      </c>
      <c r="K258" s="347">
        <v>89.48</v>
      </c>
      <c r="L258" s="347">
        <v>85.96</v>
      </c>
      <c r="M258" s="347">
        <v>1.8</v>
      </c>
      <c r="N258" s="347">
        <v>91.11</v>
      </c>
      <c r="O258" s="348">
        <v>13136</v>
      </c>
      <c r="P258" s="347">
        <v>93.45</v>
      </c>
      <c r="Q258" s="347">
        <v>79.16</v>
      </c>
      <c r="R258" s="347">
        <v>45.11</v>
      </c>
      <c r="S258" s="347">
        <v>138.04</v>
      </c>
      <c r="T258" s="348">
        <v>2472</v>
      </c>
      <c r="U258" s="347">
        <v>101.04</v>
      </c>
      <c r="V258" s="348">
        <v>1350</v>
      </c>
      <c r="W258" s="347">
        <v>136.5</v>
      </c>
      <c r="X258" s="348">
        <v>191</v>
      </c>
      <c r="Y258" s="349">
        <v>0</v>
      </c>
      <c r="Z258" s="349">
        <v>53</v>
      </c>
      <c r="AA258" s="349">
        <v>1</v>
      </c>
      <c r="AB258" s="349">
        <v>60</v>
      </c>
      <c r="AC258" s="349">
        <v>9</v>
      </c>
      <c r="AD258" s="349">
        <v>14531</v>
      </c>
      <c r="AE258" s="349">
        <v>162</v>
      </c>
      <c r="AF258" s="349">
        <v>99</v>
      </c>
      <c r="AG258" s="349">
        <v>261</v>
      </c>
    </row>
    <row r="259" spans="1:33" x14ac:dyDescent="0.3">
      <c r="A259" s="342" t="s">
        <v>572</v>
      </c>
      <c r="B259" s="342" t="s">
        <v>573</v>
      </c>
      <c r="C259" s="349">
        <v>6478</v>
      </c>
      <c r="D259" s="349">
        <v>0</v>
      </c>
      <c r="E259" s="349">
        <v>288</v>
      </c>
      <c r="F259" s="349">
        <v>1636</v>
      </c>
      <c r="G259" s="349">
        <v>453</v>
      </c>
      <c r="H259" s="346">
        <v>8855</v>
      </c>
      <c r="I259" s="346">
        <v>8402</v>
      </c>
      <c r="J259" s="349">
        <v>0</v>
      </c>
      <c r="K259" s="347">
        <v>84.53</v>
      </c>
      <c r="L259" s="347">
        <v>84.36</v>
      </c>
      <c r="M259" s="347">
        <v>4.9800000000000004</v>
      </c>
      <c r="N259" s="347">
        <v>87.53</v>
      </c>
      <c r="O259" s="348">
        <v>5759</v>
      </c>
      <c r="P259" s="347">
        <v>82.64</v>
      </c>
      <c r="Q259" s="347">
        <v>76.260000000000005</v>
      </c>
      <c r="R259" s="347">
        <v>20.85</v>
      </c>
      <c r="S259" s="347">
        <v>102.89</v>
      </c>
      <c r="T259" s="348">
        <v>1781</v>
      </c>
      <c r="U259" s="347">
        <v>107.36</v>
      </c>
      <c r="V259" s="348">
        <v>714</v>
      </c>
      <c r="W259" s="347">
        <v>193.29</v>
      </c>
      <c r="X259" s="348">
        <v>140</v>
      </c>
      <c r="Y259" s="349">
        <v>8</v>
      </c>
      <c r="Z259" s="349">
        <v>11</v>
      </c>
      <c r="AA259" s="349">
        <v>0</v>
      </c>
      <c r="AB259" s="349">
        <v>18</v>
      </c>
      <c r="AC259" s="349">
        <v>7</v>
      </c>
      <c r="AD259" s="349">
        <v>6478</v>
      </c>
      <c r="AE259" s="349">
        <v>50</v>
      </c>
      <c r="AF259" s="349">
        <v>72</v>
      </c>
      <c r="AG259" s="349">
        <v>122</v>
      </c>
    </row>
    <row r="260" spans="1:33" x14ac:dyDescent="0.3">
      <c r="A260" s="342" t="s">
        <v>574</v>
      </c>
      <c r="B260" s="342" t="s">
        <v>575</v>
      </c>
      <c r="C260" s="349">
        <v>3401</v>
      </c>
      <c r="D260" s="349">
        <v>0</v>
      </c>
      <c r="E260" s="349">
        <v>134</v>
      </c>
      <c r="F260" s="349">
        <v>299</v>
      </c>
      <c r="G260" s="349">
        <v>78</v>
      </c>
      <c r="H260" s="346">
        <v>3912</v>
      </c>
      <c r="I260" s="346">
        <v>3834</v>
      </c>
      <c r="J260" s="349">
        <v>65</v>
      </c>
      <c r="K260" s="347">
        <v>86.72</v>
      </c>
      <c r="L260" s="347">
        <v>83.31</v>
      </c>
      <c r="M260" s="347">
        <v>4.33</v>
      </c>
      <c r="N260" s="347">
        <v>88.54</v>
      </c>
      <c r="O260" s="348">
        <v>3042</v>
      </c>
      <c r="P260" s="347">
        <v>83.1</v>
      </c>
      <c r="Q260" s="347">
        <v>76.19</v>
      </c>
      <c r="R260" s="347">
        <v>67.84</v>
      </c>
      <c r="S260" s="347">
        <v>150.72</v>
      </c>
      <c r="T260" s="348">
        <v>320</v>
      </c>
      <c r="U260" s="347">
        <v>98.43</v>
      </c>
      <c r="V260" s="348">
        <v>256</v>
      </c>
      <c r="W260" s="347">
        <v>149.74</v>
      </c>
      <c r="X260" s="348">
        <v>72</v>
      </c>
      <c r="Y260" s="349">
        <v>0</v>
      </c>
      <c r="Z260" s="349">
        <v>11</v>
      </c>
      <c r="AA260" s="349">
        <v>0</v>
      </c>
      <c r="AB260" s="349">
        <v>0</v>
      </c>
      <c r="AC260" s="349">
        <v>3</v>
      </c>
      <c r="AD260" s="349">
        <v>3216</v>
      </c>
      <c r="AE260" s="349">
        <v>28</v>
      </c>
      <c r="AF260" s="349">
        <v>4</v>
      </c>
      <c r="AG260" s="349">
        <v>32</v>
      </c>
    </row>
    <row r="261" spans="1:33" x14ac:dyDescent="0.3">
      <c r="A261" s="342" t="s">
        <v>576</v>
      </c>
      <c r="B261" s="342" t="s">
        <v>577</v>
      </c>
      <c r="C261" s="349">
        <v>1731</v>
      </c>
      <c r="D261" s="349">
        <v>6</v>
      </c>
      <c r="E261" s="349">
        <v>162</v>
      </c>
      <c r="F261" s="349">
        <v>311</v>
      </c>
      <c r="G261" s="349">
        <v>612</v>
      </c>
      <c r="H261" s="346">
        <v>2822</v>
      </c>
      <c r="I261" s="346">
        <v>2210</v>
      </c>
      <c r="J261" s="349">
        <v>0</v>
      </c>
      <c r="K261" s="347">
        <v>114.34</v>
      </c>
      <c r="L261" s="347">
        <v>111.37</v>
      </c>
      <c r="M261" s="347">
        <v>7.18</v>
      </c>
      <c r="N261" s="347">
        <v>121.05</v>
      </c>
      <c r="O261" s="348">
        <v>1425</v>
      </c>
      <c r="P261" s="347">
        <v>104.38</v>
      </c>
      <c r="Q261" s="347">
        <v>92.39</v>
      </c>
      <c r="R261" s="347">
        <v>39.9</v>
      </c>
      <c r="S261" s="347">
        <v>143.4</v>
      </c>
      <c r="T261" s="348">
        <v>410</v>
      </c>
      <c r="U261" s="347">
        <v>144.15</v>
      </c>
      <c r="V261" s="348">
        <v>165</v>
      </c>
      <c r="W261" s="347">
        <v>0</v>
      </c>
      <c r="X261" s="348">
        <v>0</v>
      </c>
      <c r="Y261" s="349">
        <v>0</v>
      </c>
      <c r="Z261" s="349">
        <v>0</v>
      </c>
      <c r="AA261" s="349">
        <v>0</v>
      </c>
      <c r="AB261" s="349">
        <v>49</v>
      </c>
      <c r="AC261" s="349">
        <v>11</v>
      </c>
      <c r="AD261" s="349">
        <v>1609</v>
      </c>
      <c r="AE261" s="349">
        <v>6</v>
      </c>
      <c r="AF261" s="349">
        <v>1</v>
      </c>
      <c r="AG261" s="349">
        <v>7</v>
      </c>
    </row>
    <row r="262" spans="1:33" x14ac:dyDescent="0.3">
      <c r="A262" s="342" t="s">
        <v>578</v>
      </c>
      <c r="B262" s="342" t="s">
        <v>579</v>
      </c>
      <c r="C262" s="349">
        <v>4736</v>
      </c>
      <c r="D262" s="349">
        <v>0</v>
      </c>
      <c r="E262" s="349">
        <v>566</v>
      </c>
      <c r="F262" s="349">
        <v>1242</v>
      </c>
      <c r="G262" s="349">
        <v>1076</v>
      </c>
      <c r="H262" s="346">
        <v>7620</v>
      </c>
      <c r="I262" s="346">
        <v>6544</v>
      </c>
      <c r="J262" s="349">
        <v>2</v>
      </c>
      <c r="K262" s="347">
        <v>84.05</v>
      </c>
      <c r="L262" s="347">
        <v>82.32</v>
      </c>
      <c r="M262" s="347">
        <v>7.29</v>
      </c>
      <c r="N262" s="347">
        <v>88.18</v>
      </c>
      <c r="O262" s="348">
        <v>3869</v>
      </c>
      <c r="P262" s="347">
        <v>84.74</v>
      </c>
      <c r="Q262" s="347">
        <v>77.22</v>
      </c>
      <c r="R262" s="347">
        <v>31.38</v>
      </c>
      <c r="S262" s="347">
        <v>114.9</v>
      </c>
      <c r="T262" s="348">
        <v>1618</v>
      </c>
      <c r="U262" s="347">
        <v>117.66</v>
      </c>
      <c r="V262" s="348">
        <v>644</v>
      </c>
      <c r="W262" s="347">
        <v>182.87</v>
      </c>
      <c r="X262" s="348">
        <v>52</v>
      </c>
      <c r="Y262" s="349">
        <v>6</v>
      </c>
      <c r="Z262" s="349">
        <v>4</v>
      </c>
      <c r="AA262" s="349">
        <v>5</v>
      </c>
      <c r="AB262" s="349">
        <v>32</v>
      </c>
      <c r="AC262" s="349">
        <v>9</v>
      </c>
      <c r="AD262" s="349">
        <v>4287</v>
      </c>
      <c r="AE262" s="349">
        <v>30</v>
      </c>
      <c r="AF262" s="349">
        <v>10</v>
      </c>
      <c r="AG262" s="349">
        <v>40</v>
      </c>
    </row>
    <row r="263" spans="1:33" x14ac:dyDescent="0.3">
      <c r="A263" s="342" t="s">
        <v>580</v>
      </c>
      <c r="B263" s="342" t="s">
        <v>581</v>
      </c>
      <c r="C263" s="349">
        <v>13013</v>
      </c>
      <c r="D263" s="349">
        <v>0</v>
      </c>
      <c r="E263" s="349">
        <v>350</v>
      </c>
      <c r="F263" s="349">
        <v>824</v>
      </c>
      <c r="G263" s="349">
        <v>320</v>
      </c>
      <c r="H263" s="346">
        <v>14507</v>
      </c>
      <c r="I263" s="346">
        <v>14187</v>
      </c>
      <c r="J263" s="349">
        <v>3</v>
      </c>
      <c r="K263" s="347">
        <v>82.06</v>
      </c>
      <c r="L263" s="347">
        <v>82.07</v>
      </c>
      <c r="M263" s="347">
        <v>12.34</v>
      </c>
      <c r="N263" s="347">
        <v>85.59</v>
      </c>
      <c r="O263" s="348">
        <v>10897</v>
      </c>
      <c r="P263" s="347">
        <v>87.54</v>
      </c>
      <c r="Q263" s="347">
        <v>78.349999999999994</v>
      </c>
      <c r="R263" s="347">
        <v>54.82</v>
      </c>
      <c r="S263" s="347">
        <v>141.84</v>
      </c>
      <c r="T263" s="348">
        <v>1046</v>
      </c>
      <c r="U263" s="347">
        <v>100.63</v>
      </c>
      <c r="V263" s="348">
        <v>1922</v>
      </c>
      <c r="W263" s="347">
        <v>161.63999999999999</v>
      </c>
      <c r="X263" s="348">
        <v>63</v>
      </c>
      <c r="Y263" s="349">
        <v>0</v>
      </c>
      <c r="Z263" s="349">
        <v>32</v>
      </c>
      <c r="AA263" s="349">
        <v>1</v>
      </c>
      <c r="AB263" s="349">
        <v>30</v>
      </c>
      <c r="AC263" s="349">
        <v>7</v>
      </c>
      <c r="AD263" s="349">
        <v>12877</v>
      </c>
      <c r="AE263" s="349">
        <v>66</v>
      </c>
      <c r="AF263" s="349">
        <v>331</v>
      </c>
      <c r="AG263" s="349">
        <v>397</v>
      </c>
    </row>
    <row r="264" spans="1:33" x14ac:dyDescent="0.3">
      <c r="A264" s="342" t="s">
        <v>582</v>
      </c>
      <c r="B264" s="342" t="s">
        <v>583</v>
      </c>
      <c r="C264" s="349">
        <v>6097</v>
      </c>
      <c r="D264" s="349">
        <v>0</v>
      </c>
      <c r="E264" s="349">
        <v>807</v>
      </c>
      <c r="F264" s="349">
        <v>1523</v>
      </c>
      <c r="G264" s="349">
        <v>257</v>
      </c>
      <c r="H264" s="346">
        <v>8684</v>
      </c>
      <c r="I264" s="346">
        <v>8427</v>
      </c>
      <c r="J264" s="349">
        <v>23</v>
      </c>
      <c r="K264" s="347">
        <v>77.040000000000006</v>
      </c>
      <c r="L264" s="347">
        <v>75.73</v>
      </c>
      <c r="M264" s="347">
        <v>4.8499999999999996</v>
      </c>
      <c r="N264" s="347">
        <v>80.42</v>
      </c>
      <c r="O264" s="348">
        <v>4853</v>
      </c>
      <c r="P264" s="347">
        <v>96.19</v>
      </c>
      <c r="Q264" s="347">
        <v>84.83</v>
      </c>
      <c r="R264" s="347">
        <v>65.89</v>
      </c>
      <c r="S264" s="347">
        <v>161.55000000000001</v>
      </c>
      <c r="T264" s="348">
        <v>1757</v>
      </c>
      <c r="U264" s="347">
        <v>96.95</v>
      </c>
      <c r="V264" s="348">
        <v>639</v>
      </c>
      <c r="W264" s="347">
        <v>229.17</v>
      </c>
      <c r="X264" s="348">
        <v>141</v>
      </c>
      <c r="Y264" s="349">
        <v>11</v>
      </c>
      <c r="Z264" s="349">
        <v>1</v>
      </c>
      <c r="AA264" s="349">
        <v>5</v>
      </c>
      <c r="AB264" s="349">
        <v>0</v>
      </c>
      <c r="AC264" s="349">
        <v>5</v>
      </c>
      <c r="AD264" s="349">
        <v>5498</v>
      </c>
      <c r="AE264" s="349">
        <v>28</v>
      </c>
      <c r="AF264" s="349">
        <v>26</v>
      </c>
      <c r="AG264" s="349">
        <v>54</v>
      </c>
    </row>
    <row r="265" spans="1:33" x14ac:dyDescent="0.3">
      <c r="A265" s="342" t="s">
        <v>584</v>
      </c>
      <c r="B265" s="342" t="s">
        <v>585</v>
      </c>
      <c r="C265" s="349">
        <v>7241</v>
      </c>
      <c r="D265" s="349">
        <v>2</v>
      </c>
      <c r="E265" s="349">
        <v>89</v>
      </c>
      <c r="F265" s="349">
        <v>783</v>
      </c>
      <c r="G265" s="349">
        <v>983</v>
      </c>
      <c r="H265" s="346">
        <v>9098</v>
      </c>
      <c r="I265" s="346">
        <v>8115</v>
      </c>
      <c r="J265" s="349">
        <v>10</v>
      </c>
      <c r="K265" s="347">
        <v>106.92</v>
      </c>
      <c r="L265" s="347">
        <v>104.19</v>
      </c>
      <c r="M265" s="347">
        <v>6.19</v>
      </c>
      <c r="N265" s="347">
        <v>109.9</v>
      </c>
      <c r="O265" s="348">
        <v>6510</v>
      </c>
      <c r="P265" s="347">
        <v>95.97</v>
      </c>
      <c r="Q265" s="347">
        <v>91.58</v>
      </c>
      <c r="R265" s="347">
        <v>41.14</v>
      </c>
      <c r="S265" s="347">
        <v>135.96</v>
      </c>
      <c r="T265" s="348">
        <v>715</v>
      </c>
      <c r="U265" s="347">
        <v>141.85</v>
      </c>
      <c r="V265" s="348">
        <v>372</v>
      </c>
      <c r="W265" s="347">
        <v>134.55000000000001</v>
      </c>
      <c r="X265" s="348">
        <v>91</v>
      </c>
      <c r="Y265" s="349">
        <v>31</v>
      </c>
      <c r="Z265" s="349">
        <v>10</v>
      </c>
      <c r="AA265" s="349">
        <v>5</v>
      </c>
      <c r="AB265" s="349">
        <v>59</v>
      </c>
      <c r="AC265" s="349">
        <v>17</v>
      </c>
      <c r="AD265" s="349">
        <v>6820</v>
      </c>
      <c r="AE265" s="349">
        <v>106</v>
      </c>
      <c r="AF265" s="349">
        <v>47</v>
      </c>
      <c r="AG265" s="349">
        <v>153</v>
      </c>
    </row>
    <row r="266" spans="1:33" x14ac:dyDescent="0.3">
      <c r="A266" s="342" t="s">
        <v>586</v>
      </c>
      <c r="B266" s="342" t="s">
        <v>587</v>
      </c>
      <c r="C266" s="349">
        <v>1705</v>
      </c>
      <c r="D266" s="349">
        <v>2</v>
      </c>
      <c r="E266" s="349">
        <v>155</v>
      </c>
      <c r="F266" s="349">
        <v>138</v>
      </c>
      <c r="G266" s="349">
        <v>553</v>
      </c>
      <c r="H266" s="346">
        <v>2553</v>
      </c>
      <c r="I266" s="346">
        <v>2000</v>
      </c>
      <c r="J266" s="349">
        <v>0</v>
      </c>
      <c r="K266" s="347">
        <v>99.88</v>
      </c>
      <c r="L266" s="347">
        <v>97.18</v>
      </c>
      <c r="M266" s="347">
        <v>5.45</v>
      </c>
      <c r="N266" s="347">
        <v>104.14</v>
      </c>
      <c r="O266" s="348">
        <v>1088</v>
      </c>
      <c r="P266" s="347">
        <v>87.61</v>
      </c>
      <c r="Q266" s="347">
        <v>81.94</v>
      </c>
      <c r="R266" s="347">
        <v>49.03</v>
      </c>
      <c r="S266" s="347">
        <v>133.96</v>
      </c>
      <c r="T266" s="348">
        <v>220</v>
      </c>
      <c r="U266" s="347">
        <v>126.68</v>
      </c>
      <c r="V266" s="348">
        <v>535</v>
      </c>
      <c r="W266" s="347">
        <v>0</v>
      </c>
      <c r="X266" s="348">
        <v>0</v>
      </c>
      <c r="Y266" s="349">
        <v>2</v>
      </c>
      <c r="Z266" s="349">
        <v>0</v>
      </c>
      <c r="AA266" s="349">
        <v>0</v>
      </c>
      <c r="AB266" s="349">
        <v>34</v>
      </c>
      <c r="AC266" s="349">
        <v>4</v>
      </c>
      <c r="AD266" s="349">
        <v>1625</v>
      </c>
      <c r="AE266" s="349">
        <v>19</v>
      </c>
      <c r="AF266" s="349">
        <v>11</v>
      </c>
      <c r="AG266" s="349">
        <v>30</v>
      </c>
    </row>
    <row r="267" spans="1:33" x14ac:dyDescent="0.3">
      <c r="A267" s="342" t="s">
        <v>588</v>
      </c>
      <c r="B267" s="342" t="s">
        <v>589</v>
      </c>
      <c r="C267" s="349">
        <v>31714</v>
      </c>
      <c r="D267" s="349">
        <v>2</v>
      </c>
      <c r="E267" s="349">
        <v>747</v>
      </c>
      <c r="F267" s="349">
        <v>2043</v>
      </c>
      <c r="G267" s="349">
        <v>298</v>
      </c>
      <c r="H267" s="346">
        <v>34804</v>
      </c>
      <c r="I267" s="346">
        <v>34506</v>
      </c>
      <c r="J267" s="349">
        <v>7</v>
      </c>
      <c r="K267" s="347">
        <v>80.12</v>
      </c>
      <c r="L267" s="347">
        <v>79.790000000000006</v>
      </c>
      <c r="M267" s="347">
        <v>6.46</v>
      </c>
      <c r="N267" s="347">
        <v>81.349999999999994</v>
      </c>
      <c r="O267" s="348">
        <v>29099</v>
      </c>
      <c r="P267" s="347">
        <v>86.62</v>
      </c>
      <c r="Q267" s="347">
        <v>74.2</v>
      </c>
      <c r="R267" s="347">
        <v>45.18</v>
      </c>
      <c r="S267" s="347">
        <v>130.38999999999999</v>
      </c>
      <c r="T267" s="348">
        <v>2077</v>
      </c>
      <c r="U267" s="347">
        <v>99.71</v>
      </c>
      <c r="V267" s="348">
        <v>2205</v>
      </c>
      <c r="W267" s="347">
        <v>188.11</v>
      </c>
      <c r="X267" s="348">
        <v>601</v>
      </c>
      <c r="Y267" s="349">
        <v>0</v>
      </c>
      <c r="Z267" s="349">
        <v>68</v>
      </c>
      <c r="AA267" s="349">
        <v>0</v>
      </c>
      <c r="AB267" s="349">
        <v>1</v>
      </c>
      <c r="AC267" s="349">
        <v>3</v>
      </c>
      <c r="AD267" s="349">
        <v>31419</v>
      </c>
      <c r="AE267" s="349">
        <v>281</v>
      </c>
      <c r="AF267" s="349">
        <v>187</v>
      </c>
      <c r="AG267" s="349">
        <v>468</v>
      </c>
    </row>
    <row r="268" spans="1:33" x14ac:dyDescent="0.3">
      <c r="A268" s="342" t="s">
        <v>590</v>
      </c>
      <c r="B268" s="342" t="s">
        <v>591</v>
      </c>
      <c r="C268" s="349">
        <v>3167</v>
      </c>
      <c r="D268" s="349">
        <v>44</v>
      </c>
      <c r="E268" s="349">
        <v>103</v>
      </c>
      <c r="F268" s="349">
        <v>303</v>
      </c>
      <c r="G268" s="349">
        <v>347</v>
      </c>
      <c r="H268" s="346">
        <v>3964</v>
      </c>
      <c r="I268" s="346">
        <v>3617</v>
      </c>
      <c r="J268" s="349">
        <v>22</v>
      </c>
      <c r="K268" s="347">
        <v>112.45</v>
      </c>
      <c r="L268" s="347">
        <v>109.66</v>
      </c>
      <c r="M268" s="347">
        <v>7.07</v>
      </c>
      <c r="N268" s="347">
        <v>116.78</v>
      </c>
      <c r="O268" s="348">
        <v>2937</v>
      </c>
      <c r="P268" s="347">
        <v>108.55</v>
      </c>
      <c r="Q268" s="347">
        <v>90.19</v>
      </c>
      <c r="R268" s="347">
        <v>36.090000000000003</v>
      </c>
      <c r="S268" s="347">
        <v>144.12</v>
      </c>
      <c r="T268" s="348">
        <v>352</v>
      </c>
      <c r="U268" s="347">
        <v>215.29</v>
      </c>
      <c r="V268" s="348">
        <v>182</v>
      </c>
      <c r="W268" s="347">
        <v>0</v>
      </c>
      <c r="X268" s="348">
        <v>0</v>
      </c>
      <c r="Y268" s="349">
        <v>12</v>
      </c>
      <c r="Z268" s="349">
        <v>0</v>
      </c>
      <c r="AA268" s="349">
        <v>0</v>
      </c>
      <c r="AB268" s="349">
        <v>16</v>
      </c>
      <c r="AC268" s="349">
        <v>5</v>
      </c>
      <c r="AD268" s="349">
        <v>3167</v>
      </c>
      <c r="AE268" s="349">
        <v>41</v>
      </c>
      <c r="AF268" s="349">
        <v>5</v>
      </c>
      <c r="AG268" s="349">
        <v>46</v>
      </c>
    </row>
    <row r="269" spans="1:33" x14ac:dyDescent="0.3">
      <c r="A269" s="342" t="s">
        <v>592</v>
      </c>
      <c r="B269" s="342" t="s">
        <v>593</v>
      </c>
      <c r="C269" s="349">
        <v>4618</v>
      </c>
      <c r="D269" s="349">
        <v>8</v>
      </c>
      <c r="E269" s="349">
        <v>420</v>
      </c>
      <c r="F269" s="349">
        <v>933</v>
      </c>
      <c r="G269" s="349">
        <v>1003</v>
      </c>
      <c r="H269" s="346">
        <v>6982</v>
      </c>
      <c r="I269" s="346">
        <v>5979</v>
      </c>
      <c r="J269" s="349">
        <v>27</v>
      </c>
      <c r="K269" s="347">
        <v>118.9</v>
      </c>
      <c r="L269" s="347">
        <v>117.03</v>
      </c>
      <c r="M269" s="347">
        <v>8.8000000000000007</v>
      </c>
      <c r="N269" s="347">
        <v>127.21</v>
      </c>
      <c r="O269" s="348">
        <v>4019</v>
      </c>
      <c r="P269" s="347">
        <v>116.17</v>
      </c>
      <c r="Q269" s="347">
        <v>104.74</v>
      </c>
      <c r="R269" s="347">
        <v>47.66</v>
      </c>
      <c r="S269" s="347">
        <v>163.43</v>
      </c>
      <c r="T269" s="348">
        <v>728</v>
      </c>
      <c r="U269" s="347">
        <v>181.1</v>
      </c>
      <c r="V269" s="348">
        <v>370</v>
      </c>
      <c r="W269" s="347">
        <v>223.82</v>
      </c>
      <c r="X269" s="348">
        <v>99</v>
      </c>
      <c r="Y269" s="349">
        <v>21</v>
      </c>
      <c r="Z269" s="349">
        <v>1</v>
      </c>
      <c r="AA269" s="349">
        <v>17</v>
      </c>
      <c r="AB269" s="349">
        <v>77</v>
      </c>
      <c r="AC269" s="349">
        <v>31</v>
      </c>
      <c r="AD269" s="349">
        <v>4456</v>
      </c>
      <c r="AE269" s="349">
        <v>24</v>
      </c>
      <c r="AF269" s="349">
        <v>21</v>
      </c>
      <c r="AG269" s="349">
        <v>45</v>
      </c>
    </row>
    <row r="270" spans="1:33" x14ac:dyDescent="0.3">
      <c r="A270" s="342" t="s">
        <v>594</v>
      </c>
      <c r="B270" s="342" t="s">
        <v>595</v>
      </c>
      <c r="C270" s="349">
        <v>7883</v>
      </c>
      <c r="D270" s="349">
        <v>0</v>
      </c>
      <c r="E270" s="349">
        <v>234</v>
      </c>
      <c r="F270" s="349">
        <v>438</v>
      </c>
      <c r="G270" s="349">
        <v>727</v>
      </c>
      <c r="H270" s="346">
        <v>9282</v>
      </c>
      <c r="I270" s="346">
        <v>8555</v>
      </c>
      <c r="J270" s="349">
        <v>6</v>
      </c>
      <c r="K270" s="347">
        <v>98.91</v>
      </c>
      <c r="L270" s="347">
        <v>98.45</v>
      </c>
      <c r="M270" s="347">
        <v>6.67</v>
      </c>
      <c r="N270" s="347">
        <v>101.99</v>
      </c>
      <c r="O270" s="348">
        <v>6537</v>
      </c>
      <c r="P270" s="347">
        <v>93.25</v>
      </c>
      <c r="Q270" s="347">
        <v>82.64</v>
      </c>
      <c r="R270" s="347">
        <v>51.79</v>
      </c>
      <c r="S270" s="347">
        <v>145.04</v>
      </c>
      <c r="T270" s="348">
        <v>603</v>
      </c>
      <c r="U270" s="347">
        <v>136.47</v>
      </c>
      <c r="V270" s="348">
        <v>1230</v>
      </c>
      <c r="W270" s="347">
        <v>0</v>
      </c>
      <c r="X270" s="348">
        <v>0</v>
      </c>
      <c r="Y270" s="349">
        <v>3</v>
      </c>
      <c r="Z270" s="349">
        <v>2</v>
      </c>
      <c r="AA270" s="349">
        <v>28</v>
      </c>
      <c r="AB270" s="349">
        <v>45</v>
      </c>
      <c r="AC270" s="349">
        <v>13</v>
      </c>
      <c r="AD270" s="349">
        <v>7787</v>
      </c>
      <c r="AE270" s="349">
        <v>69</v>
      </c>
      <c r="AF270" s="349">
        <v>62</v>
      </c>
      <c r="AG270" s="349">
        <v>131</v>
      </c>
    </row>
    <row r="271" spans="1:33" x14ac:dyDescent="0.3">
      <c r="A271" s="342" t="s">
        <v>596</v>
      </c>
      <c r="B271" s="342" t="s">
        <v>597</v>
      </c>
      <c r="C271" s="349">
        <v>4123</v>
      </c>
      <c r="D271" s="349">
        <v>0</v>
      </c>
      <c r="E271" s="349">
        <v>535</v>
      </c>
      <c r="F271" s="349">
        <v>923</v>
      </c>
      <c r="G271" s="349">
        <v>1060</v>
      </c>
      <c r="H271" s="346">
        <v>6641</v>
      </c>
      <c r="I271" s="346">
        <v>5581</v>
      </c>
      <c r="J271" s="349">
        <v>4</v>
      </c>
      <c r="K271" s="347">
        <v>98.33</v>
      </c>
      <c r="L271" s="347">
        <v>96.68</v>
      </c>
      <c r="M271" s="347">
        <v>6.67</v>
      </c>
      <c r="N271" s="347">
        <v>103.48</v>
      </c>
      <c r="O271" s="348">
        <v>3043</v>
      </c>
      <c r="P271" s="347">
        <v>84.84</v>
      </c>
      <c r="Q271" s="347">
        <v>82.27</v>
      </c>
      <c r="R271" s="347">
        <v>52.85</v>
      </c>
      <c r="S271" s="347">
        <v>135.51</v>
      </c>
      <c r="T271" s="348">
        <v>1328</v>
      </c>
      <c r="U271" s="347">
        <v>136.08000000000001</v>
      </c>
      <c r="V271" s="348">
        <v>825</v>
      </c>
      <c r="W271" s="347">
        <v>185.43</v>
      </c>
      <c r="X271" s="348">
        <v>81</v>
      </c>
      <c r="Y271" s="349">
        <v>70</v>
      </c>
      <c r="Z271" s="349">
        <v>0</v>
      </c>
      <c r="AA271" s="349">
        <v>2</v>
      </c>
      <c r="AB271" s="349">
        <v>51</v>
      </c>
      <c r="AC271" s="349">
        <v>23</v>
      </c>
      <c r="AD271" s="349">
        <v>3998</v>
      </c>
      <c r="AE271" s="349">
        <v>28</v>
      </c>
      <c r="AF271" s="349">
        <v>18</v>
      </c>
      <c r="AG271" s="349">
        <v>46</v>
      </c>
    </row>
    <row r="272" spans="1:33" x14ac:dyDescent="0.3">
      <c r="A272" s="342" t="s">
        <v>598</v>
      </c>
      <c r="B272" s="342" t="s">
        <v>599</v>
      </c>
      <c r="C272" s="349">
        <v>20173</v>
      </c>
      <c r="D272" s="349">
        <v>0</v>
      </c>
      <c r="E272" s="349">
        <v>655</v>
      </c>
      <c r="F272" s="349">
        <v>1353</v>
      </c>
      <c r="G272" s="349">
        <v>202</v>
      </c>
      <c r="H272" s="346">
        <v>22383</v>
      </c>
      <c r="I272" s="346">
        <v>22181</v>
      </c>
      <c r="J272" s="349">
        <v>6</v>
      </c>
      <c r="K272" s="347">
        <v>82.66</v>
      </c>
      <c r="L272" s="347">
        <v>79.209999999999994</v>
      </c>
      <c r="M272" s="347">
        <v>3.77</v>
      </c>
      <c r="N272" s="347">
        <v>86.09</v>
      </c>
      <c r="O272" s="348">
        <v>16701</v>
      </c>
      <c r="P272" s="347">
        <v>82.8</v>
      </c>
      <c r="Q272" s="347">
        <v>72.56</v>
      </c>
      <c r="R272" s="347">
        <v>40</v>
      </c>
      <c r="S272" s="347">
        <v>120.26</v>
      </c>
      <c r="T272" s="348">
        <v>1845</v>
      </c>
      <c r="U272" s="347">
        <v>105.93</v>
      </c>
      <c r="V272" s="348">
        <v>2449</v>
      </c>
      <c r="W272" s="347">
        <v>130.33000000000001</v>
      </c>
      <c r="X272" s="348">
        <v>44</v>
      </c>
      <c r="Y272" s="349">
        <v>0</v>
      </c>
      <c r="Z272" s="349">
        <v>41</v>
      </c>
      <c r="AA272" s="349">
        <v>9</v>
      </c>
      <c r="AB272" s="349">
        <v>8</v>
      </c>
      <c r="AC272" s="349">
        <v>0</v>
      </c>
      <c r="AD272" s="349">
        <v>19161</v>
      </c>
      <c r="AE272" s="349">
        <v>141</v>
      </c>
      <c r="AF272" s="349">
        <v>30</v>
      </c>
      <c r="AG272" s="349">
        <v>171</v>
      </c>
    </row>
    <row r="273" spans="1:33" x14ac:dyDescent="0.3">
      <c r="A273" s="342" t="s">
        <v>600</v>
      </c>
      <c r="B273" s="342" t="s">
        <v>601</v>
      </c>
      <c r="C273" s="349">
        <v>1628</v>
      </c>
      <c r="D273" s="349">
        <v>0</v>
      </c>
      <c r="E273" s="349">
        <v>120</v>
      </c>
      <c r="F273" s="349">
        <v>109</v>
      </c>
      <c r="G273" s="349">
        <v>210</v>
      </c>
      <c r="H273" s="346">
        <v>2067</v>
      </c>
      <c r="I273" s="346">
        <v>1857</v>
      </c>
      <c r="J273" s="349">
        <v>5</v>
      </c>
      <c r="K273" s="347">
        <v>89.25</v>
      </c>
      <c r="L273" s="347">
        <v>85.62</v>
      </c>
      <c r="M273" s="347">
        <v>5.56</v>
      </c>
      <c r="N273" s="347">
        <v>93.78</v>
      </c>
      <c r="O273" s="348">
        <v>1241</v>
      </c>
      <c r="P273" s="347">
        <v>83.89</v>
      </c>
      <c r="Q273" s="347">
        <v>78.11</v>
      </c>
      <c r="R273" s="347">
        <v>34.85</v>
      </c>
      <c r="S273" s="347">
        <v>118.74</v>
      </c>
      <c r="T273" s="348">
        <v>191</v>
      </c>
      <c r="U273" s="347">
        <v>114.47</v>
      </c>
      <c r="V273" s="348">
        <v>373</v>
      </c>
      <c r="W273" s="347">
        <v>0</v>
      </c>
      <c r="X273" s="348">
        <v>0</v>
      </c>
      <c r="Y273" s="349">
        <v>33</v>
      </c>
      <c r="Z273" s="349">
        <v>0</v>
      </c>
      <c r="AA273" s="349">
        <v>1</v>
      </c>
      <c r="AB273" s="349">
        <v>27</v>
      </c>
      <c r="AC273" s="349">
        <v>6</v>
      </c>
      <c r="AD273" s="349">
        <v>1628</v>
      </c>
      <c r="AE273" s="349">
        <v>13</v>
      </c>
      <c r="AF273" s="349">
        <v>3</v>
      </c>
      <c r="AG273" s="349">
        <v>16</v>
      </c>
    </row>
    <row r="274" spans="1:33" x14ac:dyDescent="0.3">
      <c r="A274" s="342" t="s">
        <v>602</v>
      </c>
      <c r="B274" s="342" t="s">
        <v>603</v>
      </c>
      <c r="C274" s="349">
        <v>1159</v>
      </c>
      <c r="D274" s="349">
        <v>0</v>
      </c>
      <c r="E274" s="349">
        <v>101</v>
      </c>
      <c r="F274" s="349">
        <v>75</v>
      </c>
      <c r="G274" s="349">
        <v>349</v>
      </c>
      <c r="H274" s="346">
        <v>1684</v>
      </c>
      <c r="I274" s="346">
        <v>1335</v>
      </c>
      <c r="J274" s="349">
        <v>3</v>
      </c>
      <c r="K274" s="347">
        <v>124.96</v>
      </c>
      <c r="L274" s="347">
        <v>122.88</v>
      </c>
      <c r="M274" s="347">
        <v>8.7799999999999994</v>
      </c>
      <c r="N274" s="347">
        <v>133.28</v>
      </c>
      <c r="O274" s="348">
        <v>695</v>
      </c>
      <c r="P274" s="347">
        <v>136.54</v>
      </c>
      <c r="Q274" s="347">
        <v>99.38</v>
      </c>
      <c r="R274" s="347">
        <v>56.16</v>
      </c>
      <c r="S274" s="347">
        <v>192.7</v>
      </c>
      <c r="T274" s="348">
        <v>86</v>
      </c>
      <c r="U274" s="347">
        <v>185.56</v>
      </c>
      <c r="V274" s="348">
        <v>366</v>
      </c>
      <c r="W274" s="347">
        <v>144.04</v>
      </c>
      <c r="X274" s="348">
        <v>6</v>
      </c>
      <c r="Y274" s="349">
        <v>0</v>
      </c>
      <c r="Z274" s="349">
        <v>0</v>
      </c>
      <c r="AA274" s="349">
        <v>0</v>
      </c>
      <c r="AB274" s="349">
        <v>55</v>
      </c>
      <c r="AC274" s="349">
        <v>5</v>
      </c>
      <c r="AD274" s="349">
        <v>1124</v>
      </c>
      <c r="AE274" s="349">
        <v>9</v>
      </c>
      <c r="AF274" s="349">
        <v>0</v>
      </c>
      <c r="AG274" s="349">
        <v>9</v>
      </c>
    </row>
    <row r="275" spans="1:33" x14ac:dyDescent="0.3">
      <c r="A275" s="342" t="s">
        <v>604</v>
      </c>
      <c r="B275" s="342" t="s">
        <v>605</v>
      </c>
      <c r="C275" s="349">
        <v>4275</v>
      </c>
      <c r="D275" s="349">
        <v>0</v>
      </c>
      <c r="E275" s="349">
        <v>220</v>
      </c>
      <c r="F275" s="349">
        <v>1364</v>
      </c>
      <c r="G275" s="349">
        <v>674</v>
      </c>
      <c r="H275" s="346">
        <v>6533</v>
      </c>
      <c r="I275" s="346">
        <v>5859</v>
      </c>
      <c r="J275" s="349">
        <v>2</v>
      </c>
      <c r="K275" s="347">
        <v>87.32</v>
      </c>
      <c r="L275" s="347">
        <v>86.51</v>
      </c>
      <c r="M275" s="347">
        <v>3.99</v>
      </c>
      <c r="N275" s="347">
        <v>91.13</v>
      </c>
      <c r="O275" s="348">
        <v>3392</v>
      </c>
      <c r="P275" s="347">
        <v>84.15</v>
      </c>
      <c r="Q275" s="347">
        <v>80.3</v>
      </c>
      <c r="R275" s="347">
        <v>15.44</v>
      </c>
      <c r="S275" s="347">
        <v>99.46</v>
      </c>
      <c r="T275" s="348">
        <v>1269</v>
      </c>
      <c r="U275" s="347">
        <v>129.21</v>
      </c>
      <c r="V275" s="348">
        <v>794</v>
      </c>
      <c r="W275" s="347">
        <v>97.93</v>
      </c>
      <c r="X275" s="348">
        <v>10</v>
      </c>
      <c r="Y275" s="349">
        <v>0</v>
      </c>
      <c r="Z275" s="349">
        <v>11</v>
      </c>
      <c r="AA275" s="349">
        <v>9</v>
      </c>
      <c r="AB275" s="349">
        <v>19</v>
      </c>
      <c r="AC275" s="349">
        <v>7</v>
      </c>
      <c r="AD275" s="349">
        <v>4246</v>
      </c>
      <c r="AE275" s="349">
        <v>1</v>
      </c>
      <c r="AF275" s="349">
        <v>12</v>
      </c>
      <c r="AG275" s="349">
        <v>13</v>
      </c>
    </row>
    <row r="276" spans="1:33" x14ac:dyDescent="0.3">
      <c r="A276" s="342" t="s">
        <v>606</v>
      </c>
      <c r="B276" s="342" t="s">
        <v>607</v>
      </c>
      <c r="C276" s="349">
        <v>11321</v>
      </c>
      <c r="D276" s="349">
        <v>0</v>
      </c>
      <c r="E276" s="349">
        <v>423</v>
      </c>
      <c r="F276" s="349">
        <v>1918</v>
      </c>
      <c r="G276" s="349">
        <v>551</v>
      </c>
      <c r="H276" s="346">
        <v>14213</v>
      </c>
      <c r="I276" s="346">
        <v>13662</v>
      </c>
      <c r="J276" s="349">
        <v>1</v>
      </c>
      <c r="K276" s="347">
        <v>90.6</v>
      </c>
      <c r="L276" s="347">
        <v>87.7</v>
      </c>
      <c r="M276" s="347">
        <v>6.31</v>
      </c>
      <c r="N276" s="347">
        <v>93.17</v>
      </c>
      <c r="O276" s="348">
        <v>9699</v>
      </c>
      <c r="P276" s="347">
        <v>89.1</v>
      </c>
      <c r="Q276" s="347">
        <v>86.11</v>
      </c>
      <c r="R276" s="347">
        <v>45.63</v>
      </c>
      <c r="S276" s="347">
        <v>134.68</v>
      </c>
      <c r="T276" s="348">
        <v>1982</v>
      </c>
      <c r="U276" s="347">
        <v>115.11</v>
      </c>
      <c r="V276" s="348">
        <v>1279</v>
      </c>
      <c r="W276" s="347">
        <v>201.27</v>
      </c>
      <c r="X276" s="348">
        <v>263</v>
      </c>
      <c r="Y276" s="349">
        <v>0</v>
      </c>
      <c r="Z276" s="349">
        <v>36</v>
      </c>
      <c r="AA276" s="349">
        <v>65</v>
      </c>
      <c r="AB276" s="349">
        <v>50</v>
      </c>
      <c r="AC276" s="349">
        <v>9</v>
      </c>
      <c r="AD276" s="349">
        <v>11317</v>
      </c>
      <c r="AE276" s="349">
        <v>71</v>
      </c>
      <c r="AF276" s="349">
        <v>153</v>
      </c>
      <c r="AG276" s="349">
        <v>224</v>
      </c>
    </row>
    <row r="277" spans="1:33" x14ac:dyDescent="0.3">
      <c r="A277" s="342" t="s">
        <v>608</v>
      </c>
      <c r="B277" s="342" t="s">
        <v>609</v>
      </c>
      <c r="C277" s="349">
        <v>2055</v>
      </c>
      <c r="D277" s="349">
        <v>0</v>
      </c>
      <c r="E277" s="349">
        <v>231</v>
      </c>
      <c r="F277" s="349">
        <v>683</v>
      </c>
      <c r="G277" s="349">
        <v>157</v>
      </c>
      <c r="H277" s="346">
        <v>3126</v>
      </c>
      <c r="I277" s="346">
        <v>2969</v>
      </c>
      <c r="J277" s="349">
        <v>0</v>
      </c>
      <c r="K277" s="347">
        <v>100.58</v>
      </c>
      <c r="L277" s="347">
        <v>98.56</v>
      </c>
      <c r="M277" s="347">
        <v>4.49</v>
      </c>
      <c r="N277" s="347">
        <v>104.29</v>
      </c>
      <c r="O277" s="348">
        <v>1707</v>
      </c>
      <c r="P277" s="347">
        <v>94.84</v>
      </c>
      <c r="Q277" s="347">
        <v>89.5</v>
      </c>
      <c r="R277" s="347">
        <v>55.99</v>
      </c>
      <c r="S277" s="347">
        <v>148.57</v>
      </c>
      <c r="T277" s="348">
        <v>891</v>
      </c>
      <c r="U277" s="347">
        <v>125.48</v>
      </c>
      <c r="V277" s="348">
        <v>299</v>
      </c>
      <c r="W277" s="347">
        <v>0</v>
      </c>
      <c r="X277" s="348">
        <v>0</v>
      </c>
      <c r="Y277" s="349">
        <v>6</v>
      </c>
      <c r="Z277" s="349">
        <v>0</v>
      </c>
      <c r="AA277" s="349">
        <v>5</v>
      </c>
      <c r="AB277" s="349">
        <v>25</v>
      </c>
      <c r="AC277" s="349">
        <v>2</v>
      </c>
      <c r="AD277" s="349">
        <v>2055</v>
      </c>
      <c r="AE277" s="349">
        <v>7</v>
      </c>
      <c r="AF277" s="349">
        <v>33</v>
      </c>
      <c r="AG277" s="349">
        <v>40</v>
      </c>
    </row>
    <row r="278" spans="1:33" x14ac:dyDescent="0.3">
      <c r="A278" s="342" t="s">
        <v>610</v>
      </c>
      <c r="B278" s="342" t="s">
        <v>611</v>
      </c>
      <c r="C278" s="349">
        <v>7510</v>
      </c>
      <c r="D278" s="349">
        <v>0</v>
      </c>
      <c r="E278" s="349">
        <v>328</v>
      </c>
      <c r="F278" s="349">
        <v>367</v>
      </c>
      <c r="G278" s="349">
        <v>1013</v>
      </c>
      <c r="H278" s="346">
        <v>9218</v>
      </c>
      <c r="I278" s="346">
        <v>8205</v>
      </c>
      <c r="J278" s="349">
        <v>19</v>
      </c>
      <c r="K278" s="347">
        <v>108.99</v>
      </c>
      <c r="L278" s="347">
        <v>107.4</v>
      </c>
      <c r="M278" s="347">
        <v>4.17</v>
      </c>
      <c r="N278" s="347">
        <v>112.49</v>
      </c>
      <c r="O278" s="348">
        <v>6148</v>
      </c>
      <c r="P278" s="347">
        <v>95.24</v>
      </c>
      <c r="Q278" s="347">
        <v>92.61</v>
      </c>
      <c r="R278" s="347">
        <v>37.020000000000003</v>
      </c>
      <c r="S278" s="347">
        <v>131.34</v>
      </c>
      <c r="T278" s="348">
        <v>563</v>
      </c>
      <c r="U278" s="347">
        <v>150.71</v>
      </c>
      <c r="V278" s="348">
        <v>1011</v>
      </c>
      <c r="W278" s="347">
        <v>112.31</v>
      </c>
      <c r="X278" s="348">
        <v>1</v>
      </c>
      <c r="Y278" s="349">
        <v>52</v>
      </c>
      <c r="Z278" s="349">
        <v>6</v>
      </c>
      <c r="AA278" s="349">
        <v>8</v>
      </c>
      <c r="AB278" s="349">
        <v>104</v>
      </c>
      <c r="AC278" s="349">
        <v>9</v>
      </c>
      <c r="AD278" s="349">
        <v>7235</v>
      </c>
      <c r="AE278" s="349">
        <v>64</v>
      </c>
      <c r="AF278" s="349">
        <v>52</v>
      </c>
      <c r="AG278" s="349">
        <v>116</v>
      </c>
    </row>
    <row r="279" spans="1:33" x14ac:dyDescent="0.3">
      <c r="A279" s="342" t="s">
        <v>612</v>
      </c>
      <c r="B279" s="342" t="s">
        <v>613</v>
      </c>
      <c r="C279" s="349">
        <v>4665</v>
      </c>
      <c r="D279" s="349">
        <v>0</v>
      </c>
      <c r="E279" s="349">
        <v>81</v>
      </c>
      <c r="F279" s="349">
        <v>570</v>
      </c>
      <c r="G279" s="349">
        <v>832</v>
      </c>
      <c r="H279" s="346">
        <v>6148</v>
      </c>
      <c r="I279" s="346">
        <v>5316</v>
      </c>
      <c r="J279" s="349">
        <v>0</v>
      </c>
      <c r="K279" s="347">
        <v>96.48</v>
      </c>
      <c r="L279" s="347">
        <v>92.85</v>
      </c>
      <c r="M279" s="347">
        <v>5.72</v>
      </c>
      <c r="N279" s="347">
        <v>99.51</v>
      </c>
      <c r="O279" s="348">
        <v>3860</v>
      </c>
      <c r="P279" s="347">
        <v>88.89</v>
      </c>
      <c r="Q279" s="347">
        <v>82.26</v>
      </c>
      <c r="R279" s="347">
        <v>43.77</v>
      </c>
      <c r="S279" s="347">
        <v>132.6</v>
      </c>
      <c r="T279" s="348">
        <v>623</v>
      </c>
      <c r="U279" s="347">
        <v>134.93</v>
      </c>
      <c r="V279" s="348">
        <v>795</v>
      </c>
      <c r="W279" s="347">
        <v>114.16</v>
      </c>
      <c r="X279" s="348">
        <v>17</v>
      </c>
      <c r="Y279" s="349">
        <v>0</v>
      </c>
      <c r="Z279" s="349">
        <v>3</v>
      </c>
      <c r="AA279" s="349">
        <v>0</v>
      </c>
      <c r="AB279" s="349">
        <v>32</v>
      </c>
      <c r="AC279" s="349">
        <v>12</v>
      </c>
      <c r="AD279" s="349">
        <v>4659</v>
      </c>
      <c r="AE279" s="349">
        <v>25</v>
      </c>
      <c r="AF279" s="349">
        <v>37</v>
      </c>
      <c r="AG279" s="349">
        <v>62</v>
      </c>
    </row>
    <row r="280" spans="1:33" x14ac:dyDescent="0.3">
      <c r="A280" s="342" t="s">
        <v>614</v>
      </c>
      <c r="B280" s="342" t="s">
        <v>615</v>
      </c>
      <c r="C280" s="349">
        <v>3873</v>
      </c>
      <c r="D280" s="349">
        <v>0</v>
      </c>
      <c r="E280" s="349">
        <v>116</v>
      </c>
      <c r="F280" s="349">
        <v>690</v>
      </c>
      <c r="G280" s="349">
        <v>178</v>
      </c>
      <c r="H280" s="346">
        <v>4857</v>
      </c>
      <c r="I280" s="346">
        <v>4679</v>
      </c>
      <c r="J280" s="349">
        <v>22</v>
      </c>
      <c r="K280" s="347">
        <v>92.79</v>
      </c>
      <c r="L280" s="347">
        <v>89.86</v>
      </c>
      <c r="M280" s="347">
        <v>8.2200000000000006</v>
      </c>
      <c r="N280" s="347">
        <v>98.59</v>
      </c>
      <c r="O280" s="348">
        <v>3538</v>
      </c>
      <c r="P280" s="347">
        <v>97.43</v>
      </c>
      <c r="Q280" s="347">
        <v>79.599999999999994</v>
      </c>
      <c r="R280" s="347">
        <v>60.21</v>
      </c>
      <c r="S280" s="347">
        <v>157.56</v>
      </c>
      <c r="T280" s="348">
        <v>782</v>
      </c>
      <c r="U280" s="347">
        <v>119.57</v>
      </c>
      <c r="V280" s="348">
        <v>314</v>
      </c>
      <c r="W280" s="347">
        <v>0</v>
      </c>
      <c r="X280" s="348">
        <v>0</v>
      </c>
      <c r="Y280" s="349">
        <v>0</v>
      </c>
      <c r="Z280" s="349">
        <v>2</v>
      </c>
      <c r="AA280" s="349">
        <v>40</v>
      </c>
      <c r="AB280" s="349">
        <v>31</v>
      </c>
      <c r="AC280" s="349">
        <v>1</v>
      </c>
      <c r="AD280" s="349">
        <v>3872</v>
      </c>
      <c r="AE280" s="349">
        <v>30</v>
      </c>
      <c r="AF280" s="349">
        <v>39</v>
      </c>
      <c r="AG280" s="349">
        <v>69</v>
      </c>
    </row>
    <row r="281" spans="1:33" x14ac:dyDescent="0.3">
      <c r="A281" s="342" t="s">
        <v>616</v>
      </c>
      <c r="B281" s="342" t="s">
        <v>617</v>
      </c>
      <c r="C281" s="349">
        <v>4630</v>
      </c>
      <c r="D281" s="349">
        <v>22</v>
      </c>
      <c r="E281" s="349">
        <v>59</v>
      </c>
      <c r="F281" s="349">
        <v>886</v>
      </c>
      <c r="G281" s="349">
        <v>241</v>
      </c>
      <c r="H281" s="346">
        <v>5838</v>
      </c>
      <c r="I281" s="346">
        <v>5597</v>
      </c>
      <c r="J281" s="349">
        <v>11</v>
      </c>
      <c r="K281" s="347">
        <v>114.5</v>
      </c>
      <c r="L281" s="347">
        <v>113.76</v>
      </c>
      <c r="M281" s="347">
        <v>6.89</v>
      </c>
      <c r="N281" s="347">
        <v>117.53</v>
      </c>
      <c r="O281" s="348">
        <v>4319</v>
      </c>
      <c r="P281" s="347">
        <v>101.26</v>
      </c>
      <c r="Q281" s="347">
        <v>98.12</v>
      </c>
      <c r="R281" s="347">
        <v>23.19</v>
      </c>
      <c r="S281" s="347">
        <v>122.59</v>
      </c>
      <c r="T281" s="348">
        <v>899</v>
      </c>
      <c r="U281" s="347">
        <v>169.82</v>
      </c>
      <c r="V281" s="348">
        <v>225</v>
      </c>
      <c r="W281" s="347">
        <v>170.71</v>
      </c>
      <c r="X281" s="348">
        <v>7</v>
      </c>
      <c r="Y281" s="349">
        <v>0</v>
      </c>
      <c r="Z281" s="349">
        <v>6</v>
      </c>
      <c r="AA281" s="349">
        <v>0</v>
      </c>
      <c r="AB281" s="349">
        <v>42</v>
      </c>
      <c r="AC281" s="349">
        <v>9</v>
      </c>
      <c r="AD281" s="349">
        <v>4630</v>
      </c>
      <c r="AE281" s="349">
        <v>38</v>
      </c>
      <c r="AF281" s="349">
        <v>19</v>
      </c>
      <c r="AG281" s="349">
        <v>57</v>
      </c>
    </row>
    <row r="282" spans="1:33" x14ac:dyDescent="0.3">
      <c r="A282" s="342" t="s">
        <v>618</v>
      </c>
      <c r="B282" s="342" t="s">
        <v>619</v>
      </c>
      <c r="C282" s="349">
        <v>1895</v>
      </c>
      <c r="D282" s="349">
        <v>0</v>
      </c>
      <c r="E282" s="349">
        <v>134</v>
      </c>
      <c r="F282" s="349">
        <v>93</v>
      </c>
      <c r="G282" s="349">
        <v>392</v>
      </c>
      <c r="H282" s="346">
        <v>2514</v>
      </c>
      <c r="I282" s="346">
        <v>2122</v>
      </c>
      <c r="J282" s="349">
        <v>42</v>
      </c>
      <c r="K282" s="347">
        <v>103.89</v>
      </c>
      <c r="L282" s="347">
        <v>105.49</v>
      </c>
      <c r="M282" s="347">
        <v>8.43</v>
      </c>
      <c r="N282" s="347">
        <v>109.8</v>
      </c>
      <c r="O282" s="348">
        <v>1188</v>
      </c>
      <c r="P282" s="347">
        <v>124.4</v>
      </c>
      <c r="Q282" s="347">
        <v>106.8</v>
      </c>
      <c r="R282" s="347">
        <v>95.5</v>
      </c>
      <c r="S282" s="347">
        <v>219.4</v>
      </c>
      <c r="T282" s="348">
        <v>191</v>
      </c>
      <c r="U282" s="347">
        <v>161.41999999999999</v>
      </c>
      <c r="V282" s="348">
        <v>554</v>
      </c>
      <c r="W282" s="347">
        <v>163.18</v>
      </c>
      <c r="X282" s="348">
        <v>4</v>
      </c>
      <c r="Y282" s="349">
        <v>0</v>
      </c>
      <c r="Z282" s="349">
        <v>0</v>
      </c>
      <c r="AA282" s="349">
        <v>0</v>
      </c>
      <c r="AB282" s="349">
        <v>8</v>
      </c>
      <c r="AC282" s="349">
        <v>6</v>
      </c>
      <c r="AD282" s="349">
        <v>1876</v>
      </c>
      <c r="AE282" s="349">
        <v>7</v>
      </c>
      <c r="AF282" s="349">
        <v>4</v>
      </c>
      <c r="AG282" s="349">
        <v>11</v>
      </c>
    </row>
    <row r="283" spans="1:33" x14ac:dyDescent="0.3">
      <c r="A283" s="342" t="s">
        <v>620</v>
      </c>
      <c r="B283" s="342" t="s">
        <v>621</v>
      </c>
      <c r="C283" s="349">
        <v>7712</v>
      </c>
      <c r="D283" s="349">
        <v>1</v>
      </c>
      <c r="E283" s="349">
        <v>142</v>
      </c>
      <c r="F283" s="349">
        <v>626</v>
      </c>
      <c r="G283" s="349">
        <v>1092</v>
      </c>
      <c r="H283" s="346">
        <v>9573</v>
      </c>
      <c r="I283" s="346">
        <v>8481</v>
      </c>
      <c r="J283" s="349">
        <v>2</v>
      </c>
      <c r="K283" s="347">
        <v>115.1</v>
      </c>
      <c r="L283" s="347">
        <v>114.95</v>
      </c>
      <c r="M283" s="347">
        <v>6.86</v>
      </c>
      <c r="N283" s="347">
        <v>116.26</v>
      </c>
      <c r="O283" s="348">
        <v>6472</v>
      </c>
      <c r="P283" s="347">
        <v>97.58</v>
      </c>
      <c r="Q283" s="347">
        <v>93.64</v>
      </c>
      <c r="R283" s="347">
        <v>43.5</v>
      </c>
      <c r="S283" s="347">
        <v>137.94999999999999</v>
      </c>
      <c r="T283" s="348">
        <v>555</v>
      </c>
      <c r="U283" s="347">
        <v>148.43</v>
      </c>
      <c r="V283" s="348">
        <v>1162</v>
      </c>
      <c r="W283" s="347">
        <v>233.48</v>
      </c>
      <c r="X283" s="348">
        <v>131</v>
      </c>
      <c r="Y283" s="349">
        <v>0</v>
      </c>
      <c r="Z283" s="349">
        <v>1</v>
      </c>
      <c r="AA283" s="349">
        <v>0</v>
      </c>
      <c r="AB283" s="349">
        <v>43</v>
      </c>
      <c r="AC283" s="349">
        <v>15</v>
      </c>
      <c r="AD283" s="349">
        <v>7691</v>
      </c>
      <c r="AE283" s="349">
        <v>71</v>
      </c>
      <c r="AF283" s="349">
        <v>35</v>
      </c>
      <c r="AG283" s="349">
        <v>106</v>
      </c>
    </row>
    <row r="284" spans="1:33" x14ac:dyDescent="0.3">
      <c r="A284" s="342" t="s">
        <v>622</v>
      </c>
      <c r="B284" s="342" t="s">
        <v>623</v>
      </c>
      <c r="C284" s="349">
        <v>4197</v>
      </c>
      <c r="D284" s="349">
        <v>33</v>
      </c>
      <c r="E284" s="349">
        <v>299</v>
      </c>
      <c r="F284" s="349">
        <v>879</v>
      </c>
      <c r="G284" s="349">
        <v>555</v>
      </c>
      <c r="H284" s="346">
        <v>5963</v>
      </c>
      <c r="I284" s="346">
        <v>5408</v>
      </c>
      <c r="J284" s="349">
        <v>0</v>
      </c>
      <c r="K284" s="347">
        <v>88.77</v>
      </c>
      <c r="L284" s="347">
        <v>87.36</v>
      </c>
      <c r="M284" s="347">
        <v>6.1</v>
      </c>
      <c r="N284" s="347">
        <v>93.98</v>
      </c>
      <c r="O284" s="348">
        <v>3688</v>
      </c>
      <c r="P284" s="347">
        <v>89.11</v>
      </c>
      <c r="Q284" s="347">
        <v>80.94</v>
      </c>
      <c r="R284" s="347">
        <v>40.24</v>
      </c>
      <c r="S284" s="347">
        <v>128.24</v>
      </c>
      <c r="T284" s="348">
        <v>908</v>
      </c>
      <c r="U284" s="347">
        <v>120.4</v>
      </c>
      <c r="V284" s="348">
        <v>468</v>
      </c>
      <c r="W284" s="347">
        <v>104.05</v>
      </c>
      <c r="X284" s="348">
        <v>14</v>
      </c>
      <c r="Y284" s="349">
        <v>0</v>
      </c>
      <c r="Z284" s="349">
        <v>6</v>
      </c>
      <c r="AA284" s="349">
        <v>4</v>
      </c>
      <c r="AB284" s="349">
        <v>13</v>
      </c>
      <c r="AC284" s="349">
        <v>13</v>
      </c>
      <c r="AD284" s="349">
        <v>4172</v>
      </c>
      <c r="AE284" s="349">
        <v>12</v>
      </c>
      <c r="AF284" s="349">
        <v>19</v>
      </c>
      <c r="AG284" s="349">
        <v>31</v>
      </c>
    </row>
    <row r="285" spans="1:33" x14ac:dyDescent="0.3">
      <c r="A285" s="342" t="s">
        <v>624</v>
      </c>
      <c r="B285" s="342" t="s">
        <v>625</v>
      </c>
      <c r="C285" s="349">
        <v>2399</v>
      </c>
      <c r="D285" s="349">
        <v>0</v>
      </c>
      <c r="E285" s="349">
        <v>36</v>
      </c>
      <c r="F285" s="349">
        <v>386</v>
      </c>
      <c r="G285" s="349">
        <v>205</v>
      </c>
      <c r="H285" s="346">
        <v>3026</v>
      </c>
      <c r="I285" s="346">
        <v>2821</v>
      </c>
      <c r="J285" s="349">
        <v>10</v>
      </c>
      <c r="K285" s="347">
        <v>84.18</v>
      </c>
      <c r="L285" s="347">
        <v>81.510000000000005</v>
      </c>
      <c r="M285" s="347">
        <v>3.26</v>
      </c>
      <c r="N285" s="347">
        <v>86.13</v>
      </c>
      <c r="O285" s="348">
        <v>2279</v>
      </c>
      <c r="P285" s="347">
        <v>72.599999999999994</v>
      </c>
      <c r="Q285" s="347">
        <v>68.17</v>
      </c>
      <c r="R285" s="347">
        <v>32.409999999999997</v>
      </c>
      <c r="S285" s="347">
        <v>100.3</v>
      </c>
      <c r="T285" s="348">
        <v>344</v>
      </c>
      <c r="U285" s="347">
        <v>108.32</v>
      </c>
      <c r="V285" s="348">
        <v>120</v>
      </c>
      <c r="W285" s="347">
        <v>194.95</v>
      </c>
      <c r="X285" s="348">
        <v>41</v>
      </c>
      <c r="Y285" s="349">
        <v>0</v>
      </c>
      <c r="Z285" s="349">
        <v>3</v>
      </c>
      <c r="AA285" s="349">
        <v>0</v>
      </c>
      <c r="AB285" s="349">
        <v>0</v>
      </c>
      <c r="AC285" s="349">
        <v>2</v>
      </c>
      <c r="AD285" s="349">
        <v>2387</v>
      </c>
      <c r="AE285" s="349">
        <v>17</v>
      </c>
      <c r="AF285" s="349">
        <v>5</v>
      </c>
      <c r="AG285" s="349">
        <v>22</v>
      </c>
    </row>
    <row r="286" spans="1:33" x14ac:dyDescent="0.3">
      <c r="A286" s="342" t="s">
        <v>626</v>
      </c>
      <c r="B286" s="342" t="s">
        <v>627</v>
      </c>
      <c r="C286" s="349">
        <v>30185</v>
      </c>
      <c r="D286" s="349">
        <v>95</v>
      </c>
      <c r="E286" s="349">
        <v>1429</v>
      </c>
      <c r="F286" s="349">
        <v>847</v>
      </c>
      <c r="G286" s="349">
        <v>3107</v>
      </c>
      <c r="H286" s="346">
        <v>35663</v>
      </c>
      <c r="I286" s="346">
        <v>32556</v>
      </c>
      <c r="J286" s="349">
        <v>283</v>
      </c>
      <c r="K286" s="347">
        <v>126.71</v>
      </c>
      <c r="L286" s="347">
        <v>130.63999999999999</v>
      </c>
      <c r="M286" s="347">
        <v>17.350000000000001</v>
      </c>
      <c r="N286" s="347">
        <v>142.69</v>
      </c>
      <c r="O286" s="348">
        <v>25480</v>
      </c>
      <c r="P286" s="347">
        <v>114.28</v>
      </c>
      <c r="Q286" s="347">
        <v>111.01</v>
      </c>
      <c r="R286" s="347">
        <v>71.67</v>
      </c>
      <c r="S286" s="347">
        <v>185.43</v>
      </c>
      <c r="T286" s="348">
        <v>1789</v>
      </c>
      <c r="U286" s="347">
        <v>216.39</v>
      </c>
      <c r="V286" s="348">
        <v>2991</v>
      </c>
      <c r="W286" s="347">
        <v>229.79</v>
      </c>
      <c r="X286" s="348">
        <v>207</v>
      </c>
      <c r="Y286" s="349">
        <v>0</v>
      </c>
      <c r="Z286" s="349">
        <v>13</v>
      </c>
      <c r="AA286" s="349">
        <v>60</v>
      </c>
      <c r="AB286" s="349">
        <v>107</v>
      </c>
      <c r="AC286" s="349">
        <v>96</v>
      </c>
      <c r="AD286" s="349">
        <v>28963</v>
      </c>
      <c r="AE286" s="349">
        <v>226</v>
      </c>
      <c r="AF286" s="349">
        <v>246</v>
      </c>
      <c r="AG286" s="349">
        <v>472</v>
      </c>
    </row>
    <row r="287" spans="1:33" x14ac:dyDescent="0.3">
      <c r="A287" s="342" t="s">
        <v>628</v>
      </c>
      <c r="B287" s="342" t="s">
        <v>629</v>
      </c>
      <c r="C287" s="349">
        <v>11801</v>
      </c>
      <c r="D287" s="349">
        <v>0</v>
      </c>
      <c r="E287" s="349">
        <v>512</v>
      </c>
      <c r="F287" s="349">
        <v>3251</v>
      </c>
      <c r="G287" s="349">
        <v>408</v>
      </c>
      <c r="H287" s="346">
        <v>15972</v>
      </c>
      <c r="I287" s="346">
        <v>15564</v>
      </c>
      <c r="J287" s="349">
        <v>5</v>
      </c>
      <c r="K287" s="347">
        <v>88.78</v>
      </c>
      <c r="L287" s="347">
        <v>88.58</v>
      </c>
      <c r="M287" s="347">
        <v>5.0199999999999996</v>
      </c>
      <c r="N287" s="347">
        <v>92.54</v>
      </c>
      <c r="O287" s="348">
        <v>9803</v>
      </c>
      <c r="P287" s="347">
        <v>90.8</v>
      </c>
      <c r="Q287" s="347">
        <v>86.54</v>
      </c>
      <c r="R287" s="347">
        <v>26.41</v>
      </c>
      <c r="S287" s="347">
        <v>117.17</v>
      </c>
      <c r="T287" s="348">
        <v>3545</v>
      </c>
      <c r="U287" s="347">
        <v>122.21</v>
      </c>
      <c r="V287" s="348">
        <v>1903</v>
      </c>
      <c r="W287" s="347">
        <v>172.47</v>
      </c>
      <c r="X287" s="348">
        <v>147</v>
      </c>
      <c r="Y287" s="349">
        <v>0</v>
      </c>
      <c r="Z287" s="349">
        <v>31</v>
      </c>
      <c r="AA287" s="349">
        <v>3</v>
      </c>
      <c r="AB287" s="349">
        <v>3</v>
      </c>
      <c r="AC287" s="349">
        <v>16</v>
      </c>
      <c r="AD287" s="349">
        <v>11749</v>
      </c>
      <c r="AE287" s="349">
        <v>46</v>
      </c>
      <c r="AF287" s="349">
        <v>109</v>
      </c>
      <c r="AG287" s="349">
        <v>155</v>
      </c>
    </row>
    <row r="288" spans="1:33" x14ac:dyDescent="0.3">
      <c r="A288" s="342" t="s">
        <v>630</v>
      </c>
      <c r="B288" s="342" t="s">
        <v>631</v>
      </c>
      <c r="C288" s="349">
        <v>6402</v>
      </c>
      <c r="D288" s="349">
        <v>0</v>
      </c>
      <c r="E288" s="349">
        <v>166</v>
      </c>
      <c r="F288" s="349">
        <v>803</v>
      </c>
      <c r="G288" s="349">
        <v>543</v>
      </c>
      <c r="H288" s="346">
        <v>7914</v>
      </c>
      <c r="I288" s="346">
        <v>7371</v>
      </c>
      <c r="J288" s="349">
        <v>1</v>
      </c>
      <c r="K288" s="347">
        <v>111.74</v>
      </c>
      <c r="L288" s="347">
        <v>106.92</v>
      </c>
      <c r="M288" s="347">
        <v>4.91</v>
      </c>
      <c r="N288" s="347">
        <v>115.85</v>
      </c>
      <c r="O288" s="348">
        <v>5470</v>
      </c>
      <c r="P288" s="347">
        <v>103.08</v>
      </c>
      <c r="Q288" s="347">
        <v>86.53</v>
      </c>
      <c r="R288" s="347">
        <v>36.96</v>
      </c>
      <c r="S288" s="347">
        <v>138.47999999999999</v>
      </c>
      <c r="T288" s="348">
        <v>687</v>
      </c>
      <c r="U288" s="347">
        <v>160.05000000000001</v>
      </c>
      <c r="V288" s="348">
        <v>709</v>
      </c>
      <c r="W288" s="347">
        <v>133.37</v>
      </c>
      <c r="X288" s="348">
        <v>128</v>
      </c>
      <c r="Y288" s="349">
        <v>16</v>
      </c>
      <c r="Z288" s="349">
        <v>0</v>
      </c>
      <c r="AA288" s="349">
        <v>19</v>
      </c>
      <c r="AB288" s="349">
        <v>28</v>
      </c>
      <c r="AC288" s="349">
        <v>15</v>
      </c>
      <c r="AD288" s="349">
        <v>6237</v>
      </c>
      <c r="AE288" s="349">
        <v>52</v>
      </c>
      <c r="AF288" s="349">
        <v>73</v>
      </c>
      <c r="AG288" s="349">
        <v>125</v>
      </c>
    </row>
    <row r="289" spans="1:33" x14ac:dyDescent="0.3">
      <c r="A289" s="342" t="s">
        <v>632</v>
      </c>
      <c r="B289" s="342" t="s">
        <v>633</v>
      </c>
      <c r="C289" s="349">
        <v>1893</v>
      </c>
      <c r="D289" s="349">
        <v>0</v>
      </c>
      <c r="E289" s="349">
        <v>75</v>
      </c>
      <c r="F289" s="349">
        <v>260</v>
      </c>
      <c r="G289" s="349">
        <v>579</v>
      </c>
      <c r="H289" s="346">
        <v>2807</v>
      </c>
      <c r="I289" s="346">
        <v>2228</v>
      </c>
      <c r="J289" s="349">
        <v>0</v>
      </c>
      <c r="K289" s="347">
        <v>109.57</v>
      </c>
      <c r="L289" s="347">
        <v>108.54</v>
      </c>
      <c r="M289" s="347">
        <v>6.41</v>
      </c>
      <c r="N289" s="347">
        <v>114.04</v>
      </c>
      <c r="O289" s="348">
        <v>996</v>
      </c>
      <c r="P289" s="347">
        <v>101.95</v>
      </c>
      <c r="Q289" s="347">
        <v>97.25</v>
      </c>
      <c r="R289" s="347">
        <v>60.26</v>
      </c>
      <c r="S289" s="347">
        <v>160.79</v>
      </c>
      <c r="T289" s="348">
        <v>255</v>
      </c>
      <c r="U289" s="347">
        <v>161.36000000000001</v>
      </c>
      <c r="V289" s="348">
        <v>877</v>
      </c>
      <c r="W289" s="347">
        <v>40.229999999999997</v>
      </c>
      <c r="X289" s="348">
        <v>79</v>
      </c>
      <c r="Y289" s="349">
        <v>19</v>
      </c>
      <c r="Z289" s="349">
        <v>0</v>
      </c>
      <c r="AA289" s="349">
        <v>2</v>
      </c>
      <c r="AB289" s="349">
        <v>24</v>
      </c>
      <c r="AC289" s="349">
        <v>6</v>
      </c>
      <c r="AD289" s="349">
        <v>1892</v>
      </c>
      <c r="AE289" s="349">
        <v>10</v>
      </c>
      <c r="AF289" s="349">
        <v>11</v>
      </c>
      <c r="AG289" s="349">
        <v>21</v>
      </c>
    </row>
    <row r="290" spans="1:33" x14ac:dyDescent="0.3">
      <c r="A290" s="342" t="s">
        <v>634</v>
      </c>
      <c r="B290" s="342" t="s">
        <v>635</v>
      </c>
      <c r="C290" s="349">
        <v>7547</v>
      </c>
      <c r="D290" s="349">
        <v>0</v>
      </c>
      <c r="E290" s="349">
        <v>244</v>
      </c>
      <c r="F290" s="349">
        <v>433</v>
      </c>
      <c r="G290" s="349">
        <v>987</v>
      </c>
      <c r="H290" s="346">
        <v>9211</v>
      </c>
      <c r="I290" s="346">
        <v>8224</v>
      </c>
      <c r="J290" s="349">
        <v>2</v>
      </c>
      <c r="K290" s="347">
        <v>108.39</v>
      </c>
      <c r="L290" s="347">
        <v>108.82</v>
      </c>
      <c r="M290" s="347">
        <v>6.42</v>
      </c>
      <c r="N290" s="347">
        <v>109.61</v>
      </c>
      <c r="O290" s="348">
        <v>5495</v>
      </c>
      <c r="P290" s="347">
        <v>100.01</v>
      </c>
      <c r="Q290" s="347">
        <v>95.38</v>
      </c>
      <c r="R290" s="347">
        <v>28.97</v>
      </c>
      <c r="S290" s="347">
        <v>125.34</v>
      </c>
      <c r="T290" s="348">
        <v>604</v>
      </c>
      <c r="U290" s="347">
        <v>172.63</v>
      </c>
      <c r="V290" s="348">
        <v>1985</v>
      </c>
      <c r="W290" s="347">
        <v>187.09</v>
      </c>
      <c r="X290" s="348">
        <v>27</v>
      </c>
      <c r="Y290" s="349">
        <v>0</v>
      </c>
      <c r="Z290" s="349">
        <v>2</v>
      </c>
      <c r="AA290" s="349">
        <v>4</v>
      </c>
      <c r="AB290" s="349">
        <v>91</v>
      </c>
      <c r="AC290" s="349">
        <v>16</v>
      </c>
      <c r="AD290" s="349">
        <v>7459</v>
      </c>
      <c r="AE290" s="349">
        <v>65</v>
      </c>
      <c r="AF290" s="349">
        <v>6</v>
      </c>
      <c r="AG290" s="349">
        <v>71</v>
      </c>
    </row>
    <row r="291" spans="1:33" x14ac:dyDescent="0.3">
      <c r="A291" s="342" t="s">
        <v>636</v>
      </c>
      <c r="B291" s="342" t="s">
        <v>637</v>
      </c>
      <c r="C291" s="349">
        <v>32468</v>
      </c>
      <c r="D291" s="349">
        <v>0</v>
      </c>
      <c r="E291" s="349">
        <v>2143</v>
      </c>
      <c r="F291" s="349">
        <v>655</v>
      </c>
      <c r="G291" s="349">
        <v>1001</v>
      </c>
      <c r="H291" s="346">
        <v>36267</v>
      </c>
      <c r="I291" s="346">
        <v>35266</v>
      </c>
      <c r="J291" s="349">
        <v>11</v>
      </c>
      <c r="K291" s="347">
        <v>83.57</v>
      </c>
      <c r="L291" s="347">
        <v>83.86</v>
      </c>
      <c r="M291" s="347">
        <v>5.58</v>
      </c>
      <c r="N291" s="347">
        <v>84.31</v>
      </c>
      <c r="O291" s="348">
        <v>29818</v>
      </c>
      <c r="P291" s="347">
        <v>83.53</v>
      </c>
      <c r="Q291" s="347">
        <v>78.88</v>
      </c>
      <c r="R291" s="347">
        <v>38.51</v>
      </c>
      <c r="S291" s="347">
        <v>121.45</v>
      </c>
      <c r="T291" s="348">
        <v>2545</v>
      </c>
      <c r="U291" s="347">
        <v>98.86</v>
      </c>
      <c r="V291" s="348">
        <v>2334</v>
      </c>
      <c r="W291" s="347">
        <v>147.96</v>
      </c>
      <c r="X291" s="348">
        <v>31</v>
      </c>
      <c r="Y291" s="349">
        <v>3</v>
      </c>
      <c r="Z291" s="349">
        <v>74</v>
      </c>
      <c r="AA291" s="349">
        <v>8</v>
      </c>
      <c r="AB291" s="349">
        <v>84</v>
      </c>
      <c r="AC291" s="349">
        <v>23</v>
      </c>
      <c r="AD291" s="349">
        <v>32451</v>
      </c>
      <c r="AE291" s="349">
        <v>318</v>
      </c>
      <c r="AF291" s="349">
        <v>149</v>
      </c>
      <c r="AG291" s="349">
        <v>467</v>
      </c>
    </row>
    <row r="292" spans="1:33" x14ac:dyDescent="0.3">
      <c r="A292" s="342" t="s">
        <v>638</v>
      </c>
      <c r="B292" s="342" t="s">
        <v>639</v>
      </c>
      <c r="C292" s="349">
        <v>26505</v>
      </c>
      <c r="D292" s="349">
        <v>9</v>
      </c>
      <c r="E292" s="349">
        <v>507</v>
      </c>
      <c r="F292" s="349">
        <v>792</v>
      </c>
      <c r="G292" s="349">
        <v>484</v>
      </c>
      <c r="H292" s="346">
        <v>28297</v>
      </c>
      <c r="I292" s="346">
        <v>27813</v>
      </c>
      <c r="J292" s="349">
        <v>136</v>
      </c>
      <c r="K292" s="347">
        <v>86.04</v>
      </c>
      <c r="L292" s="347">
        <v>86.05</v>
      </c>
      <c r="M292" s="347">
        <v>10.18</v>
      </c>
      <c r="N292" s="347">
        <v>91.21</v>
      </c>
      <c r="O292" s="348">
        <v>24017</v>
      </c>
      <c r="P292" s="347">
        <v>103.85</v>
      </c>
      <c r="Q292" s="347">
        <v>91.74</v>
      </c>
      <c r="R292" s="347">
        <v>45.44</v>
      </c>
      <c r="S292" s="347">
        <v>147.65</v>
      </c>
      <c r="T292" s="348">
        <v>1047</v>
      </c>
      <c r="U292" s="347">
        <v>111.44</v>
      </c>
      <c r="V292" s="348">
        <v>2259</v>
      </c>
      <c r="W292" s="347">
        <v>145.93</v>
      </c>
      <c r="X292" s="348">
        <v>194</v>
      </c>
      <c r="Y292" s="349">
        <v>0</v>
      </c>
      <c r="Z292" s="349">
        <v>91</v>
      </c>
      <c r="AA292" s="349">
        <v>13</v>
      </c>
      <c r="AB292" s="349">
        <v>8</v>
      </c>
      <c r="AC292" s="349">
        <v>14</v>
      </c>
      <c r="AD292" s="349">
        <v>26448</v>
      </c>
      <c r="AE292" s="349">
        <v>176</v>
      </c>
      <c r="AF292" s="349">
        <v>96</v>
      </c>
      <c r="AG292" s="349">
        <v>272</v>
      </c>
    </row>
    <row r="293" spans="1:33" x14ac:dyDescent="0.3">
      <c r="A293" s="342" t="s">
        <v>640</v>
      </c>
      <c r="B293" s="342" t="s">
        <v>641</v>
      </c>
      <c r="C293" s="349">
        <v>10862</v>
      </c>
      <c r="D293" s="349">
        <v>6</v>
      </c>
      <c r="E293" s="349">
        <v>921</v>
      </c>
      <c r="F293" s="349">
        <v>864</v>
      </c>
      <c r="G293" s="349">
        <v>1537</v>
      </c>
      <c r="H293" s="346">
        <v>14190</v>
      </c>
      <c r="I293" s="346">
        <v>12653</v>
      </c>
      <c r="J293" s="349">
        <v>99</v>
      </c>
      <c r="K293" s="347">
        <v>118.32</v>
      </c>
      <c r="L293" s="347">
        <v>116.81</v>
      </c>
      <c r="M293" s="347">
        <v>12.4</v>
      </c>
      <c r="N293" s="347">
        <v>124.82</v>
      </c>
      <c r="O293" s="348">
        <v>8663</v>
      </c>
      <c r="P293" s="347">
        <v>102.1</v>
      </c>
      <c r="Q293" s="347">
        <v>96.26</v>
      </c>
      <c r="R293" s="347">
        <v>43.55</v>
      </c>
      <c r="S293" s="347">
        <v>144.69999999999999</v>
      </c>
      <c r="T293" s="348">
        <v>1188</v>
      </c>
      <c r="U293" s="347">
        <v>185.72</v>
      </c>
      <c r="V293" s="348">
        <v>1602</v>
      </c>
      <c r="W293" s="347">
        <v>235.82</v>
      </c>
      <c r="X293" s="348">
        <v>67</v>
      </c>
      <c r="Y293" s="349">
        <v>0</v>
      </c>
      <c r="Z293" s="349">
        <v>1</v>
      </c>
      <c r="AA293" s="349">
        <v>7</v>
      </c>
      <c r="AB293" s="349">
        <v>49</v>
      </c>
      <c r="AC293" s="349">
        <v>29</v>
      </c>
      <c r="AD293" s="349">
        <v>10471</v>
      </c>
      <c r="AE293" s="349">
        <v>80</v>
      </c>
      <c r="AF293" s="349">
        <v>43</v>
      </c>
      <c r="AG293" s="349">
        <v>123</v>
      </c>
    </row>
    <row r="294" spans="1:33" x14ac:dyDescent="0.3">
      <c r="A294" s="342" t="s">
        <v>642</v>
      </c>
      <c r="B294" s="342" t="s">
        <v>643</v>
      </c>
      <c r="C294" s="349">
        <v>9028</v>
      </c>
      <c r="D294" s="349">
        <v>6</v>
      </c>
      <c r="E294" s="349">
        <v>1057</v>
      </c>
      <c r="F294" s="349">
        <v>980</v>
      </c>
      <c r="G294" s="349">
        <v>2549</v>
      </c>
      <c r="H294" s="346">
        <v>13620</v>
      </c>
      <c r="I294" s="346">
        <v>11071</v>
      </c>
      <c r="J294" s="349">
        <v>301</v>
      </c>
      <c r="K294" s="347">
        <v>131.04</v>
      </c>
      <c r="L294" s="347">
        <v>140.06</v>
      </c>
      <c r="M294" s="347">
        <v>9.93</v>
      </c>
      <c r="N294" s="347">
        <v>137.44</v>
      </c>
      <c r="O294" s="348">
        <v>6856</v>
      </c>
      <c r="P294" s="347">
        <v>121.42</v>
      </c>
      <c r="Q294" s="347">
        <v>116.69</v>
      </c>
      <c r="R294" s="347">
        <v>45.57</v>
      </c>
      <c r="S294" s="347">
        <v>165.3</v>
      </c>
      <c r="T294" s="348">
        <v>1861</v>
      </c>
      <c r="U294" s="347">
        <v>209.29</v>
      </c>
      <c r="V294" s="348">
        <v>918</v>
      </c>
      <c r="W294" s="347">
        <v>234.28</v>
      </c>
      <c r="X294" s="348">
        <v>37</v>
      </c>
      <c r="Y294" s="349">
        <v>0</v>
      </c>
      <c r="Z294" s="349">
        <v>0</v>
      </c>
      <c r="AA294" s="349">
        <v>12</v>
      </c>
      <c r="AB294" s="349">
        <v>99</v>
      </c>
      <c r="AC294" s="349">
        <v>70</v>
      </c>
      <c r="AD294" s="349">
        <v>8660</v>
      </c>
      <c r="AE294" s="349">
        <v>129</v>
      </c>
      <c r="AF294" s="349">
        <v>56</v>
      </c>
      <c r="AG294" s="349">
        <v>185</v>
      </c>
    </row>
    <row r="295" spans="1:33" x14ac:dyDescent="0.3">
      <c r="A295" s="342" t="s">
        <v>644</v>
      </c>
      <c r="B295" s="342" t="s">
        <v>645</v>
      </c>
      <c r="C295" s="349">
        <v>11832</v>
      </c>
      <c r="D295" s="349">
        <v>0</v>
      </c>
      <c r="E295" s="349">
        <v>565</v>
      </c>
      <c r="F295" s="349">
        <v>2167</v>
      </c>
      <c r="G295" s="349">
        <v>660</v>
      </c>
      <c r="H295" s="346">
        <v>15224</v>
      </c>
      <c r="I295" s="346">
        <v>14564</v>
      </c>
      <c r="J295" s="349">
        <v>9</v>
      </c>
      <c r="K295" s="347">
        <v>85.21</v>
      </c>
      <c r="L295" s="347">
        <v>85.75</v>
      </c>
      <c r="M295" s="347">
        <v>5.41</v>
      </c>
      <c r="N295" s="347">
        <v>86.93</v>
      </c>
      <c r="O295" s="348">
        <v>11030</v>
      </c>
      <c r="P295" s="347">
        <v>88.1</v>
      </c>
      <c r="Q295" s="347">
        <v>79.03</v>
      </c>
      <c r="R295" s="347">
        <v>34.450000000000003</v>
      </c>
      <c r="S295" s="347">
        <v>122.44</v>
      </c>
      <c r="T295" s="348">
        <v>2597</v>
      </c>
      <c r="U295" s="347">
        <v>107.61</v>
      </c>
      <c r="V295" s="348">
        <v>722</v>
      </c>
      <c r="W295" s="347">
        <v>166.34</v>
      </c>
      <c r="X295" s="348">
        <v>48</v>
      </c>
      <c r="Y295" s="349">
        <v>0</v>
      </c>
      <c r="Z295" s="349">
        <v>53</v>
      </c>
      <c r="AA295" s="349">
        <v>0</v>
      </c>
      <c r="AB295" s="349">
        <v>23</v>
      </c>
      <c r="AC295" s="349">
        <v>16</v>
      </c>
      <c r="AD295" s="349">
        <v>11832</v>
      </c>
      <c r="AE295" s="349">
        <v>103</v>
      </c>
      <c r="AF295" s="349">
        <v>57</v>
      </c>
      <c r="AG295" s="349">
        <v>160</v>
      </c>
    </row>
    <row r="296" spans="1:33" x14ac:dyDescent="0.3">
      <c r="A296" s="342" t="s">
        <v>646</v>
      </c>
      <c r="B296" s="342" t="s">
        <v>647</v>
      </c>
      <c r="C296" s="349">
        <v>3249</v>
      </c>
      <c r="D296" s="349">
        <v>0</v>
      </c>
      <c r="E296" s="349">
        <v>162</v>
      </c>
      <c r="F296" s="349">
        <v>629</v>
      </c>
      <c r="G296" s="349">
        <v>957</v>
      </c>
      <c r="H296" s="346">
        <v>4997</v>
      </c>
      <c r="I296" s="346">
        <v>4040</v>
      </c>
      <c r="J296" s="349">
        <v>2</v>
      </c>
      <c r="K296" s="347">
        <v>107.18</v>
      </c>
      <c r="L296" s="347">
        <v>105.04</v>
      </c>
      <c r="M296" s="347">
        <v>6.96</v>
      </c>
      <c r="N296" s="347">
        <v>113.11</v>
      </c>
      <c r="O296" s="348">
        <v>2429</v>
      </c>
      <c r="P296" s="347">
        <v>100.81</v>
      </c>
      <c r="Q296" s="347">
        <v>87.49</v>
      </c>
      <c r="R296" s="347">
        <v>52.42</v>
      </c>
      <c r="S296" s="347">
        <v>153.04</v>
      </c>
      <c r="T296" s="348">
        <v>556</v>
      </c>
      <c r="U296" s="347">
        <v>147.56</v>
      </c>
      <c r="V296" s="348">
        <v>739</v>
      </c>
      <c r="W296" s="347">
        <v>180.75</v>
      </c>
      <c r="X296" s="348">
        <v>126</v>
      </c>
      <c r="Y296" s="349">
        <v>0</v>
      </c>
      <c r="Z296" s="349">
        <v>4</v>
      </c>
      <c r="AA296" s="349">
        <v>16</v>
      </c>
      <c r="AB296" s="349">
        <v>120</v>
      </c>
      <c r="AC296" s="349">
        <v>19</v>
      </c>
      <c r="AD296" s="349">
        <v>3185</v>
      </c>
      <c r="AE296" s="349">
        <v>49</v>
      </c>
      <c r="AF296" s="349">
        <v>41</v>
      </c>
      <c r="AG296" s="349">
        <v>90</v>
      </c>
    </row>
    <row r="297" spans="1:33" x14ac:dyDescent="0.3">
      <c r="A297" s="342" t="s">
        <v>648</v>
      </c>
      <c r="B297" s="342" t="s">
        <v>649</v>
      </c>
      <c r="C297" s="349">
        <v>5566</v>
      </c>
      <c r="D297" s="349">
        <v>128</v>
      </c>
      <c r="E297" s="349">
        <v>378</v>
      </c>
      <c r="F297" s="349">
        <v>589</v>
      </c>
      <c r="G297" s="349">
        <v>405</v>
      </c>
      <c r="H297" s="346">
        <v>7066</v>
      </c>
      <c r="I297" s="346">
        <v>6661</v>
      </c>
      <c r="J297" s="349">
        <v>77</v>
      </c>
      <c r="K297" s="347">
        <v>114.49</v>
      </c>
      <c r="L297" s="347">
        <v>124.36</v>
      </c>
      <c r="M297" s="347">
        <v>9.41</v>
      </c>
      <c r="N297" s="347">
        <v>118.75</v>
      </c>
      <c r="O297" s="348">
        <v>4940</v>
      </c>
      <c r="P297" s="347">
        <v>92.24</v>
      </c>
      <c r="Q297" s="347">
        <v>92.64</v>
      </c>
      <c r="R297" s="347">
        <v>35.29</v>
      </c>
      <c r="S297" s="347">
        <v>126.97</v>
      </c>
      <c r="T297" s="348">
        <v>701</v>
      </c>
      <c r="U297" s="347">
        <v>185.35</v>
      </c>
      <c r="V297" s="348">
        <v>513</v>
      </c>
      <c r="W297" s="347">
        <v>165.02</v>
      </c>
      <c r="X297" s="348">
        <v>2</v>
      </c>
      <c r="Y297" s="349">
        <v>0</v>
      </c>
      <c r="Z297" s="349">
        <v>8</v>
      </c>
      <c r="AA297" s="349">
        <v>1</v>
      </c>
      <c r="AB297" s="349">
        <v>25</v>
      </c>
      <c r="AC297" s="349">
        <v>10</v>
      </c>
      <c r="AD297" s="349">
        <v>5553</v>
      </c>
      <c r="AE297" s="349">
        <v>60</v>
      </c>
      <c r="AF297" s="349">
        <v>41</v>
      </c>
      <c r="AG297" s="349">
        <v>101</v>
      </c>
    </row>
    <row r="298" spans="1:33" x14ac:dyDescent="0.3">
      <c r="A298" s="342" t="s">
        <v>650</v>
      </c>
      <c r="B298" s="342" t="s">
        <v>651</v>
      </c>
      <c r="C298" s="349">
        <v>1371</v>
      </c>
      <c r="D298" s="349">
        <v>0</v>
      </c>
      <c r="E298" s="349">
        <v>152</v>
      </c>
      <c r="F298" s="349">
        <v>164</v>
      </c>
      <c r="G298" s="349">
        <v>588</v>
      </c>
      <c r="H298" s="346">
        <v>2275</v>
      </c>
      <c r="I298" s="346">
        <v>1687</v>
      </c>
      <c r="J298" s="349">
        <v>31</v>
      </c>
      <c r="K298" s="347">
        <v>119.13</v>
      </c>
      <c r="L298" s="347">
        <v>115.16</v>
      </c>
      <c r="M298" s="347">
        <v>4.8899999999999997</v>
      </c>
      <c r="N298" s="347">
        <v>123.7</v>
      </c>
      <c r="O298" s="348">
        <v>911</v>
      </c>
      <c r="P298" s="347">
        <v>109.79</v>
      </c>
      <c r="Q298" s="347">
        <v>95.89</v>
      </c>
      <c r="R298" s="347">
        <v>34.659999999999997</v>
      </c>
      <c r="S298" s="347">
        <v>144.44999999999999</v>
      </c>
      <c r="T298" s="348">
        <v>142</v>
      </c>
      <c r="U298" s="347">
        <v>189.68</v>
      </c>
      <c r="V298" s="348">
        <v>410</v>
      </c>
      <c r="W298" s="347">
        <v>124.33</v>
      </c>
      <c r="X298" s="348">
        <v>3</v>
      </c>
      <c r="Y298" s="349">
        <v>6</v>
      </c>
      <c r="Z298" s="349">
        <v>1</v>
      </c>
      <c r="AA298" s="349">
        <v>0</v>
      </c>
      <c r="AB298" s="349">
        <v>66</v>
      </c>
      <c r="AC298" s="349">
        <v>17</v>
      </c>
      <c r="AD298" s="349">
        <v>1279</v>
      </c>
      <c r="AE298" s="349">
        <v>35</v>
      </c>
      <c r="AF298" s="349">
        <v>2</v>
      </c>
      <c r="AG298" s="349">
        <v>37</v>
      </c>
    </row>
    <row r="299" spans="1:33" x14ac:dyDescent="0.3">
      <c r="A299" s="342" t="s">
        <v>652</v>
      </c>
      <c r="B299" s="342" t="s">
        <v>653</v>
      </c>
      <c r="C299" s="349">
        <v>2500</v>
      </c>
      <c r="D299" s="349">
        <v>0</v>
      </c>
      <c r="E299" s="349">
        <v>96</v>
      </c>
      <c r="F299" s="349">
        <v>323</v>
      </c>
      <c r="G299" s="349">
        <v>663</v>
      </c>
      <c r="H299" s="346">
        <v>3582</v>
      </c>
      <c r="I299" s="346">
        <v>2919</v>
      </c>
      <c r="J299" s="349">
        <v>0</v>
      </c>
      <c r="K299" s="347">
        <v>104.22</v>
      </c>
      <c r="L299" s="347">
        <v>99.77</v>
      </c>
      <c r="M299" s="347">
        <v>6.23</v>
      </c>
      <c r="N299" s="347">
        <v>109.02</v>
      </c>
      <c r="O299" s="348">
        <v>1402</v>
      </c>
      <c r="P299" s="347">
        <v>82.06</v>
      </c>
      <c r="Q299" s="347">
        <v>76.510000000000005</v>
      </c>
      <c r="R299" s="347">
        <v>40.36</v>
      </c>
      <c r="S299" s="347">
        <v>120.64</v>
      </c>
      <c r="T299" s="348">
        <v>226</v>
      </c>
      <c r="U299" s="347">
        <v>152.28</v>
      </c>
      <c r="V299" s="348">
        <v>1072</v>
      </c>
      <c r="W299" s="347">
        <v>196.01</v>
      </c>
      <c r="X299" s="348">
        <v>55</v>
      </c>
      <c r="Y299" s="349">
        <v>0</v>
      </c>
      <c r="Z299" s="349">
        <v>0</v>
      </c>
      <c r="AA299" s="349">
        <v>1</v>
      </c>
      <c r="AB299" s="349">
        <v>64</v>
      </c>
      <c r="AC299" s="349">
        <v>5</v>
      </c>
      <c r="AD299" s="349">
        <v>2498</v>
      </c>
      <c r="AE299" s="349">
        <v>52</v>
      </c>
      <c r="AF299" s="349">
        <v>10</v>
      </c>
      <c r="AG299" s="349">
        <v>62</v>
      </c>
    </row>
    <row r="300" spans="1:33" x14ac:dyDescent="0.3">
      <c r="A300" s="342" t="s">
        <v>654</v>
      </c>
      <c r="B300" s="342" t="s">
        <v>655</v>
      </c>
      <c r="C300" s="349">
        <v>2840</v>
      </c>
      <c r="D300" s="349">
        <v>0</v>
      </c>
      <c r="E300" s="349">
        <v>311</v>
      </c>
      <c r="F300" s="349">
        <v>339</v>
      </c>
      <c r="G300" s="349">
        <v>757</v>
      </c>
      <c r="H300" s="346">
        <v>4247</v>
      </c>
      <c r="I300" s="346">
        <v>3490</v>
      </c>
      <c r="J300" s="349">
        <v>128</v>
      </c>
      <c r="K300" s="347">
        <v>112.21</v>
      </c>
      <c r="L300" s="347">
        <v>110.69</v>
      </c>
      <c r="M300" s="347">
        <v>8.33</v>
      </c>
      <c r="N300" s="347">
        <v>119.26</v>
      </c>
      <c r="O300" s="348">
        <v>2249</v>
      </c>
      <c r="P300" s="347">
        <v>109.46</v>
      </c>
      <c r="Q300" s="347">
        <v>98.41</v>
      </c>
      <c r="R300" s="347">
        <v>48.27</v>
      </c>
      <c r="S300" s="347">
        <v>157.55000000000001</v>
      </c>
      <c r="T300" s="348">
        <v>522</v>
      </c>
      <c r="U300" s="347">
        <v>153.74</v>
      </c>
      <c r="V300" s="348">
        <v>523</v>
      </c>
      <c r="W300" s="347">
        <v>0</v>
      </c>
      <c r="X300" s="348">
        <v>0</v>
      </c>
      <c r="Y300" s="349">
        <v>76</v>
      </c>
      <c r="Z300" s="349">
        <v>1</v>
      </c>
      <c r="AA300" s="349">
        <v>0</v>
      </c>
      <c r="AB300" s="349">
        <v>57</v>
      </c>
      <c r="AC300" s="349">
        <v>7</v>
      </c>
      <c r="AD300" s="349">
        <v>2797</v>
      </c>
      <c r="AE300" s="349">
        <v>13</v>
      </c>
      <c r="AF300" s="349">
        <v>7</v>
      </c>
      <c r="AG300" s="349">
        <v>20</v>
      </c>
    </row>
    <row r="301" spans="1:33" x14ac:dyDescent="0.3">
      <c r="A301" s="342" t="s">
        <v>656</v>
      </c>
      <c r="B301" s="342" t="s">
        <v>657</v>
      </c>
      <c r="C301" s="349">
        <v>7992</v>
      </c>
      <c r="D301" s="349">
        <v>0</v>
      </c>
      <c r="E301" s="349">
        <v>368</v>
      </c>
      <c r="F301" s="349">
        <v>882</v>
      </c>
      <c r="G301" s="349">
        <v>747</v>
      </c>
      <c r="H301" s="346">
        <v>9989</v>
      </c>
      <c r="I301" s="346">
        <v>9242</v>
      </c>
      <c r="J301" s="349">
        <v>18</v>
      </c>
      <c r="K301" s="347">
        <v>119.18</v>
      </c>
      <c r="L301" s="347">
        <v>120.5</v>
      </c>
      <c r="M301" s="347">
        <v>5.32</v>
      </c>
      <c r="N301" s="347">
        <v>121.93</v>
      </c>
      <c r="O301" s="348">
        <v>7564</v>
      </c>
      <c r="P301" s="347">
        <v>107.98</v>
      </c>
      <c r="Q301" s="347">
        <v>103.58</v>
      </c>
      <c r="R301" s="347">
        <v>33.81</v>
      </c>
      <c r="S301" s="347">
        <v>140.55000000000001</v>
      </c>
      <c r="T301" s="348">
        <v>1061</v>
      </c>
      <c r="U301" s="347">
        <v>152.72999999999999</v>
      </c>
      <c r="V301" s="348">
        <v>382</v>
      </c>
      <c r="W301" s="347">
        <v>180.48</v>
      </c>
      <c r="X301" s="348">
        <v>81</v>
      </c>
      <c r="Y301" s="349">
        <v>98</v>
      </c>
      <c r="Z301" s="349">
        <v>0</v>
      </c>
      <c r="AA301" s="349">
        <v>1</v>
      </c>
      <c r="AB301" s="349">
        <v>30</v>
      </c>
      <c r="AC301" s="349">
        <v>17</v>
      </c>
      <c r="AD301" s="349">
        <v>7936</v>
      </c>
      <c r="AE301" s="349">
        <v>44</v>
      </c>
      <c r="AF301" s="349">
        <v>20</v>
      </c>
      <c r="AG301" s="349">
        <v>64</v>
      </c>
    </row>
    <row r="302" spans="1:33" x14ac:dyDescent="0.3">
      <c r="A302" s="342" t="s">
        <v>658</v>
      </c>
      <c r="B302" s="342" t="s">
        <v>659</v>
      </c>
      <c r="C302" s="349">
        <v>2190</v>
      </c>
      <c r="D302" s="349">
        <v>2</v>
      </c>
      <c r="E302" s="349">
        <v>31</v>
      </c>
      <c r="F302" s="349">
        <v>322</v>
      </c>
      <c r="G302" s="349">
        <v>141</v>
      </c>
      <c r="H302" s="346">
        <v>2686</v>
      </c>
      <c r="I302" s="346">
        <v>2545</v>
      </c>
      <c r="J302" s="349">
        <v>0</v>
      </c>
      <c r="K302" s="347">
        <v>87.13</v>
      </c>
      <c r="L302" s="347">
        <v>83.69</v>
      </c>
      <c r="M302" s="347">
        <v>2.76</v>
      </c>
      <c r="N302" s="347">
        <v>89.01</v>
      </c>
      <c r="O302" s="348">
        <v>1930</v>
      </c>
      <c r="P302" s="347">
        <v>83.46</v>
      </c>
      <c r="Q302" s="347">
        <v>75.38</v>
      </c>
      <c r="R302" s="347">
        <v>20.37</v>
      </c>
      <c r="S302" s="347">
        <v>103.53</v>
      </c>
      <c r="T302" s="348">
        <v>277</v>
      </c>
      <c r="U302" s="347">
        <v>119.39</v>
      </c>
      <c r="V302" s="348">
        <v>189</v>
      </c>
      <c r="W302" s="347">
        <v>87.12</v>
      </c>
      <c r="X302" s="348">
        <v>4</v>
      </c>
      <c r="Y302" s="349">
        <v>0</v>
      </c>
      <c r="Z302" s="349">
        <v>0</v>
      </c>
      <c r="AA302" s="349">
        <v>1</v>
      </c>
      <c r="AB302" s="349">
        <v>11</v>
      </c>
      <c r="AC302" s="349">
        <v>4</v>
      </c>
      <c r="AD302" s="349">
        <v>2104</v>
      </c>
      <c r="AE302" s="349">
        <v>24</v>
      </c>
      <c r="AF302" s="349">
        <v>7</v>
      </c>
      <c r="AG302" s="349">
        <v>31</v>
      </c>
    </row>
    <row r="303" spans="1:33" x14ac:dyDescent="0.3">
      <c r="A303" s="342" t="s">
        <v>660</v>
      </c>
      <c r="B303" s="342" t="s">
        <v>661</v>
      </c>
      <c r="C303" s="349">
        <v>965</v>
      </c>
      <c r="D303" s="349">
        <v>0</v>
      </c>
      <c r="E303" s="349">
        <v>198</v>
      </c>
      <c r="F303" s="349">
        <v>371</v>
      </c>
      <c r="G303" s="349">
        <v>405</v>
      </c>
      <c r="H303" s="346">
        <v>1939</v>
      </c>
      <c r="I303" s="346">
        <v>1534</v>
      </c>
      <c r="J303" s="349">
        <v>0</v>
      </c>
      <c r="K303" s="347">
        <v>93.2</v>
      </c>
      <c r="L303" s="347">
        <v>91.57</v>
      </c>
      <c r="M303" s="347">
        <v>5.72</v>
      </c>
      <c r="N303" s="347">
        <v>96.94</v>
      </c>
      <c r="O303" s="348">
        <v>549</v>
      </c>
      <c r="P303" s="347">
        <v>102.74</v>
      </c>
      <c r="Q303" s="347">
        <v>85.44</v>
      </c>
      <c r="R303" s="347">
        <v>41.31</v>
      </c>
      <c r="S303" s="347">
        <v>143.97</v>
      </c>
      <c r="T303" s="348">
        <v>482</v>
      </c>
      <c r="U303" s="347">
        <v>110.77</v>
      </c>
      <c r="V303" s="348">
        <v>349</v>
      </c>
      <c r="W303" s="347">
        <v>0</v>
      </c>
      <c r="X303" s="348">
        <v>0</v>
      </c>
      <c r="Y303" s="349">
        <v>0</v>
      </c>
      <c r="Z303" s="349">
        <v>0</v>
      </c>
      <c r="AA303" s="349">
        <v>0</v>
      </c>
      <c r="AB303" s="349">
        <v>18</v>
      </c>
      <c r="AC303" s="349">
        <v>0</v>
      </c>
      <c r="AD303" s="349">
        <v>955</v>
      </c>
      <c r="AE303" s="349">
        <v>23</v>
      </c>
      <c r="AF303" s="349">
        <v>0</v>
      </c>
      <c r="AG303" s="349">
        <v>23</v>
      </c>
    </row>
    <row r="304" spans="1:33" x14ac:dyDescent="0.3">
      <c r="A304" s="342" t="s">
        <v>662</v>
      </c>
      <c r="B304" s="342" t="s">
        <v>663</v>
      </c>
      <c r="C304" s="349">
        <v>4297</v>
      </c>
      <c r="D304" s="349">
        <v>0</v>
      </c>
      <c r="E304" s="349">
        <v>113</v>
      </c>
      <c r="F304" s="349">
        <v>422</v>
      </c>
      <c r="G304" s="349">
        <v>341</v>
      </c>
      <c r="H304" s="346">
        <v>5173</v>
      </c>
      <c r="I304" s="346">
        <v>4832</v>
      </c>
      <c r="J304" s="349">
        <v>0</v>
      </c>
      <c r="K304" s="347">
        <v>80.150000000000006</v>
      </c>
      <c r="L304" s="347">
        <v>80.02</v>
      </c>
      <c r="M304" s="347">
        <v>4.5599999999999996</v>
      </c>
      <c r="N304" s="347">
        <v>81.489999999999995</v>
      </c>
      <c r="O304" s="348">
        <v>3784</v>
      </c>
      <c r="P304" s="347">
        <v>77.599999999999994</v>
      </c>
      <c r="Q304" s="347">
        <v>73.430000000000007</v>
      </c>
      <c r="R304" s="347">
        <v>38.28</v>
      </c>
      <c r="S304" s="347">
        <v>115.89</v>
      </c>
      <c r="T304" s="348">
        <v>485</v>
      </c>
      <c r="U304" s="347">
        <v>102.1</v>
      </c>
      <c r="V304" s="348">
        <v>488</v>
      </c>
      <c r="W304" s="347">
        <v>117.07</v>
      </c>
      <c r="X304" s="348">
        <v>27</v>
      </c>
      <c r="Y304" s="349">
        <v>0</v>
      </c>
      <c r="Z304" s="349">
        <v>5</v>
      </c>
      <c r="AA304" s="349">
        <v>0</v>
      </c>
      <c r="AB304" s="349">
        <v>11</v>
      </c>
      <c r="AC304" s="349">
        <v>4</v>
      </c>
      <c r="AD304" s="349">
        <v>4244</v>
      </c>
      <c r="AE304" s="349">
        <v>17</v>
      </c>
      <c r="AF304" s="349">
        <v>6</v>
      </c>
      <c r="AG304" s="349">
        <v>23</v>
      </c>
    </row>
    <row r="305" spans="1:33" x14ac:dyDescent="0.3">
      <c r="A305" s="345" t="s">
        <v>800</v>
      </c>
      <c r="B305" s="345" t="s">
        <v>798</v>
      </c>
      <c r="C305" s="330">
        <v>11696</v>
      </c>
      <c r="D305" s="330">
        <v>9</v>
      </c>
      <c r="E305" s="330">
        <v>482</v>
      </c>
      <c r="F305" s="330">
        <v>2281</v>
      </c>
      <c r="G305" s="330">
        <v>2468</v>
      </c>
      <c r="H305" s="330">
        <v>16936</v>
      </c>
      <c r="I305" s="330">
        <v>14468</v>
      </c>
      <c r="J305" s="330">
        <v>63</v>
      </c>
      <c r="K305" s="330">
        <v>98.34</v>
      </c>
      <c r="L305" s="330">
        <v>98.04</v>
      </c>
      <c r="M305" s="330">
        <v>6.37</v>
      </c>
      <c r="N305" s="330">
        <v>102.35</v>
      </c>
      <c r="O305" s="333">
        <v>9341</v>
      </c>
      <c r="P305" s="330">
        <v>96.13</v>
      </c>
      <c r="Q305" s="330">
        <v>89.37</v>
      </c>
      <c r="R305" s="330">
        <v>39.159999999999997</v>
      </c>
      <c r="S305" s="330">
        <v>126.21</v>
      </c>
      <c r="T305" s="333">
        <v>2624</v>
      </c>
      <c r="U305" s="330">
        <v>127.54</v>
      </c>
      <c r="V305" s="333">
        <v>1936</v>
      </c>
      <c r="W305" s="330">
        <v>173.37</v>
      </c>
      <c r="X305" s="333">
        <v>78</v>
      </c>
      <c r="Y305" s="330">
        <v>100</v>
      </c>
      <c r="Z305" s="330">
        <v>24</v>
      </c>
      <c r="AA305" s="330">
        <v>19</v>
      </c>
      <c r="AB305" s="330">
        <v>70</v>
      </c>
      <c r="AC305" s="330">
        <v>32</v>
      </c>
      <c r="AD305" s="330">
        <v>11429</v>
      </c>
      <c r="AE305" s="330">
        <v>77</v>
      </c>
      <c r="AF305" s="330">
        <v>60</v>
      </c>
      <c r="AG305" s="330">
        <v>137</v>
      </c>
    </row>
    <row r="306" spans="1:33" x14ac:dyDescent="0.3">
      <c r="A306" s="342" t="s">
        <v>664</v>
      </c>
      <c r="B306" s="342" t="s">
        <v>665</v>
      </c>
      <c r="C306" s="349">
        <v>6161</v>
      </c>
      <c r="D306" s="349">
        <v>2</v>
      </c>
      <c r="E306" s="349">
        <v>142</v>
      </c>
      <c r="F306" s="349">
        <v>159</v>
      </c>
      <c r="G306" s="349">
        <v>931</v>
      </c>
      <c r="H306" s="346">
        <v>7395</v>
      </c>
      <c r="I306" s="346">
        <v>6464</v>
      </c>
      <c r="J306" s="349">
        <v>25</v>
      </c>
      <c r="K306" s="347">
        <v>111.26</v>
      </c>
      <c r="L306" s="347">
        <v>113.55</v>
      </c>
      <c r="M306" s="347">
        <v>4.74</v>
      </c>
      <c r="N306" s="347">
        <v>113.26</v>
      </c>
      <c r="O306" s="348">
        <v>4906</v>
      </c>
      <c r="P306" s="347">
        <v>98.77</v>
      </c>
      <c r="Q306" s="347">
        <v>92.25</v>
      </c>
      <c r="R306" s="347">
        <v>62.12</v>
      </c>
      <c r="S306" s="347">
        <v>157.30000000000001</v>
      </c>
      <c r="T306" s="348">
        <v>294</v>
      </c>
      <c r="U306" s="347">
        <v>172.73</v>
      </c>
      <c r="V306" s="348">
        <v>1153</v>
      </c>
      <c r="W306" s="347">
        <v>152.44999999999999</v>
      </c>
      <c r="X306" s="348">
        <v>2</v>
      </c>
      <c r="Y306" s="349">
        <v>109</v>
      </c>
      <c r="Z306" s="349">
        <v>2</v>
      </c>
      <c r="AA306" s="349">
        <v>6</v>
      </c>
      <c r="AB306" s="349">
        <v>169</v>
      </c>
      <c r="AC306" s="349">
        <v>4</v>
      </c>
      <c r="AD306" s="349">
        <v>6021</v>
      </c>
      <c r="AE306" s="349">
        <v>51</v>
      </c>
      <c r="AF306" s="349">
        <v>49</v>
      </c>
      <c r="AG306" s="349">
        <v>100</v>
      </c>
    </row>
    <row r="307" spans="1:33" x14ac:dyDescent="0.3">
      <c r="A307" s="342" t="s">
        <v>666</v>
      </c>
      <c r="B307" s="342" t="s">
        <v>667</v>
      </c>
      <c r="C307" s="349">
        <v>11005</v>
      </c>
      <c r="D307" s="349">
        <v>0</v>
      </c>
      <c r="E307" s="349">
        <v>418</v>
      </c>
      <c r="F307" s="349">
        <v>1116</v>
      </c>
      <c r="G307" s="349">
        <v>844</v>
      </c>
      <c r="H307" s="346">
        <v>13383</v>
      </c>
      <c r="I307" s="346">
        <v>12539</v>
      </c>
      <c r="J307" s="349">
        <v>0</v>
      </c>
      <c r="K307" s="347">
        <v>91.77</v>
      </c>
      <c r="L307" s="347">
        <v>91.99</v>
      </c>
      <c r="M307" s="347">
        <v>4.9000000000000004</v>
      </c>
      <c r="N307" s="347">
        <v>93.23</v>
      </c>
      <c r="O307" s="348">
        <v>8923</v>
      </c>
      <c r="P307" s="347">
        <v>87.41</v>
      </c>
      <c r="Q307" s="347">
        <v>84.74</v>
      </c>
      <c r="R307" s="347">
        <v>43.26</v>
      </c>
      <c r="S307" s="347">
        <v>130.27000000000001</v>
      </c>
      <c r="T307" s="348">
        <v>1515</v>
      </c>
      <c r="U307" s="347">
        <v>131.62</v>
      </c>
      <c r="V307" s="348">
        <v>1851</v>
      </c>
      <c r="W307" s="347">
        <v>107.26</v>
      </c>
      <c r="X307" s="348">
        <v>19</v>
      </c>
      <c r="Y307" s="349">
        <v>37</v>
      </c>
      <c r="Z307" s="349">
        <v>8</v>
      </c>
      <c r="AA307" s="349">
        <v>12</v>
      </c>
      <c r="AB307" s="349">
        <v>117</v>
      </c>
      <c r="AC307" s="349">
        <v>8</v>
      </c>
      <c r="AD307" s="349">
        <v>10991</v>
      </c>
      <c r="AE307" s="349">
        <v>123</v>
      </c>
      <c r="AF307" s="349">
        <v>69</v>
      </c>
      <c r="AG307" s="349">
        <v>192</v>
      </c>
    </row>
    <row r="308" spans="1:33" x14ac:dyDescent="0.3">
      <c r="A308" s="342" t="s">
        <v>668</v>
      </c>
      <c r="B308" s="342" t="s">
        <v>669</v>
      </c>
      <c r="C308" s="349">
        <v>12326</v>
      </c>
      <c r="D308" s="349">
        <v>842</v>
      </c>
      <c r="E308" s="349">
        <v>1350</v>
      </c>
      <c r="F308" s="349">
        <v>759</v>
      </c>
      <c r="G308" s="349">
        <v>536</v>
      </c>
      <c r="H308" s="346">
        <v>15813</v>
      </c>
      <c r="I308" s="346">
        <v>15277</v>
      </c>
      <c r="J308" s="349">
        <v>626</v>
      </c>
      <c r="K308" s="347">
        <v>132.97</v>
      </c>
      <c r="L308" s="347">
        <v>147.63999999999999</v>
      </c>
      <c r="M308" s="347">
        <v>12.8</v>
      </c>
      <c r="N308" s="347">
        <v>143.55000000000001</v>
      </c>
      <c r="O308" s="348">
        <v>9587</v>
      </c>
      <c r="P308" s="347">
        <v>113.97</v>
      </c>
      <c r="Q308" s="347">
        <v>114.67</v>
      </c>
      <c r="R308" s="347">
        <v>76.87</v>
      </c>
      <c r="S308" s="347">
        <v>183.12</v>
      </c>
      <c r="T308" s="348">
        <v>1872</v>
      </c>
      <c r="U308" s="347">
        <v>207.72</v>
      </c>
      <c r="V308" s="348">
        <v>757</v>
      </c>
      <c r="W308" s="347">
        <v>174.82</v>
      </c>
      <c r="X308" s="348">
        <v>2</v>
      </c>
      <c r="Y308" s="349">
        <v>5</v>
      </c>
      <c r="Z308" s="349">
        <v>0</v>
      </c>
      <c r="AA308" s="349">
        <v>22</v>
      </c>
      <c r="AB308" s="349">
        <v>0</v>
      </c>
      <c r="AC308" s="349">
        <v>13</v>
      </c>
      <c r="AD308" s="349">
        <v>10604</v>
      </c>
      <c r="AE308" s="349">
        <v>198</v>
      </c>
      <c r="AF308" s="349">
        <v>57</v>
      </c>
      <c r="AG308" s="349">
        <v>255</v>
      </c>
    </row>
    <row r="309" spans="1:33" x14ac:dyDescent="0.3">
      <c r="A309" s="342" t="s">
        <v>670</v>
      </c>
      <c r="B309" s="342" t="s">
        <v>671</v>
      </c>
      <c r="C309" s="349">
        <v>2535</v>
      </c>
      <c r="D309" s="349">
        <v>3</v>
      </c>
      <c r="E309" s="349">
        <v>920</v>
      </c>
      <c r="F309" s="349">
        <v>831</v>
      </c>
      <c r="G309" s="349">
        <v>398</v>
      </c>
      <c r="H309" s="346">
        <v>4687</v>
      </c>
      <c r="I309" s="346">
        <v>4289</v>
      </c>
      <c r="J309" s="349">
        <v>0</v>
      </c>
      <c r="K309" s="347">
        <v>80.180000000000007</v>
      </c>
      <c r="L309" s="347">
        <v>76.680000000000007</v>
      </c>
      <c r="M309" s="347">
        <v>6.57</v>
      </c>
      <c r="N309" s="347">
        <v>83.93</v>
      </c>
      <c r="O309" s="348">
        <v>1719</v>
      </c>
      <c r="P309" s="347">
        <v>92.28</v>
      </c>
      <c r="Q309" s="347">
        <v>71.099999999999994</v>
      </c>
      <c r="R309" s="347">
        <v>87.2</v>
      </c>
      <c r="S309" s="347">
        <v>179.26</v>
      </c>
      <c r="T309" s="348">
        <v>1576</v>
      </c>
      <c r="U309" s="347">
        <v>100.52</v>
      </c>
      <c r="V309" s="348">
        <v>721</v>
      </c>
      <c r="W309" s="347">
        <v>0</v>
      </c>
      <c r="X309" s="348">
        <v>0</v>
      </c>
      <c r="Y309" s="349">
        <v>0</v>
      </c>
      <c r="Z309" s="349">
        <v>0</v>
      </c>
      <c r="AA309" s="349">
        <v>10</v>
      </c>
      <c r="AB309" s="349">
        <v>78</v>
      </c>
      <c r="AC309" s="349">
        <v>3</v>
      </c>
      <c r="AD309" s="349">
        <v>2480</v>
      </c>
      <c r="AE309" s="349">
        <v>44</v>
      </c>
      <c r="AF309" s="349">
        <v>7</v>
      </c>
      <c r="AG309" s="349">
        <v>51</v>
      </c>
    </row>
    <row r="310" spans="1:33" x14ac:dyDescent="0.3">
      <c r="A310" s="342" t="s">
        <v>672</v>
      </c>
      <c r="B310" s="342" t="s">
        <v>673</v>
      </c>
      <c r="C310" s="349">
        <v>22567</v>
      </c>
      <c r="D310" s="349">
        <v>0</v>
      </c>
      <c r="E310" s="349">
        <v>641</v>
      </c>
      <c r="F310" s="349">
        <v>2966</v>
      </c>
      <c r="G310" s="349">
        <v>2104</v>
      </c>
      <c r="H310" s="346">
        <v>28278</v>
      </c>
      <c r="I310" s="346">
        <v>26174</v>
      </c>
      <c r="J310" s="349">
        <v>16</v>
      </c>
      <c r="K310" s="347">
        <v>100.54</v>
      </c>
      <c r="L310" s="347">
        <v>98.64</v>
      </c>
      <c r="M310" s="347">
        <v>4.05</v>
      </c>
      <c r="N310" s="347">
        <v>102.91</v>
      </c>
      <c r="O310" s="348">
        <v>18583</v>
      </c>
      <c r="P310" s="347">
        <v>95.01</v>
      </c>
      <c r="Q310" s="347">
        <v>88.55</v>
      </c>
      <c r="R310" s="347">
        <v>27.46</v>
      </c>
      <c r="S310" s="347">
        <v>121.6</v>
      </c>
      <c r="T310" s="348">
        <v>3180</v>
      </c>
      <c r="U310" s="347">
        <v>134.09</v>
      </c>
      <c r="V310" s="348">
        <v>3283</v>
      </c>
      <c r="W310" s="347">
        <v>170.24</v>
      </c>
      <c r="X310" s="348">
        <v>74</v>
      </c>
      <c r="Y310" s="349">
        <v>75</v>
      </c>
      <c r="Z310" s="349">
        <v>11</v>
      </c>
      <c r="AA310" s="349">
        <v>54</v>
      </c>
      <c r="AB310" s="349">
        <v>207</v>
      </c>
      <c r="AC310" s="349">
        <v>36</v>
      </c>
      <c r="AD310" s="349">
        <v>21860</v>
      </c>
      <c r="AE310" s="349">
        <v>145</v>
      </c>
      <c r="AF310" s="349">
        <v>139</v>
      </c>
      <c r="AG310" s="349">
        <v>284</v>
      </c>
    </row>
    <row r="311" spans="1:33" x14ac:dyDescent="0.3">
      <c r="A311" s="342" t="s">
        <v>674</v>
      </c>
      <c r="B311" s="342" t="s">
        <v>675</v>
      </c>
      <c r="C311" s="349">
        <v>2556</v>
      </c>
      <c r="D311" s="349">
        <v>0</v>
      </c>
      <c r="E311" s="349">
        <v>227</v>
      </c>
      <c r="F311" s="349">
        <v>240</v>
      </c>
      <c r="G311" s="349">
        <v>531</v>
      </c>
      <c r="H311" s="346">
        <v>3554</v>
      </c>
      <c r="I311" s="346">
        <v>3023</v>
      </c>
      <c r="J311" s="349">
        <v>0</v>
      </c>
      <c r="K311" s="347">
        <v>114.87</v>
      </c>
      <c r="L311" s="347">
        <v>111.29</v>
      </c>
      <c r="M311" s="347">
        <v>7.9</v>
      </c>
      <c r="N311" s="347">
        <v>122.16</v>
      </c>
      <c r="O311" s="348">
        <v>1782</v>
      </c>
      <c r="P311" s="347">
        <v>99.72</v>
      </c>
      <c r="Q311" s="347">
        <v>93.48</v>
      </c>
      <c r="R311" s="347">
        <v>43.05</v>
      </c>
      <c r="S311" s="347">
        <v>139.03</v>
      </c>
      <c r="T311" s="348">
        <v>415</v>
      </c>
      <c r="U311" s="347">
        <v>168.81</v>
      </c>
      <c r="V311" s="348">
        <v>616</v>
      </c>
      <c r="W311" s="347">
        <v>0</v>
      </c>
      <c r="X311" s="348">
        <v>0</v>
      </c>
      <c r="Y311" s="349">
        <v>0</v>
      </c>
      <c r="Z311" s="349">
        <v>0</v>
      </c>
      <c r="AA311" s="349">
        <v>6</v>
      </c>
      <c r="AB311" s="349">
        <v>76</v>
      </c>
      <c r="AC311" s="349">
        <v>14</v>
      </c>
      <c r="AD311" s="349">
        <v>2347</v>
      </c>
      <c r="AE311" s="349">
        <v>30</v>
      </c>
      <c r="AF311" s="349">
        <v>7</v>
      </c>
      <c r="AG311" s="349">
        <v>37</v>
      </c>
    </row>
    <row r="312" spans="1:33" x14ac:dyDescent="0.3">
      <c r="A312" s="342" t="s">
        <v>676</v>
      </c>
      <c r="B312" s="342" t="s">
        <v>677</v>
      </c>
      <c r="C312" s="349">
        <v>6783</v>
      </c>
      <c r="D312" s="349">
        <v>16</v>
      </c>
      <c r="E312" s="349">
        <v>188</v>
      </c>
      <c r="F312" s="349">
        <v>860</v>
      </c>
      <c r="G312" s="349">
        <v>363</v>
      </c>
      <c r="H312" s="346">
        <v>8210</v>
      </c>
      <c r="I312" s="346">
        <v>7847</v>
      </c>
      <c r="J312" s="349">
        <v>0</v>
      </c>
      <c r="K312" s="347">
        <v>122.69</v>
      </c>
      <c r="L312" s="347">
        <v>123.86</v>
      </c>
      <c r="M312" s="347">
        <v>5.39</v>
      </c>
      <c r="N312" s="347">
        <v>126.84</v>
      </c>
      <c r="O312" s="348">
        <v>6235</v>
      </c>
      <c r="P312" s="347">
        <v>109.71</v>
      </c>
      <c r="Q312" s="347">
        <v>106.99</v>
      </c>
      <c r="R312" s="347">
        <v>27.31</v>
      </c>
      <c r="S312" s="347">
        <v>136.47999999999999</v>
      </c>
      <c r="T312" s="348">
        <v>1044</v>
      </c>
      <c r="U312" s="347">
        <v>182.44</v>
      </c>
      <c r="V312" s="348">
        <v>331</v>
      </c>
      <c r="W312" s="347">
        <v>146.22</v>
      </c>
      <c r="X312" s="348">
        <v>1</v>
      </c>
      <c r="Y312" s="349">
        <v>0</v>
      </c>
      <c r="Z312" s="349">
        <v>2</v>
      </c>
      <c r="AA312" s="349">
        <v>5</v>
      </c>
      <c r="AB312" s="349">
        <v>19</v>
      </c>
      <c r="AC312" s="349">
        <v>10</v>
      </c>
      <c r="AD312" s="349">
        <v>6780</v>
      </c>
      <c r="AE312" s="349">
        <v>40</v>
      </c>
      <c r="AF312" s="349">
        <v>2</v>
      </c>
      <c r="AG312" s="349">
        <v>42</v>
      </c>
    </row>
    <row r="313" spans="1:33" x14ac:dyDescent="0.3">
      <c r="A313" s="342" t="s">
        <v>678</v>
      </c>
      <c r="B313" s="342" t="s">
        <v>679</v>
      </c>
      <c r="C313" s="349">
        <v>17951</v>
      </c>
      <c r="D313" s="349">
        <v>18</v>
      </c>
      <c r="E313" s="349">
        <v>1350</v>
      </c>
      <c r="F313" s="349">
        <v>3792</v>
      </c>
      <c r="G313" s="349">
        <v>460</v>
      </c>
      <c r="H313" s="346">
        <v>23571</v>
      </c>
      <c r="I313" s="346">
        <v>23111</v>
      </c>
      <c r="J313" s="349">
        <v>1</v>
      </c>
      <c r="K313" s="347">
        <v>86.93</v>
      </c>
      <c r="L313" s="347">
        <v>84.09</v>
      </c>
      <c r="M313" s="347">
        <v>8.51</v>
      </c>
      <c r="N313" s="347">
        <v>89.82</v>
      </c>
      <c r="O313" s="348">
        <v>13803</v>
      </c>
      <c r="P313" s="347">
        <v>87.34</v>
      </c>
      <c r="Q313" s="347">
        <v>75.83</v>
      </c>
      <c r="R313" s="347">
        <v>28.39</v>
      </c>
      <c r="S313" s="347">
        <v>114.25</v>
      </c>
      <c r="T313" s="348">
        <v>3804</v>
      </c>
      <c r="U313" s="347">
        <v>108.68</v>
      </c>
      <c r="V313" s="348">
        <v>2211</v>
      </c>
      <c r="W313" s="347">
        <v>149.55000000000001</v>
      </c>
      <c r="X313" s="348">
        <v>177</v>
      </c>
      <c r="Y313" s="349">
        <v>0</v>
      </c>
      <c r="Z313" s="349">
        <v>44</v>
      </c>
      <c r="AA313" s="349">
        <v>4</v>
      </c>
      <c r="AB313" s="349">
        <v>29</v>
      </c>
      <c r="AC313" s="349">
        <v>1</v>
      </c>
      <c r="AD313" s="349">
        <v>15912</v>
      </c>
      <c r="AE313" s="349">
        <v>137</v>
      </c>
      <c r="AF313" s="349">
        <v>162</v>
      </c>
      <c r="AG313" s="349">
        <v>299</v>
      </c>
    </row>
    <row r="314" spans="1:33" x14ac:dyDescent="0.3">
      <c r="A314" s="342" t="s">
        <v>680</v>
      </c>
      <c r="B314" s="342" t="s">
        <v>681</v>
      </c>
      <c r="C314" s="349">
        <v>1114</v>
      </c>
      <c r="D314" s="349">
        <v>4</v>
      </c>
      <c r="E314" s="349">
        <v>189</v>
      </c>
      <c r="F314" s="349">
        <v>342</v>
      </c>
      <c r="G314" s="349">
        <v>218</v>
      </c>
      <c r="H314" s="346">
        <v>1867</v>
      </c>
      <c r="I314" s="346">
        <v>1649</v>
      </c>
      <c r="J314" s="349">
        <v>1</v>
      </c>
      <c r="K314" s="347">
        <v>132.01</v>
      </c>
      <c r="L314" s="347">
        <v>120.26</v>
      </c>
      <c r="M314" s="347">
        <v>9.06</v>
      </c>
      <c r="N314" s="347">
        <v>140</v>
      </c>
      <c r="O314" s="348">
        <v>953</v>
      </c>
      <c r="P314" s="347">
        <v>103.56</v>
      </c>
      <c r="Q314" s="347">
        <v>98.1</v>
      </c>
      <c r="R314" s="347">
        <v>32.020000000000003</v>
      </c>
      <c r="S314" s="347">
        <v>135.58000000000001</v>
      </c>
      <c r="T314" s="348">
        <v>248</v>
      </c>
      <c r="U314" s="347">
        <v>212.01</v>
      </c>
      <c r="V314" s="348">
        <v>32</v>
      </c>
      <c r="W314" s="347">
        <v>156.47999999999999</v>
      </c>
      <c r="X314" s="348">
        <v>27</v>
      </c>
      <c r="Y314" s="349">
        <v>1</v>
      </c>
      <c r="Z314" s="349">
        <v>0</v>
      </c>
      <c r="AA314" s="349">
        <v>0</v>
      </c>
      <c r="AB314" s="349">
        <v>0</v>
      </c>
      <c r="AC314" s="349">
        <v>9</v>
      </c>
      <c r="AD314" s="349">
        <v>1004</v>
      </c>
      <c r="AE314" s="349">
        <v>1</v>
      </c>
      <c r="AF314" s="349">
        <v>4</v>
      </c>
      <c r="AG314" s="349">
        <v>5</v>
      </c>
    </row>
    <row r="315" spans="1:33" x14ac:dyDescent="0.3">
      <c r="A315" s="342" t="s">
        <v>682</v>
      </c>
      <c r="B315" s="342" t="s">
        <v>683</v>
      </c>
      <c r="C315" s="349">
        <v>2072</v>
      </c>
      <c r="D315" s="349">
        <v>4</v>
      </c>
      <c r="E315" s="349">
        <v>169</v>
      </c>
      <c r="F315" s="349">
        <v>253</v>
      </c>
      <c r="G315" s="349">
        <v>1339</v>
      </c>
      <c r="H315" s="346">
        <v>3837</v>
      </c>
      <c r="I315" s="346">
        <v>2498</v>
      </c>
      <c r="J315" s="349">
        <v>0</v>
      </c>
      <c r="K315" s="347">
        <v>132.69999999999999</v>
      </c>
      <c r="L315" s="347">
        <v>131.13</v>
      </c>
      <c r="M315" s="347">
        <v>7.64</v>
      </c>
      <c r="N315" s="347">
        <v>139.63</v>
      </c>
      <c r="O315" s="348">
        <v>1851</v>
      </c>
      <c r="P315" s="347">
        <v>112.58</v>
      </c>
      <c r="Q315" s="347">
        <v>112.71</v>
      </c>
      <c r="R315" s="347">
        <v>44.59</v>
      </c>
      <c r="S315" s="347">
        <v>155.54</v>
      </c>
      <c r="T315" s="348">
        <v>299</v>
      </c>
      <c r="U315" s="347">
        <v>170.96</v>
      </c>
      <c r="V315" s="348">
        <v>172</v>
      </c>
      <c r="W315" s="347">
        <v>152.59</v>
      </c>
      <c r="X315" s="348">
        <v>55</v>
      </c>
      <c r="Y315" s="349">
        <v>0</v>
      </c>
      <c r="Z315" s="349">
        <v>1</v>
      </c>
      <c r="AA315" s="349">
        <v>2</v>
      </c>
      <c r="AB315" s="349">
        <v>121</v>
      </c>
      <c r="AC315" s="349">
        <v>21</v>
      </c>
      <c r="AD315" s="349">
        <v>2043</v>
      </c>
      <c r="AE315" s="349">
        <v>18</v>
      </c>
      <c r="AF315" s="349">
        <v>7</v>
      </c>
      <c r="AG315" s="349">
        <v>25</v>
      </c>
    </row>
    <row r="316" spans="1:33" x14ac:dyDescent="0.3">
      <c r="A316" s="342" t="s">
        <v>684</v>
      </c>
      <c r="B316" s="342" t="s">
        <v>685</v>
      </c>
      <c r="C316" s="349">
        <v>4917</v>
      </c>
      <c r="D316" s="349">
        <v>7</v>
      </c>
      <c r="E316" s="349">
        <v>561</v>
      </c>
      <c r="F316" s="349">
        <v>1280</v>
      </c>
      <c r="G316" s="349">
        <v>291</v>
      </c>
      <c r="H316" s="346">
        <v>7056</v>
      </c>
      <c r="I316" s="346">
        <v>6765</v>
      </c>
      <c r="J316" s="349">
        <v>72</v>
      </c>
      <c r="K316" s="347">
        <v>89.17</v>
      </c>
      <c r="L316" s="347">
        <v>85.2</v>
      </c>
      <c r="M316" s="347">
        <v>7.55</v>
      </c>
      <c r="N316" s="347">
        <v>95.8</v>
      </c>
      <c r="O316" s="348">
        <v>4076</v>
      </c>
      <c r="P316" s="347">
        <v>99.61</v>
      </c>
      <c r="Q316" s="347">
        <v>84.86</v>
      </c>
      <c r="R316" s="347">
        <v>63.9</v>
      </c>
      <c r="S316" s="347">
        <v>162.09</v>
      </c>
      <c r="T316" s="348">
        <v>1574</v>
      </c>
      <c r="U316" s="347">
        <v>111.98</v>
      </c>
      <c r="V316" s="348">
        <v>691</v>
      </c>
      <c r="W316" s="347">
        <v>178.68</v>
      </c>
      <c r="X316" s="348">
        <v>36</v>
      </c>
      <c r="Y316" s="349">
        <v>15</v>
      </c>
      <c r="Z316" s="349">
        <v>2</v>
      </c>
      <c r="AA316" s="349">
        <v>2</v>
      </c>
      <c r="AB316" s="349">
        <v>33</v>
      </c>
      <c r="AC316" s="349">
        <v>4</v>
      </c>
      <c r="AD316" s="349">
        <v>4904</v>
      </c>
      <c r="AE316" s="349">
        <v>63</v>
      </c>
      <c r="AF316" s="349">
        <v>6</v>
      </c>
      <c r="AG316" s="349">
        <v>69</v>
      </c>
    </row>
    <row r="317" spans="1:33" x14ac:dyDescent="0.3">
      <c r="A317" s="342" t="s">
        <v>686</v>
      </c>
      <c r="B317" s="342" t="s">
        <v>687</v>
      </c>
      <c r="C317" s="349">
        <v>6201</v>
      </c>
      <c r="D317" s="349">
        <v>46</v>
      </c>
      <c r="E317" s="349">
        <v>482</v>
      </c>
      <c r="F317" s="349">
        <v>946</v>
      </c>
      <c r="G317" s="349">
        <v>482</v>
      </c>
      <c r="H317" s="346">
        <v>8157</v>
      </c>
      <c r="I317" s="346">
        <v>7675</v>
      </c>
      <c r="J317" s="349">
        <v>14</v>
      </c>
      <c r="K317" s="347">
        <v>87.74</v>
      </c>
      <c r="L317" s="347">
        <v>89.09</v>
      </c>
      <c r="M317" s="347">
        <v>5.74</v>
      </c>
      <c r="N317" s="347">
        <v>93.06</v>
      </c>
      <c r="O317" s="348">
        <v>5287</v>
      </c>
      <c r="P317" s="347">
        <v>85.44</v>
      </c>
      <c r="Q317" s="347">
        <v>79.569999999999993</v>
      </c>
      <c r="R317" s="347">
        <v>47.9</v>
      </c>
      <c r="S317" s="347">
        <v>132.61000000000001</v>
      </c>
      <c r="T317" s="348">
        <v>1113</v>
      </c>
      <c r="U317" s="347">
        <v>112.39</v>
      </c>
      <c r="V317" s="348">
        <v>861</v>
      </c>
      <c r="W317" s="347">
        <v>196.1</v>
      </c>
      <c r="X317" s="348">
        <v>162</v>
      </c>
      <c r="Y317" s="349">
        <v>0</v>
      </c>
      <c r="Z317" s="349">
        <v>13</v>
      </c>
      <c r="AA317" s="349">
        <v>3</v>
      </c>
      <c r="AB317" s="349">
        <v>56</v>
      </c>
      <c r="AC317" s="349">
        <v>4</v>
      </c>
      <c r="AD317" s="349">
        <v>6152</v>
      </c>
      <c r="AE317" s="349">
        <v>35</v>
      </c>
      <c r="AF317" s="349">
        <v>9</v>
      </c>
      <c r="AG317" s="349">
        <v>44</v>
      </c>
    </row>
    <row r="318" spans="1:33" x14ac:dyDescent="0.3">
      <c r="A318" s="342" t="s">
        <v>688</v>
      </c>
      <c r="B318" s="342" t="s">
        <v>689</v>
      </c>
      <c r="C318" s="349">
        <v>4087</v>
      </c>
      <c r="D318" s="349">
        <v>2</v>
      </c>
      <c r="E318" s="349">
        <v>227</v>
      </c>
      <c r="F318" s="349">
        <v>557</v>
      </c>
      <c r="G318" s="349">
        <v>168</v>
      </c>
      <c r="H318" s="346">
        <v>5041</v>
      </c>
      <c r="I318" s="346">
        <v>4873</v>
      </c>
      <c r="J318" s="349">
        <v>56</v>
      </c>
      <c r="K318" s="347">
        <v>102.55</v>
      </c>
      <c r="L318" s="347">
        <v>100.98</v>
      </c>
      <c r="M318" s="347">
        <v>6.95</v>
      </c>
      <c r="N318" s="347">
        <v>106.88</v>
      </c>
      <c r="O318" s="348">
        <v>3713</v>
      </c>
      <c r="P318" s="347">
        <v>89.91</v>
      </c>
      <c r="Q318" s="347">
        <v>84.79</v>
      </c>
      <c r="R318" s="347">
        <v>40.57</v>
      </c>
      <c r="S318" s="347">
        <v>130.1</v>
      </c>
      <c r="T318" s="348">
        <v>543</v>
      </c>
      <c r="U318" s="347">
        <v>150.41</v>
      </c>
      <c r="V318" s="348">
        <v>229</v>
      </c>
      <c r="W318" s="347">
        <v>158.77000000000001</v>
      </c>
      <c r="X318" s="348">
        <v>35</v>
      </c>
      <c r="Y318" s="349">
        <v>0</v>
      </c>
      <c r="Z318" s="349">
        <v>3</v>
      </c>
      <c r="AA318" s="349">
        <v>10</v>
      </c>
      <c r="AB318" s="349">
        <v>11</v>
      </c>
      <c r="AC318" s="349">
        <v>2</v>
      </c>
      <c r="AD318" s="349">
        <v>4071</v>
      </c>
      <c r="AE318" s="349">
        <v>9</v>
      </c>
      <c r="AF318" s="349">
        <v>10</v>
      </c>
      <c r="AG318" s="349">
        <v>19</v>
      </c>
    </row>
    <row r="319" spans="1:33" x14ac:dyDescent="0.3">
      <c r="A319" s="342" t="s">
        <v>690</v>
      </c>
      <c r="B319" s="342" t="s">
        <v>691</v>
      </c>
      <c r="C319" s="349">
        <v>8120</v>
      </c>
      <c r="D319" s="349">
        <v>7</v>
      </c>
      <c r="E319" s="349">
        <v>105</v>
      </c>
      <c r="F319" s="349">
        <v>899</v>
      </c>
      <c r="G319" s="349">
        <v>664</v>
      </c>
      <c r="H319" s="346">
        <v>9795</v>
      </c>
      <c r="I319" s="346">
        <v>9131</v>
      </c>
      <c r="J319" s="349">
        <v>3</v>
      </c>
      <c r="K319" s="347">
        <v>95.41</v>
      </c>
      <c r="L319" s="347">
        <v>93.68</v>
      </c>
      <c r="M319" s="347">
        <v>4.3</v>
      </c>
      <c r="N319" s="347">
        <v>97.74</v>
      </c>
      <c r="O319" s="348">
        <v>6947</v>
      </c>
      <c r="P319" s="347">
        <v>86.59</v>
      </c>
      <c r="Q319" s="347">
        <v>83.98</v>
      </c>
      <c r="R319" s="347">
        <v>36.090000000000003</v>
      </c>
      <c r="S319" s="347">
        <v>121.25</v>
      </c>
      <c r="T319" s="348">
        <v>860</v>
      </c>
      <c r="U319" s="347">
        <v>118.89</v>
      </c>
      <c r="V319" s="348">
        <v>1172</v>
      </c>
      <c r="W319" s="347">
        <v>224.36</v>
      </c>
      <c r="X319" s="348">
        <v>84</v>
      </c>
      <c r="Y319" s="349">
        <v>0</v>
      </c>
      <c r="Z319" s="349">
        <v>7</v>
      </c>
      <c r="AA319" s="349">
        <v>0</v>
      </c>
      <c r="AB319" s="349">
        <v>24</v>
      </c>
      <c r="AC319" s="349">
        <v>10</v>
      </c>
      <c r="AD319" s="349">
        <v>8120</v>
      </c>
      <c r="AE319" s="349">
        <v>58</v>
      </c>
      <c r="AF319" s="349">
        <v>15</v>
      </c>
      <c r="AG319" s="349">
        <v>73</v>
      </c>
    </row>
    <row r="320" spans="1:33" x14ac:dyDescent="0.3">
      <c r="A320" s="342" t="s">
        <v>692</v>
      </c>
      <c r="B320" s="342" t="s">
        <v>693</v>
      </c>
      <c r="C320" s="349">
        <v>3263</v>
      </c>
      <c r="D320" s="349">
        <v>0</v>
      </c>
      <c r="E320" s="349">
        <v>344</v>
      </c>
      <c r="F320" s="349">
        <v>387</v>
      </c>
      <c r="G320" s="349">
        <v>275</v>
      </c>
      <c r="H320" s="346">
        <v>4269</v>
      </c>
      <c r="I320" s="346">
        <v>3994</v>
      </c>
      <c r="J320" s="349">
        <v>60</v>
      </c>
      <c r="K320" s="347">
        <v>87.25</v>
      </c>
      <c r="L320" s="347">
        <v>86.72</v>
      </c>
      <c r="M320" s="347">
        <v>4.38</v>
      </c>
      <c r="N320" s="347">
        <v>89.84</v>
      </c>
      <c r="O320" s="348">
        <v>2820</v>
      </c>
      <c r="P320" s="347">
        <v>100.5</v>
      </c>
      <c r="Q320" s="347">
        <v>86.92</v>
      </c>
      <c r="R320" s="347">
        <v>39.299999999999997</v>
      </c>
      <c r="S320" s="347">
        <v>138.72</v>
      </c>
      <c r="T320" s="348">
        <v>580</v>
      </c>
      <c r="U320" s="347">
        <v>110.33</v>
      </c>
      <c r="V320" s="348">
        <v>388</v>
      </c>
      <c r="W320" s="347">
        <v>178.15</v>
      </c>
      <c r="X320" s="348">
        <v>72</v>
      </c>
      <c r="Y320" s="349">
        <v>0</v>
      </c>
      <c r="Z320" s="349">
        <v>3</v>
      </c>
      <c r="AA320" s="349">
        <v>0</v>
      </c>
      <c r="AB320" s="349">
        <v>47</v>
      </c>
      <c r="AC320" s="349">
        <v>7</v>
      </c>
      <c r="AD320" s="349">
        <v>3221</v>
      </c>
      <c r="AE320" s="349">
        <v>10</v>
      </c>
      <c r="AF320" s="349">
        <v>20</v>
      </c>
      <c r="AG320" s="349">
        <v>30</v>
      </c>
    </row>
    <row r="321" spans="1:33" x14ac:dyDescent="0.3">
      <c r="A321" s="342" t="s">
        <v>694</v>
      </c>
      <c r="B321" s="342" t="s">
        <v>695</v>
      </c>
      <c r="C321" s="349">
        <v>4425</v>
      </c>
      <c r="D321" s="349">
        <v>0</v>
      </c>
      <c r="E321" s="349">
        <v>2166</v>
      </c>
      <c r="F321" s="349">
        <v>69</v>
      </c>
      <c r="G321" s="349">
        <v>463</v>
      </c>
      <c r="H321" s="346">
        <v>7123</v>
      </c>
      <c r="I321" s="346">
        <v>6660</v>
      </c>
      <c r="J321" s="349">
        <v>0</v>
      </c>
      <c r="K321" s="347">
        <v>88.89</v>
      </c>
      <c r="L321" s="347">
        <v>86.14</v>
      </c>
      <c r="M321" s="347">
        <v>4.67</v>
      </c>
      <c r="N321" s="347">
        <v>93.37</v>
      </c>
      <c r="O321" s="348">
        <v>4021</v>
      </c>
      <c r="P321" s="347">
        <v>85.84</v>
      </c>
      <c r="Q321" s="347">
        <v>79.53</v>
      </c>
      <c r="R321" s="347">
        <v>17.34</v>
      </c>
      <c r="S321" s="347">
        <v>103.18</v>
      </c>
      <c r="T321" s="348">
        <v>2102</v>
      </c>
      <c r="U321" s="347">
        <v>103.84</v>
      </c>
      <c r="V321" s="348">
        <v>375</v>
      </c>
      <c r="W321" s="347">
        <v>205.85</v>
      </c>
      <c r="X321" s="348">
        <v>126</v>
      </c>
      <c r="Y321" s="349">
        <v>0</v>
      </c>
      <c r="Z321" s="349">
        <v>15</v>
      </c>
      <c r="AA321" s="349">
        <v>38</v>
      </c>
      <c r="AB321" s="349">
        <v>19</v>
      </c>
      <c r="AC321" s="349">
        <v>15</v>
      </c>
      <c r="AD321" s="349">
        <v>4425</v>
      </c>
      <c r="AE321" s="349">
        <v>31</v>
      </c>
      <c r="AF321" s="349">
        <v>79</v>
      </c>
      <c r="AG321" s="349">
        <v>110</v>
      </c>
    </row>
    <row r="322" spans="1:33" x14ac:dyDescent="0.3">
      <c r="A322" s="342" t="s">
        <v>696</v>
      </c>
      <c r="B322" s="342" t="s">
        <v>697</v>
      </c>
      <c r="C322" s="349">
        <v>4002</v>
      </c>
      <c r="D322" s="349">
        <v>6</v>
      </c>
      <c r="E322" s="349">
        <v>297</v>
      </c>
      <c r="F322" s="349">
        <v>721</v>
      </c>
      <c r="G322" s="349">
        <v>410</v>
      </c>
      <c r="H322" s="346">
        <v>5436</v>
      </c>
      <c r="I322" s="346">
        <v>5026</v>
      </c>
      <c r="J322" s="349">
        <v>69</v>
      </c>
      <c r="K322" s="347">
        <v>94.33</v>
      </c>
      <c r="L322" s="347">
        <v>92.57</v>
      </c>
      <c r="M322" s="347">
        <v>7.71</v>
      </c>
      <c r="N322" s="347">
        <v>98.1</v>
      </c>
      <c r="O322" s="348">
        <v>3087</v>
      </c>
      <c r="P322" s="347">
        <v>85.84</v>
      </c>
      <c r="Q322" s="347">
        <v>75.040000000000006</v>
      </c>
      <c r="R322" s="347">
        <v>30.36</v>
      </c>
      <c r="S322" s="347">
        <v>115.68</v>
      </c>
      <c r="T322" s="348">
        <v>701</v>
      </c>
      <c r="U322" s="347">
        <v>108.79</v>
      </c>
      <c r="V322" s="348">
        <v>506</v>
      </c>
      <c r="W322" s="347">
        <v>0</v>
      </c>
      <c r="X322" s="348">
        <v>0</v>
      </c>
      <c r="Y322" s="349">
        <v>0</v>
      </c>
      <c r="Z322" s="349">
        <v>0</v>
      </c>
      <c r="AA322" s="349">
        <v>2</v>
      </c>
      <c r="AB322" s="349">
        <v>0</v>
      </c>
      <c r="AC322" s="349">
        <v>12</v>
      </c>
      <c r="AD322" s="349">
        <v>3661</v>
      </c>
      <c r="AE322" s="349">
        <v>44</v>
      </c>
      <c r="AF322" s="349">
        <v>7</v>
      </c>
      <c r="AG322" s="349">
        <v>51</v>
      </c>
    </row>
  </sheetData>
  <pageMargins left="0.7" right="0.7" top="0.75" bottom="0.75" header="0.3" footer="0.3"/>
  <pageSetup paperSize="9" orientation="portrait" r:id="rId1"/>
  <headerFooter>
    <oddFooter>&amp;C&amp;1#&amp;"Calibri"&amp;12&amp;K0078D7OFFICIAL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D28CE-0B00-43D8-B420-60F52B3ECD0E}">
  <sheetPr codeName="Sheet14">
    <tabColor rgb="FFFFFF00"/>
  </sheetPr>
  <dimension ref="A1:AG322"/>
  <sheetViews>
    <sheetView zoomScale="80" zoomScaleNormal="80" workbookViewId="0">
      <selection sqref="A1:XFD1048576"/>
    </sheetView>
  </sheetViews>
  <sheetFormatPr defaultColWidth="8.7265625" defaultRowHeight="13" x14ac:dyDescent="0.3"/>
  <cols>
    <col min="1" max="2" width="8.7265625" style="344"/>
    <col min="3" max="14" width="8.81640625" style="344" bestFit="1" customWidth="1"/>
    <col min="15" max="15" width="10.453125" style="344" bestFit="1" customWidth="1"/>
    <col min="16" max="19" width="8.81640625" style="344" bestFit="1" customWidth="1"/>
    <col min="20" max="20" width="9.81640625" style="344" bestFit="1" customWidth="1"/>
    <col min="21" max="21" width="8.81640625" style="344" bestFit="1" customWidth="1"/>
    <col min="22" max="22" width="9.81640625" style="344" bestFit="1" customWidth="1"/>
    <col min="23" max="33" width="8.81640625" style="344" bestFit="1" customWidth="1"/>
    <col min="34" max="16384" width="8.7265625" style="344"/>
  </cols>
  <sheetData>
    <row r="1" spans="1:33" x14ac:dyDescent="0.3">
      <c r="A1" s="134"/>
      <c r="B1" s="134"/>
      <c r="C1" s="135" t="s">
        <v>38</v>
      </c>
      <c r="D1" s="135" t="s">
        <v>38</v>
      </c>
      <c r="E1" s="135" t="s">
        <v>38</v>
      </c>
      <c r="F1" s="135" t="s">
        <v>38</v>
      </c>
      <c r="G1" s="135" t="s">
        <v>38</v>
      </c>
      <c r="H1" s="135" t="s">
        <v>38</v>
      </c>
      <c r="I1" s="136" t="s">
        <v>39</v>
      </c>
      <c r="J1" s="136" t="s">
        <v>39</v>
      </c>
      <c r="K1" s="137" t="s">
        <v>40</v>
      </c>
      <c r="L1" s="137" t="s">
        <v>40</v>
      </c>
      <c r="M1" s="137" t="s">
        <v>40</v>
      </c>
      <c r="N1" s="138" t="s">
        <v>40</v>
      </c>
      <c r="O1" s="137" t="s">
        <v>40</v>
      </c>
      <c r="P1" s="139" t="s">
        <v>41</v>
      </c>
      <c r="Q1" s="139" t="s">
        <v>41</v>
      </c>
      <c r="R1" s="139" t="s">
        <v>41</v>
      </c>
      <c r="S1" s="139" t="s">
        <v>41</v>
      </c>
      <c r="T1" s="139" t="s">
        <v>41</v>
      </c>
      <c r="U1" s="140" t="s">
        <v>42</v>
      </c>
      <c r="V1" s="140" t="s">
        <v>42</v>
      </c>
      <c r="W1" s="141" t="s">
        <v>43</v>
      </c>
      <c r="X1" s="141" t="s">
        <v>43</v>
      </c>
      <c r="Y1" s="142" t="s">
        <v>44</v>
      </c>
      <c r="Z1" s="142" t="s">
        <v>44</v>
      </c>
      <c r="AA1" s="142" t="s">
        <v>44</v>
      </c>
      <c r="AB1" s="142" t="s">
        <v>44</v>
      </c>
      <c r="AC1" s="142" t="s">
        <v>44</v>
      </c>
      <c r="AD1" s="143" t="s">
        <v>45</v>
      </c>
      <c r="AE1" s="143" t="s">
        <v>45</v>
      </c>
      <c r="AF1" s="143" t="s">
        <v>45</v>
      </c>
      <c r="AG1" s="143" t="s">
        <v>45</v>
      </c>
    </row>
    <row r="2" spans="1:33" x14ac:dyDescent="0.3">
      <c r="A2" s="145"/>
      <c r="B2" s="146">
        <v>1</v>
      </c>
      <c r="C2" s="146">
        <v>2</v>
      </c>
      <c r="D2" s="146">
        <v>3</v>
      </c>
      <c r="E2" s="146">
        <v>4</v>
      </c>
      <c r="F2" s="146">
        <v>5</v>
      </c>
      <c r="G2" s="146">
        <v>6</v>
      </c>
      <c r="H2" s="146">
        <v>7</v>
      </c>
      <c r="I2" s="146">
        <v>8</v>
      </c>
      <c r="J2" s="146">
        <v>9</v>
      </c>
      <c r="K2" s="146">
        <v>10</v>
      </c>
      <c r="L2" s="146">
        <v>11</v>
      </c>
      <c r="M2" s="146">
        <v>12</v>
      </c>
      <c r="N2" s="146">
        <v>13</v>
      </c>
      <c r="O2" s="146">
        <v>14</v>
      </c>
      <c r="P2" s="146">
        <v>15</v>
      </c>
      <c r="Q2" s="146">
        <v>16</v>
      </c>
      <c r="R2" s="146">
        <v>17</v>
      </c>
      <c r="S2" s="146">
        <v>18</v>
      </c>
      <c r="T2" s="146">
        <v>19</v>
      </c>
      <c r="U2" s="146">
        <v>20</v>
      </c>
      <c r="V2" s="146">
        <v>21</v>
      </c>
      <c r="W2" s="146">
        <v>22</v>
      </c>
      <c r="X2" s="146">
        <v>23</v>
      </c>
      <c r="Y2" s="146">
        <v>24</v>
      </c>
      <c r="Z2" s="146">
        <v>25</v>
      </c>
      <c r="AA2" s="146">
        <v>26</v>
      </c>
      <c r="AB2" s="146">
        <v>27</v>
      </c>
      <c r="AC2" s="146">
        <v>28</v>
      </c>
      <c r="AD2" s="146">
        <v>29</v>
      </c>
      <c r="AE2" s="146">
        <v>30</v>
      </c>
      <c r="AF2" s="146">
        <v>31</v>
      </c>
      <c r="AG2" s="146">
        <v>32</v>
      </c>
    </row>
    <row r="3" spans="1:33" ht="75.5" x14ac:dyDescent="0.3">
      <c r="A3" s="145" t="s">
        <v>46</v>
      </c>
      <c r="B3" s="145" t="s">
        <v>47</v>
      </c>
      <c r="C3" s="147" t="s">
        <v>48</v>
      </c>
      <c r="D3" s="147" t="s">
        <v>49</v>
      </c>
      <c r="E3" s="147" t="s">
        <v>50</v>
      </c>
      <c r="F3" s="147" t="s">
        <v>51</v>
      </c>
      <c r="G3" s="147" t="s">
        <v>52</v>
      </c>
      <c r="H3" s="147" t="s">
        <v>53</v>
      </c>
      <c r="I3" s="148" t="s">
        <v>54</v>
      </c>
      <c r="J3" s="148" t="s">
        <v>55</v>
      </c>
      <c r="K3" s="149" t="s">
        <v>56</v>
      </c>
      <c r="L3" s="149" t="s">
        <v>57</v>
      </c>
      <c r="M3" s="149" t="s">
        <v>58</v>
      </c>
      <c r="N3" s="150" t="s">
        <v>59</v>
      </c>
      <c r="O3" s="149" t="s">
        <v>60</v>
      </c>
      <c r="P3" s="151" t="s">
        <v>61</v>
      </c>
      <c r="Q3" s="151" t="s">
        <v>62</v>
      </c>
      <c r="R3" s="151" t="s">
        <v>58</v>
      </c>
      <c r="S3" s="151" t="s">
        <v>63</v>
      </c>
      <c r="T3" s="151" t="s">
        <v>64</v>
      </c>
      <c r="U3" s="152" t="s">
        <v>65</v>
      </c>
      <c r="V3" s="152" t="s">
        <v>66</v>
      </c>
      <c r="W3" s="153" t="s">
        <v>67</v>
      </c>
      <c r="X3" s="153" t="s">
        <v>68</v>
      </c>
      <c r="Y3" s="154" t="s">
        <v>69</v>
      </c>
      <c r="Z3" s="154" t="s">
        <v>70</v>
      </c>
      <c r="AA3" s="154" t="s">
        <v>71</v>
      </c>
      <c r="AB3" s="154" t="s">
        <v>72</v>
      </c>
      <c r="AC3" s="154" t="s">
        <v>73</v>
      </c>
      <c r="AD3" s="155" t="s">
        <v>74</v>
      </c>
      <c r="AE3" s="155" t="s">
        <v>75</v>
      </c>
      <c r="AF3" s="155" t="s">
        <v>76</v>
      </c>
      <c r="AG3" s="155" t="s">
        <v>77</v>
      </c>
    </row>
    <row r="4" spans="1:33" x14ac:dyDescent="0.3">
      <c r="A4" s="342" t="s">
        <v>13</v>
      </c>
      <c r="B4" s="342" t="s">
        <v>13</v>
      </c>
      <c r="C4" s="346">
        <v>2206601</v>
      </c>
      <c r="D4" s="346">
        <v>10058</v>
      </c>
      <c r="E4" s="346">
        <v>140323</v>
      </c>
      <c r="F4" s="346">
        <v>262072</v>
      </c>
      <c r="G4" s="346">
        <v>223546</v>
      </c>
      <c r="H4" s="346">
        <v>2842600</v>
      </c>
      <c r="I4" s="346">
        <v>2619054</v>
      </c>
      <c r="J4" s="346">
        <v>6692</v>
      </c>
      <c r="K4" s="347">
        <v>98.05</v>
      </c>
      <c r="L4" s="347">
        <v>97.56</v>
      </c>
      <c r="M4" s="347">
        <v>7.25</v>
      </c>
      <c r="N4" s="347">
        <v>102.48</v>
      </c>
      <c r="O4" s="348">
        <v>1826339</v>
      </c>
      <c r="P4" s="347">
        <v>95.6</v>
      </c>
      <c r="Q4" s="347">
        <v>86.71</v>
      </c>
      <c r="R4" s="347">
        <v>46</v>
      </c>
      <c r="S4" s="347">
        <v>139.35</v>
      </c>
      <c r="T4" s="348">
        <v>333961</v>
      </c>
      <c r="U4" s="347">
        <v>136.72</v>
      </c>
      <c r="V4" s="348">
        <v>294526</v>
      </c>
      <c r="W4" s="347">
        <v>181.29</v>
      </c>
      <c r="X4" s="348">
        <v>14731</v>
      </c>
      <c r="Y4" s="346">
        <v>8745</v>
      </c>
      <c r="Z4" s="346">
        <v>4812</v>
      </c>
      <c r="AA4" s="346">
        <v>2816</v>
      </c>
      <c r="AB4" s="346">
        <v>16861</v>
      </c>
      <c r="AC4" s="346">
        <v>5982</v>
      </c>
      <c r="AD4" s="346">
        <v>2150753</v>
      </c>
      <c r="AE4" s="346">
        <v>17696</v>
      </c>
      <c r="AF4" s="346">
        <v>14009</v>
      </c>
      <c r="AG4" s="346">
        <v>31705</v>
      </c>
    </row>
    <row r="5" spans="1:33" x14ac:dyDescent="0.3">
      <c r="A5" s="343" t="s">
        <v>78</v>
      </c>
      <c r="B5" s="343" t="s">
        <v>78</v>
      </c>
      <c r="C5" s="349">
        <v>118801</v>
      </c>
      <c r="D5" s="349">
        <v>567</v>
      </c>
      <c r="E5" s="349">
        <v>9179</v>
      </c>
      <c r="F5" s="349">
        <v>22205</v>
      </c>
      <c r="G5" s="349">
        <v>16161</v>
      </c>
      <c r="H5" s="346">
        <v>166913</v>
      </c>
      <c r="I5" s="346">
        <v>150752</v>
      </c>
      <c r="J5" s="349">
        <v>156</v>
      </c>
      <c r="K5" s="347">
        <v>90.53</v>
      </c>
      <c r="L5" s="347">
        <v>89.08</v>
      </c>
      <c r="M5" s="347">
        <v>5.31</v>
      </c>
      <c r="N5" s="347">
        <v>93.99</v>
      </c>
      <c r="O5" s="348">
        <v>95158</v>
      </c>
      <c r="P5" s="347">
        <v>92.2</v>
      </c>
      <c r="Q5" s="347">
        <v>81.430000000000007</v>
      </c>
      <c r="R5" s="347">
        <v>43.27</v>
      </c>
      <c r="S5" s="347">
        <v>133.36000000000001</v>
      </c>
      <c r="T5" s="348">
        <v>27911</v>
      </c>
      <c r="U5" s="347">
        <v>113</v>
      </c>
      <c r="V5" s="348">
        <v>19062</v>
      </c>
      <c r="W5" s="347">
        <v>165.01</v>
      </c>
      <c r="X5" s="348">
        <v>745</v>
      </c>
      <c r="Y5" s="349">
        <v>763</v>
      </c>
      <c r="Z5" s="349">
        <v>223</v>
      </c>
      <c r="AA5" s="349">
        <v>165</v>
      </c>
      <c r="AB5" s="349">
        <v>1288</v>
      </c>
      <c r="AC5" s="349">
        <v>397</v>
      </c>
      <c r="AD5" s="349">
        <v>116324</v>
      </c>
      <c r="AE5" s="349">
        <v>938</v>
      </c>
      <c r="AF5" s="349">
        <v>651</v>
      </c>
      <c r="AG5" s="349">
        <v>1589</v>
      </c>
    </row>
    <row r="6" spans="1:33" x14ac:dyDescent="0.3">
      <c r="A6" s="343" t="s">
        <v>79</v>
      </c>
      <c r="B6" s="343" t="s">
        <v>79</v>
      </c>
      <c r="C6" s="349">
        <v>226684</v>
      </c>
      <c r="D6" s="349">
        <v>1760</v>
      </c>
      <c r="E6" s="349">
        <v>12055</v>
      </c>
      <c r="F6" s="349">
        <v>27781</v>
      </c>
      <c r="G6" s="349">
        <v>25159</v>
      </c>
      <c r="H6" s="346">
        <v>293439</v>
      </c>
      <c r="I6" s="346">
        <v>268280</v>
      </c>
      <c r="J6" s="349">
        <v>733</v>
      </c>
      <c r="K6" s="347">
        <v>102.05</v>
      </c>
      <c r="L6" s="347">
        <v>101.47</v>
      </c>
      <c r="M6" s="347">
        <v>6.3</v>
      </c>
      <c r="N6" s="347">
        <v>105.44</v>
      </c>
      <c r="O6" s="348">
        <v>184148</v>
      </c>
      <c r="P6" s="347">
        <v>96.99</v>
      </c>
      <c r="Q6" s="347">
        <v>88.68</v>
      </c>
      <c r="R6" s="347">
        <v>41.48</v>
      </c>
      <c r="S6" s="347">
        <v>137.13999999999999</v>
      </c>
      <c r="T6" s="348">
        <v>34295</v>
      </c>
      <c r="U6" s="347">
        <v>144.43</v>
      </c>
      <c r="V6" s="348">
        <v>36610</v>
      </c>
      <c r="W6" s="347">
        <v>198.12</v>
      </c>
      <c r="X6" s="348">
        <v>749</v>
      </c>
      <c r="Y6" s="349">
        <v>861</v>
      </c>
      <c r="Z6" s="349">
        <v>261</v>
      </c>
      <c r="AA6" s="349">
        <v>284</v>
      </c>
      <c r="AB6" s="349">
        <v>2193</v>
      </c>
      <c r="AC6" s="349">
        <v>610</v>
      </c>
      <c r="AD6" s="349">
        <v>224846</v>
      </c>
      <c r="AE6" s="349">
        <v>1887</v>
      </c>
      <c r="AF6" s="349">
        <v>1394</v>
      </c>
      <c r="AG6" s="349">
        <v>3281</v>
      </c>
    </row>
    <row r="7" spans="1:33" x14ac:dyDescent="0.3">
      <c r="A7" s="343" t="s">
        <v>80</v>
      </c>
      <c r="B7" s="343" t="s">
        <v>80</v>
      </c>
      <c r="C7" s="349">
        <v>359727</v>
      </c>
      <c r="D7" s="349">
        <v>5633</v>
      </c>
      <c r="E7" s="349">
        <v>27656</v>
      </c>
      <c r="F7" s="349">
        <v>28060</v>
      </c>
      <c r="G7" s="349">
        <v>53251</v>
      </c>
      <c r="H7" s="346">
        <v>474327</v>
      </c>
      <c r="I7" s="346">
        <v>421076</v>
      </c>
      <c r="J7" s="349">
        <v>2554</v>
      </c>
      <c r="K7" s="347">
        <v>124.82</v>
      </c>
      <c r="L7" s="347">
        <v>128.21</v>
      </c>
      <c r="M7" s="347">
        <v>13.53</v>
      </c>
      <c r="N7" s="347">
        <v>134.79</v>
      </c>
      <c r="O7" s="348">
        <v>288830</v>
      </c>
      <c r="P7" s="347">
        <v>113.9</v>
      </c>
      <c r="Q7" s="347">
        <v>108.7</v>
      </c>
      <c r="R7" s="347">
        <v>61.43</v>
      </c>
      <c r="S7" s="347">
        <v>170.66</v>
      </c>
      <c r="T7" s="348">
        <v>43107</v>
      </c>
      <c r="U7" s="347">
        <v>200.6</v>
      </c>
      <c r="V7" s="348">
        <v>38441</v>
      </c>
      <c r="W7" s="347">
        <v>227.64</v>
      </c>
      <c r="X7" s="348">
        <v>1545</v>
      </c>
      <c r="Y7" s="349">
        <v>1554</v>
      </c>
      <c r="Z7" s="349">
        <v>265</v>
      </c>
      <c r="AA7" s="349">
        <v>410</v>
      </c>
      <c r="AB7" s="349">
        <v>2862</v>
      </c>
      <c r="AC7" s="349">
        <v>1999</v>
      </c>
      <c r="AD7" s="349">
        <v>338609</v>
      </c>
      <c r="AE7" s="349">
        <v>3863</v>
      </c>
      <c r="AF7" s="349">
        <v>2576</v>
      </c>
      <c r="AG7" s="349">
        <v>6439</v>
      </c>
    </row>
    <row r="8" spans="1:33" x14ac:dyDescent="0.3">
      <c r="A8" s="343" t="s">
        <v>81</v>
      </c>
      <c r="B8" s="343" t="s">
        <v>81</v>
      </c>
      <c r="C8" s="349">
        <v>159209</v>
      </c>
      <c r="D8" s="349">
        <v>157</v>
      </c>
      <c r="E8" s="349">
        <v>7115</v>
      </c>
      <c r="F8" s="349">
        <v>16944</v>
      </c>
      <c r="G8" s="349">
        <v>4224</v>
      </c>
      <c r="H8" s="346">
        <v>187649</v>
      </c>
      <c r="I8" s="346">
        <v>183425</v>
      </c>
      <c r="J8" s="349">
        <v>161</v>
      </c>
      <c r="K8" s="347">
        <v>80.52</v>
      </c>
      <c r="L8" s="347">
        <v>80.28</v>
      </c>
      <c r="M8" s="347">
        <v>6.17</v>
      </c>
      <c r="N8" s="347">
        <v>82.52</v>
      </c>
      <c r="O8" s="348">
        <v>139069</v>
      </c>
      <c r="P8" s="347">
        <v>90.55</v>
      </c>
      <c r="Q8" s="347">
        <v>78.010000000000005</v>
      </c>
      <c r="R8" s="347">
        <v>53.53</v>
      </c>
      <c r="S8" s="347">
        <v>139.18</v>
      </c>
      <c r="T8" s="348">
        <v>20292</v>
      </c>
      <c r="U8" s="347">
        <v>100.08</v>
      </c>
      <c r="V8" s="348">
        <v>17599</v>
      </c>
      <c r="W8" s="347">
        <v>163.99</v>
      </c>
      <c r="X8" s="348">
        <v>1957</v>
      </c>
      <c r="Y8" s="349">
        <v>658</v>
      </c>
      <c r="Z8" s="349">
        <v>590</v>
      </c>
      <c r="AA8" s="349">
        <v>84</v>
      </c>
      <c r="AB8" s="349">
        <v>194</v>
      </c>
      <c r="AC8" s="349">
        <v>89</v>
      </c>
      <c r="AD8" s="349">
        <v>157100</v>
      </c>
      <c r="AE8" s="349">
        <v>1275</v>
      </c>
      <c r="AF8" s="349">
        <v>1426</v>
      </c>
      <c r="AG8" s="349">
        <v>2701</v>
      </c>
    </row>
    <row r="9" spans="1:33" x14ac:dyDescent="0.3">
      <c r="A9" s="343" t="s">
        <v>82</v>
      </c>
      <c r="B9" s="343" t="s">
        <v>82</v>
      </c>
      <c r="C9" s="349">
        <v>433492</v>
      </c>
      <c r="D9" s="349">
        <v>138</v>
      </c>
      <c r="E9" s="349">
        <v>24149</v>
      </c>
      <c r="F9" s="349">
        <v>51691</v>
      </c>
      <c r="G9" s="349">
        <v>18996</v>
      </c>
      <c r="H9" s="346">
        <v>528466</v>
      </c>
      <c r="I9" s="346">
        <v>509470</v>
      </c>
      <c r="J9" s="349">
        <v>786</v>
      </c>
      <c r="K9" s="347">
        <v>84.84</v>
      </c>
      <c r="L9" s="347">
        <v>83.93</v>
      </c>
      <c r="M9" s="347">
        <v>5.14</v>
      </c>
      <c r="N9" s="347">
        <v>87.75</v>
      </c>
      <c r="O9" s="348">
        <v>367778</v>
      </c>
      <c r="P9" s="347">
        <v>87.83</v>
      </c>
      <c r="Q9" s="347">
        <v>78.209999999999994</v>
      </c>
      <c r="R9" s="347">
        <v>41.84</v>
      </c>
      <c r="S9" s="347">
        <v>127.17</v>
      </c>
      <c r="T9" s="348">
        <v>66221</v>
      </c>
      <c r="U9" s="347">
        <v>107.86</v>
      </c>
      <c r="V9" s="348">
        <v>54513</v>
      </c>
      <c r="W9" s="347">
        <v>167.18</v>
      </c>
      <c r="X9" s="348">
        <v>2757</v>
      </c>
      <c r="Y9" s="349">
        <v>700</v>
      </c>
      <c r="Z9" s="349">
        <v>1928</v>
      </c>
      <c r="AA9" s="349">
        <v>274</v>
      </c>
      <c r="AB9" s="349">
        <v>1451</v>
      </c>
      <c r="AC9" s="349">
        <v>447</v>
      </c>
      <c r="AD9" s="349">
        <v>423998</v>
      </c>
      <c r="AE9" s="349">
        <v>2673</v>
      </c>
      <c r="AF9" s="349">
        <v>2819</v>
      </c>
      <c r="AG9" s="349">
        <v>5492</v>
      </c>
    </row>
    <row r="10" spans="1:33" x14ac:dyDescent="0.3">
      <c r="A10" s="343" t="s">
        <v>83</v>
      </c>
      <c r="B10" s="343" t="s">
        <v>83</v>
      </c>
      <c r="C10" s="349">
        <v>308243</v>
      </c>
      <c r="D10" s="349">
        <v>1143</v>
      </c>
      <c r="E10" s="349">
        <v>15721</v>
      </c>
      <c r="F10" s="349">
        <v>39365</v>
      </c>
      <c r="G10" s="349">
        <v>51691</v>
      </c>
      <c r="H10" s="346">
        <v>416163</v>
      </c>
      <c r="I10" s="346">
        <v>364472</v>
      </c>
      <c r="J10" s="349">
        <v>1278</v>
      </c>
      <c r="K10" s="347">
        <v>111.3</v>
      </c>
      <c r="L10" s="347">
        <v>109.3</v>
      </c>
      <c r="M10" s="347">
        <v>6.67</v>
      </c>
      <c r="N10" s="347">
        <v>115.53</v>
      </c>
      <c r="O10" s="348">
        <v>246308</v>
      </c>
      <c r="P10" s="347">
        <v>101.9</v>
      </c>
      <c r="Q10" s="347">
        <v>92.58</v>
      </c>
      <c r="R10" s="347">
        <v>40.29</v>
      </c>
      <c r="S10" s="347">
        <v>140.44</v>
      </c>
      <c r="T10" s="348">
        <v>43751</v>
      </c>
      <c r="U10" s="347">
        <v>164.11</v>
      </c>
      <c r="V10" s="348">
        <v>50949</v>
      </c>
      <c r="W10" s="347">
        <v>188.49</v>
      </c>
      <c r="X10" s="348">
        <v>2023</v>
      </c>
      <c r="Y10" s="349">
        <v>2001</v>
      </c>
      <c r="Z10" s="349">
        <v>239</v>
      </c>
      <c r="AA10" s="349">
        <v>374</v>
      </c>
      <c r="AB10" s="349">
        <v>4245</v>
      </c>
      <c r="AC10" s="349">
        <v>1252</v>
      </c>
      <c r="AD10" s="349">
        <v>301173</v>
      </c>
      <c r="AE10" s="349">
        <v>2463</v>
      </c>
      <c r="AF10" s="349">
        <v>1526</v>
      </c>
      <c r="AG10" s="349">
        <v>3989</v>
      </c>
    </row>
    <row r="11" spans="1:33" x14ac:dyDescent="0.3">
      <c r="A11" s="343" t="s">
        <v>84</v>
      </c>
      <c r="B11" s="343" t="s">
        <v>84</v>
      </c>
      <c r="C11" s="349">
        <v>203240</v>
      </c>
      <c r="D11" s="349">
        <v>217</v>
      </c>
      <c r="E11" s="349">
        <v>14528</v>
      </c>
      <c r="F11" s="349">
        <v>30014</v>
      </c>
      <c r="G11" s="349">
        <v>24712</v>
      </c>
      <c r="H11" s="346">
        <v>272711</v>
      </c>
      <c r="I11" s="346">
        <v>247999</v>
      </c>
      <c r="J11" s="349">
        <v>341</v>
      </c>
      <c r="K11" s="347">
        <v>95.43</v>
      </c>
      <c r="L11" s="347">
        <v>93.54</v>
      </c>
      <c r="M11" s="347">
        <v>5.12</v>
      </c>
      <c r="N11" s="347">
        <v>98.97</v>
      </c>
      <c r="O11" s="348">
        <v>165411</v>
      </c>
      <c r="P11" s="347">
        <v>90.48</v>
      </c>
      <c r="Q11" s="347">
        <v>83.83</v>
      </c>
      <c r="R11" s="347">
        <v>36.42</v>
      </c>
      <c r="S11" s="347">
        <v>125.8</v>
      </c>
      <c r="T11" s="348">
        <v>37394</v>
      </c>
      <c r="U11" s="347">
        <v>128.41999999999999</v>
      </c>
      <c r="V11" s="348">
        <v>29809</v>
      </c>
      <c r="W11" s="347">
        <v>147.66999999999999</v>
      </c>
      <c r="X11" s="348">
        <v>1816</v>
      </c>
      <c r="Y11" s="349">
        <v>220</v>
      </c>
      <c r="Z11" s="349">
        <v>337</v>
      </c>
      <c r="AA11" s="349">
        <v>503</v>
      </c>
      <c r="AB11" s="349">
        <v>2017</v>
      </c>
      <c r="AC11" s="349">
        <v>595</v>
      </c>
      <c r="AD11" s="349">
        <v>197287</v>
      </c>
      <c r="AE11" s="349">
        <v>1117</v>
      </c>
      <c r="AF11" s="349">
        <v>1229</v>
      </c>
      <c r="AG11" s="349">
        <v>2346</v>
      </c>
    </row>
    <row r="12" spans="1:33" x14ac:dyDescent="0.3">
      <c r="A12" s="343" t="s">
        <v>85</v>
      </c>
      <c r="B12" s="343" t="s">
        <v>85</v>
      </c>
      <c r="C12" s="349">
        <v>227342</v>
      </c>
      <c r="D12" s="349">
        <v>401</v>
      </c>
      <c r="E12" s="349">
        <v>17290</v>
      </c>
      <c r="F12" s="349">
        <v>27737</v>
      </c>
      <c r="G12" s="349">
        <v>19142</v>
      </c>
      <c r="H12" s="346">
        <v>291912</v>
      </c>
      <c r="I12" s="346">
        <v>272770</v>
      </c>
      <c r="J12" s="349">
        <v>470</v>
      </c>
      <c r="K12" s="347">
        <v>91.42</v>
      </c>
      <c r="L12" s="347">
        <v>90.05</v>
      </c>
      <c r="M12" s="347">
        <v>6.36</v>
      </c>
      <c r="N12" s="347">
        <v>95.72</v>
      </c>
      <c r="O12" s="348">
        <v>195401</v>
      </c>
      <c r="P12" s="347">
        <v>92.01</v>
      </c>
      <c r="Q12" s="347">
        <v>83.53</v>
      </c>
      <c r="R12" s="347">
        <v>54.38</v>
      </c>
      <c r="S12" s="347">
        <v>145.04</v>
      </c>
      <c r="T12" s="348">
        <v>35309</v>
      </c>
      <c r="U12" s="347">
        <v>116.6</v>
      </c>
      <c r="V12" s="348">
        <v>25682</v>
      </c>
      <c r="W12" s="347">
        <v>199.38</v>
      </c>
      <c r="X12" s="348">
        <v>2328</v>
      </c>
      <c r="Y12" s="349">
        <v>1214</v>
      </c>
      <c r="Z12" s="349">
        <v>475</v>
      </c>
      <c r="AA12" s="349">
        <v>563</v>
      </c>
      <c r="AB12" s="349">
        <v>1635</v>
      </c>
      <c r="AC12" s="349">
        <v>410</v>
      </c>
      <c r="AD12" s="349">
        <v>223565</v>
      </c>
      <c r="AE12" s="349">
        <v>2071</v>
      </c>
      <c r="AF12" s="349">
        <v>1281</v>
      </c>
      <c r="AG12" s="349">
        <v>3352</v>
      </c>
    </row>
    <row r="13" spans="1:33" x14ac:dyDescent="0.3">
      <c r="A13" s="343" t="s">
        <v>788</v>
      </c>
      <c r="B13" s="343" t="s">
        <v>788</v>
      </c>
      <c r="C13" s="349">
        <v>169863</v>
      </c>
      <c r="D13" s="349">
        <v>42</v>
      </c>
      <c r="E13" s="349">
        <v>12630</v>
      </c>
      <c r="F13" s="349">
        <v>18275</v>
      </c>
      <c r="G13" s="349">
        <v>10210</v>
      </c>
      <c r="H13" s="346">
        <v>211020</v>
      </c>
      <c r="I13" s="346">
        <v>200810</v>
      </c>
      <c r="J13" s="349">
        <v>213</v>
      </c>
      <c r="K13" s="347">
        <v>84.26</v>
      </c>
      <c r="L13" s="347">
        <v>83.27</v>
      </c>
      <c r="M13" s="347">
        <v>5.14</v>
      </c>
      <c r="N13" s="347">
        <v>87.29</v>
      </c>
      <c r="O13" s="348">
        <v>144236</v>
      </c>
      <c r="P13" s="347">
        <v>92.35</v>
      </c>
      <c r="Q13" s="347">
        <v>78.11</v>
      </c>
      <c r="R13" s="347">
        <v>47.08</v>
      </c>
      <c r="S13" s="347">
        <v>137.84</v>
      </c>
      <c r="T13" s="348">
        <v>25681</v>
      </c>
      <c r="U13" s="347">
        <v>104.74</v>
      </c>
      <c r="V13" s="348">
        <v>21861</v>
      </c>
      <c r="W13" s="347">
        <v>187.53</v>
      </c>
      <c r="X13" s="348">
        <v>811</v>
      </c>
      <c r="Y13" s="349">
        <v>774</v>
      </c>
      <c r="Z13" s="349">
        <v>494</v>
      </c>
      <c r="AA13" s="349">
        <v>159</v>
      </c>
      <c r="AB13" s="349">
        <v>976</v>
      </c>
      <c r="AC13" s="349">
        <v>183</v>
      </c>
      <c r="AD13" s="349">
        <v>167851</v>
      </c>
      <c r="AE13" s="349">
        <v>1409</v>
      </c>
      <c r="AF13" s="349">
        <v>1107</v>
      </c>
      <c r="AG13" s="349">
        <v>2516</v>
      </c>
    </row>
    <row r="14" spans="1:33" x14ac:dyDescent="0.3">
      <c r="A14" s="342" t="s">
        <v>86</v>
      </c>
      <c r="B14" s="342" t="s">
        <v>87</v>
      </c>
      <c r="C14" s="349">
        <v>886</v>
      </c>
      <c r="D14" s="349">
        <v>0</v>
      </c>
      <c r="E14" s="349">
        <v>64</v>
      </c>
      <c r="F14" s="349">
        <v>138</v>
      </c>
      <c r="G14" s="349">
        <v>203</v>
      </c>
      <c r="H14" s="346">
        <v>1291</v>
      </c>
      <c r="I14" s="346">
        <v>1088</v>
      </c>
      <c r="J14" s="349">
        <v>3</v>
      </c>
      <c r="K14" s="347">
        <v>115.15</v>
      </c>
      <c r="L14" s="347">
        <v>112.25</v>
      </c>
      <c r="M14" s="347">
        <v>6.03</v>
      </c>
      <c r="N14" s="347">
        <v>119.51</v>
      </c>
      <c r="O14" s="348">
        <v>721</v>
      </c>
      <c r="P14" s="347">
        <v>87.92</v>
      </c>
      <c r="Q14" s="347">
        <v>83.72</v>
      </c>
      <c r="R14" s="347">
        <v>45.29</v>
      </c>
      <c r="S14" s="347">
        <v>132.97999999999999</v>
      </c>
      <c r="T14" s="348">
        <v>190</v>
      </c>
      <c r="U14" s="347">
        <v>163.86</v>
      </c>
      <c r="V14" s="348">
        <v>132</v>
      </c>
      <c r="W14" s="347">
        <v>0</v>
      </c>
      <c r="X14" s="348">
        <v>0</v>
      </c>
      <c r="Y14" s="349">
        <v>3</v>
      </c>
      <c r="Z14" s="349">
        <v>1</v>
      </c>
      <c r="AA14" s="349">
        <v>0</v>
      </c>
      <c r="AB14" s="349">
        <v>9</v>
      </c>
      <c r="AC14" s="349">
        <v>9</v>
      </c>
      <c r="AD14" s="349">
        <v>865</v>
      </c>
      <c r="AE14" s="349">
        <v>5</v>
      </c>
      <c r="AF14" s="349">
        <v>4</v>
      </c>
      <c r="AG14" s="349">
        <v>9</v>
      </c>
    </row>
    <row r="15" spans="1:33" x14ac:dyDescent="0.3">
      <c r="A15" s="329" t="s">
        <v>88</v>
      </c>
      <c r="B15" s="329" t="s">
        <v>89</v>
      </c>
      <c r="C15" s="330">
        <v>8303</v>
      </c>
      <c r="D15" s="330">
        <v>0</v>
      </c>
      <c r="E15" s="330">
        <v>172</v>
      </c>
      <c r="F15" s="330">
        <v>404</v>
      </c>
      <c r="G15" s="330">
        <v>127</v>
      </c>
      <c r="H15" s="330">
        <v>9006</v>
      </c>
      <c r="I15" s="330">
        <v>8879</v>
      </c>
      <c r="J15" s="330">
        <v>6</v>
      </c>
      <c r="K15" s="330">
        <v>88.09</v>
      </c>
      <c r="L15" s="330">
        <v>85.1</v>
      </c>
      <c r="M15" s="330">
        <v>2.37</v>
      </c>
      <c r="N15" s="330">
        <v>90.07</v>
      </c>
      <c r="O15" s="333">
        <v>7264</v>
      </c>
      <c r="P15" s="330">
        <v>85.81</v>
      </c>
      <c r="Q15" s="330">
        <v>75.83</v>
      </c>
      <c r="R15" s="330">
        <v>44.19</v>
      </c>
      <c r="S15" s="330">
        <v>129.27000000000001</v>
      </c>
      <c r="T15" s="333">
        <v>487</v>
      </c>
      <c r="U15" s="330">
        <v>107.41</v>
      </c>
      <c r="V15" s="333">
        <v>476</v>
      </c>
      <c r="W15" s="330">
        <v>136.57</v>
      </c>
      <c r="X15" s="333">
        <v>51</v>
      </c>
      <c r="Y15" s="330">
        <v>0</v>
      </c>
      <c r="Z15" s="330">
        <v>22</v>
      </c>
      <c r="AA15" s="330">
        <v>5</v>
      </c>
      <c r="AB15" s="330">
        <v>13</v>
      </c>
      <c r="AC15" s="330">
        <v>3</v>
      </c>
      <c r="AD15" s="330">
        <v>7607</v>
      </c>
      <c r="AE15" s="330">
        <v>105</v>
      </c>
      <c r="AF15" s="330">
        <v>38</v>
      </c>
      <c r="AG15" s="330">
        <v>143</v>
      </c>
    </row>
    <row r="16" spans="1:33" x14ac:dyDescent="0.3">
      <c r="A16" s="329" t="s">
        <v>90</v>
      </c>
      <c r="B16" s="329" t="s">
        <v>91</v>
      </c>
      <c r="C16" s="330">
        <v>4785</v>
      </c>
      <c r="D16" s="330">
        <v>0</v>
      </c>
      <c r="E16" s="330">
        <v>156</v>
      </c>
      <c r="F16" s="330">
        <v>2433</v>
      </c>
      <c r="G16" s="330">
        <v>218</v>
      </c>
      <c r="H16" s="330">
        <v>7592</v>
      </c>
      <c r="I16" s="330">
        <v>7374</v>
      </c>
      <c r="J16" s="330">
        <v>3</v>
      </c>
      <c r="K16" s="330">
        <v>91.68</v>
      </c>
      <c r="L16" s="330">
        <v>89.88</v>
      </c>
      <c r="M16" s="330">
        <v>2.42</v>
      </c>
      <c r="N16" s="330">
        <v>93.91</v>
      </c>
      <c r="O16" s="333">
        <v>4264</v>
      </c>
      <c r="P16" s="330">
        <v>86.62</v>
      </c>
      <c r="Q16" s="330">
        <v>80.97</v>
      </c>
      <c r="R16" s="330">
        <v>8.91</v>
      </c>
      <c r="S16" s="330">
        <v>95.47</v>
      </c>
      <c r="T16" s="333">
        <v>2548</v>
      </c>
      <c r="U16" s="330">
        <v>106.81</v>
      </c>
      <c r="V16" s="333">
        <v>473</v>
      </c>
      <c r="W16" s="330">
        <v>0</v>
      </c>
      <c r="X16" s="333">
        <v>0</v>
      </c>
      <c r="Y16" s="330">
        <v>0</v>
      </c>
      <c r="Z16" s="330">
        <v>21</v>
      </c>
      <c r="AA16" s="330">
        <v>0</v>
      </c>
      <c r="AB16" s="330">
        <v>11</v>
      </c>
      <c r="AC16" s="330">
        <v>5</v>
      </c>
      <c r="AD16" s="330">
        <v>4758</v>
      </c>
      <c r="AE16" s="330">
        <v>31</v>
      </c>
      <c r="AF16" s="330">
        <v>6</v>
      </c>
      <c r="AG16" s="330">
        <v>37</v>
      </c>
    </row>
    <row r="17" spans="1:33" x14ac:dyDescent="0.3">
      <c r="A17" s="329" t="s">
        <v>92</v>
      </c>
      <c r="B17" s="329" t="s">
        <v>93</v>
      </c>
      <c r="C17" s="330">
        <v>3091</v>
      </c>
      <c r="D17" s="330">
        <v>1</v>
      </c>
      <c r="E17" s="330">
        <v>220</v>
      </c>
      <c r="F17" s="330">
        <v>378</v>
      </c>
      <c r="G17" s="330">
        <v>797</v>
      </c>
      <c r="H17" s="330">
        <v>4487</v>
      </c>
      <c r="I17" s="330">
        <v>3690</v>
      </c>
      <c r="J17" s="330">
        <v>11</v>
      </c>
      <c r="K17" s="330">
        <v>112.13</v>
      </c>
      <c r="L17" s="330">
        <v>109.79</v>
      </c>
      <c r="M17" s="330">
        <v>5.31</v>
      </c>
      <c r="N17" s="330">
        <v>116.6</v>
      </c>
      <c r="O17" s="333">
        <v>2269</v>
      </c>
      <c r="P17" s="330">
        <v>98.64</v>
      </c>
      <c r="Q17" s="330">
        <v>89.95</v>
      </c>
      <c r="R17" s="330">
        <v>57.66</v>
      </c>
      <c r="S17" s="330">
        <v>155.9</v>
      </c>
      <c r="T17" s="333">
        <v>424</v>
      </c>
      <c r="U17" s="330">
        <v>158.09</v>
      </c>
      <c r="V17" s="333">
        <v>754</v>
      </c>
      <c r="W17" s="330">
        <v>0</v>
      </c>
      <c r="X17" s="333">
        <v>0</v>
      </c>
      <c r="Y17" s="330">
        <v>0</v>
      </c>
      <c r="Z17" s="330">
        <v>1</v>
      </c>
      <c r="AA17" s="330">
        <v>2</v>
      </c>
      <c r="AB17" s="330">
        <v>103</v>
      </c>
      <c r="AC17" s="330">
        <v>18</v>
      </c>
      <c r="AD17" s="330">
        <v>3089</v>
      </c>
      <c r="AE17" s="330">
        <v>9</v>
      </c>
      <c r="AF17" s="330">
        <v>2</v>
      </c>
      <c r="AG17" s="330">
        <v>11</v>
      </c>
    </row>
    <row r="18" spans="1:33" x14ac:dyDescent="0.3">
      <c r="A18" s="329" t="s">
        <v>94</v>
      </c>
      <c r="B18" s="329" t="s">
        <v>95</v>
      </c>
      <c r="C18" s="330">
        <v>1669</v>
      </c>
      <c r="D18" s="330">
        <v>0</v>
      </c>
      <c r="E18" s="330">
        <v>191</v>
      </c>
      <c r="F18" s="330">
        <v>284</v>
      </c>
      <c r="G18" s="330">
        <v>223</v>
      </c>
      <c r="H18" s="330">
        <v>2367</v>
      </c>
      <c r="I18" s="330">
        <v>2144</v>
      </c>
      <c r="J18" s="330">
        <v>2</v>
      </c>
      <c r="K18" s="330">
        <v>88.7</v>
      </c>
      <c r="L18" s="330">
        <v>87.06</v>
      </c>
      <c r="M18" s="330">
        <v>5.5</v>
      </c>
      <c r="N18" s="330">
        <v>91.44</v>
      </c>
      <c r="O18" s="333">
        <v>1329</v>
      </c>
      <c r="P18" s="330">
        <v>103.59</v>
      </c>
      <c r="Q18" s="330">
        <v>87.52</v>
      </c>
      <c r="R18" s="330">
        <v>54.3</v>
      </c>
      <c r="S18" s="330">
        <v>154</v>
      </c>
      <c r="T18" s="333">
        <v>474</v>
      </c>
      <c r="U18" s="330">
        <v>108.47</v>
      </c>
      <c r="V18" s="333">
        <v>268</v>
      </c>
      <c r="W18" s="330">
        <v>0</v>
      </c>
      <c r="X18" s="333">
        <v>0</v>
      </c>
      <c r="Y18" s="330">
        <v>0</v>
      </c>
      <c r="Z18" s="330">
        <v>2</v>
      </c>
      <c r="AA18" s="330">
        <v>10</v>
      </c>
      <c r="AB18" s="330">
        <v>9</v>
      </c>
      <c r="AC18" s="330">
        <v>3</v>
      </c>
      <c r="AD18" s="330">
        <v>1669</v>
      </c>
      <c r="AE18" s="330">
        <v>6</v>
      </c>
      <c r="AF18" s="330">
        <v>35</v>
      </c>
      <c r="AG18" s="330">
        <v>41</v>
      </c>
    </row>
    <row r="19" spans="1:33" x14ac:dyDescent="0.3">
      <c r="A19" s="329" t="s">
        <v>96</v>
      </c>
      <c r="B19" s="329" t="s">
        <v>97</v>
      </c>
      <c r="C19" s="330">
        <v>2411</v>
      </c>
      <c r="D19" s="330">
        <v>0</v>
      </c>
      <c r="E19" s="330">
        <v>109</v>
      </c>
      <c r="F19" s="330">
        <v>276</v>
      </c>
      <c r="G19" s="330">
        <v>920</v>
      </c>
      <c r="H19" s="330">
        <v>3716</v>
      </c>
      <c r="I19" s="330">
        <v>2796</v>
      </c>
      <c r="J19" s="330">
        <v>8</v>
      </c>
      <c r="K19" s="330">
        <v>103.1</v>
      </c>
      <c r="L19" s="330">
        <v>100.8</v>
      </c>
      <c r="M19" s="330">
        <v>6.84</v>
      </c>
      <c r="N19" s="330">
        <v>108.66</v>
      </c>
      <c r="O19" s="333">
        <v>1785</v>
      </c>
      <c r="P19" s="330">
        <v>124.16</v>
      </c>
      <c r="Q19" s="330">
        <v>90.62</v>
      </c>
      <c r="R19" s="330">
        <v>51.81</v>
      </c>
      <c r="S19" s="330">
        <v>171.22</v>
      </c>
      <c r="T19" s="333">
        <v>294</v>
      </c>
      <c r="U19" s="330">
        <v>146.79</v>
      </c>
      <c r="V19" s="333">
        <v>562</v>
      </c>
      <c r="W19" s="330">
        <v>169.13</v>
      </c>
      <c r="X19" s="333">
        <v>91</v>
      </c>
      <c r="Y19" s="330">
        <v>16</v>
      </c>
      <c r="Z19" s="330">
        <v>0</v>
      </c>
      <c r="AA19" s="330">
        <v>0</v>
      </c>
      <c r="AB19" s="330">
        <v>52</v>
      </c>
      <c r="AC19" s="330">
        <v>12</v>
      </c>
      <c r="AD19" s="330">
        <v>2371</v>
      </c>
      <c r="AE19" s="330">
        <v>25</v>
      </c>
      <c r="AF19" s="330">
        <v>0</v>
      </c>
      <c r="AG19" s="330">
        <v>25</v>
      </c>
    </row>
    <row r="20" spans="1:33" x14ac:dyDescent="0.3">
      <c r="A20" s="329" t="s">
        <v>98</v>
      </c>
      <c r="B20" s="329" t="s">
        <v>99</v>
      </c>
      <c r="C20" s="330">
        <v>1933</v>
      </c>
      <c r="D20" s="330">
        <v>0</v>
      </c>
      <c r="E20" s="330">
        <v>132</v>
      </c>
      <c r="F20" s="330">
        <v>90</v>
      </c>
      <c r="G20" s="330">
        <v>199</v>
      </c>
      <c r="H20" s="330">
        <v>2354</v>
      </c>
      <c r="I20" s="330">
        <v>2155</v>
      </c>
      <c r="J20" s="330">
        <v>4</v>
      </c>
      <c r="K20" s="330">
        <v>95.87</v>
      </c>
      <c r="L20" s="330">
        <v>94.16</v>
      </c>
      <c r="M20" s="330">
        <v>4.57</v>
      </c>
      <c r="N20" s="330">
        <v>98.5</v>
      </c>
      <c r="O20" s="333">
        <v>1284</v>
      </c>
      <c r="P20" s="330">
        <v>119.23</v>
      </c>
      <c r="Q20" s="330">
        <v>88.86</v>
      </c>
      <c r="R20" s="330">
        <v>73.959999999999994</v>
      </c>
      <c r="S20" s="330">
        <v>190.36</v>
      </c>
      <c r="T20" s="333">
        <v>209</v>
      </c>
      <c r="U20" s="330">
        <v>126.24</v>
      </c>
      <c r="V20" s="333">
        <v>600</v>
      </c>
      <c r="W20" s="330">
        <v>111.59</v>
      </c>
      <c r="X20" s="333">
        <v>2</v>
      </c>
      <c r="Y20" s="330">
        <v>0</v>
      </c>
      <c r="Z20" s="330">
        <v>0</v>
      </c>
      <c r="AA20" s="330">
        <v>0</v>
      </c>
      <c r="AB20" s="330">
        <v>24</v>
      </c>
      <c r="AC20" s="330">
        <v>1</v>
      </c>
      <c r="AD20" s="330">
        <v>1902</v>
      </c>
      <c r="AE20" s="330">
        <v>10</v>
      </c>
      <c r="AF20" s="330">
        <v>4</v>
      </c>
      <c r="AG20" s="330">
        <v>14</v>
      </c>
    </row>
    <row r="21" spans="1:33" x14ac:dyDescent="0.3">
      <c r="A21" s="329" t="s">
        <v>100</v>
      </c>
      <c r="B21" s="329" t="s">
        <v>101</v>
      </c>
      <c r="C21" s="330">
        <v>4551</v>
      </c>
      <c r="D21" s="330">
        <v>0</v>
      </c>
      <c r="E21" s="330">
        <v>384</v>
      </c>
      <c r="F21" s="330">
        <v>439</v>
      </c>
      <c r="G21" s="330">
        <v>1292</v>
      </c>
      <c r="H21" s="330">
        <v>6666</v>
      </c>
      <c r="I21" s="330">
        <v>5374</v>
      </c>
      <c r="J21" s="330">
        <v>20</v>
      </c>
      <c r="K21" s="330">
        <v>119.77</v>
      </c>
      <c r="L21" s="330">
        <v>117.74</v>
      </c>
      <c r="M21" s="330">
        <v>9.19</v>
      </c>
      <c r="N21" s="330">
        <v>124.78</v>
      </c>
      <c r="O21" s="333">
        <v>2769</v>
      </c>
      <c r="P21" s="330">
        <v>107.5</v>
      </c>
      <c r="Q21" s="330">
        <v>102.92</v>
      </c>
      <c r="R21" s="330">
        <v>64.91</v>
      </c>
      <c r="S21" s="330">
        <v>169.34</v>
      </c>
      <c r="T21" s="333">
        <v>656</v>
      </c>
      <c r="U21" s="330">
        <v>178.31</v>
      </c>
      <c r="V21" s="333">
        <v>934</v>
      </c>
      <c r="W21" s="330">
        <v>185.48</v>
      </c>
      <c r="X21" s="333">
        <v>8</v>
      </c>
      <c r="Y21" s="330">
        <v>0</v>
      </c>
      <c r="Z21" s="330">
        <v>3</v>
      </c>
      <c r="AA21" s="330">
        <v>10</v>
      </c>
      <c r="AB21" s="330">
        <v>110</v>
      </c>
      <c r="AC21" s="330">
        <v>48</v>
      </c>
      <c r="AD21" s="330">
        <v>4466</v>
      </c>
      <c r="AE21" s="330">
        <v>84</v>
      </c>
      <c r="AF21" s="330">
        <v>12</v>
      </c>
      <c r="AG21" s="330">
        <v>96</v>
      </c>
    </row>
    <row r="22" spans="1:33" x14ac:dyDescent="0.3">
      <c r="A22" s="329" t="s">
        <v>102</v>
      </c>
      <c r="B22" s="329" t="s">
        <v>103</v>
      </c>
      <c r="C22" s="330">
        <v>7689</v>
      </c>
      <c r="D22" s="330">
        <v>20</v>
      </c>
      <c r="E22" s="330">
        <v>674</v>
      </c>
      <c r="F22" s="330">
        <v>1151</v>
      </c>
      <c r="G22" s="330">
        <v>1506</v>
      </c>
      <c r="H22" s="330">
        <v>11040</v>
      </c>
      <c r="I22" s="330">
        <v>9534</v>
      </c>
      <c r="J22" s="330">
        <v>22</v>
      </c>
      <c r="K22" s="330">
        <v>130.58000000000001</v>
      </c>
      <c r="L22" s="330">
        <v>129.6</v>
      </c>
      <c r="M22" s="330">
        <v>14.43</v>
      </c>
      <c r="N22" s="330">
        <v>142.83000000000001</v>
      </c>
      <c r="O22" s="333">
        <v>5760</v>
      </c>
      <c r="P22" s="330">
        <v>118.1</v>
      </c>
      <c r="Q22" s="330">
        <v>109.46</v>
      </c>
      <c r="R22" s="330">
        <v>55.85</v>
      </c>
      <c r="S22" s="330">
        <v>168.42</v>
      </c>
      <c r="T22" s="333">
        <v>908</v>
      </c>
      <c r="U22" s="330">
        <v>222.5</v>
      </c>
      <c r="V22" s="333">
        <v>1539</v>
      </c>
      <c r="W22" s="330">
        <v>228.39</v>
      </c>
      <c r="X22" s="333">
        <v>43</v>
      </c>
      <c r="Y22" s="330">
        <v>2</v>
      </c>
      <c r="Z22" s="330">
        <v>3</v>
      </c>
      <c r="AA22" s="330">
        <v>4</v>
      </c>
      <c r="AB22" s="330">
        <v>107</v>
      </c>
      <c r="AC22" s="330">
        <v>53</v>
      </c>
      <c r="AD22" s="330">
        <v>7064</v>
      </c>
      <c r="AE22" s="330">
        <v>38</v>
      </c>
      <c r="AF22" s="330">
        <v>81</v>
      </c>
      <c r="AG22" s="330">
        <v>119</v>
      </c>
    </row>
    <row r="23" spans="1:33" x14ac:dyDescent="0.3">
      <c r="A23" s="329" t="s">
        <v>104</v>
      </c>
      <c r="B23" s="329" t="s">
        <v>105</v>
      </c>
      <c r="C23" s="330">
        <v>3127</v>
      </c>
      <c r="D23" s="330">
        <v>0</v>
      </c>
      <c r="E23" s="330">
        <v>343</v>
      </c>
      <c r="F23" s="330">
        <v>672</v>
      </c>
      <c r="G23" s="330">
        <v>413</v>
      </c>
      <c r="H23" s="330">
        <v>4555</v>
      </c>
      <c r="I23" s="330">
        <v>4142</v>
      </c>
      <c r="J23" s="330">
        <v>0</v>
      </c>
      <c r="K23" s="330">
        <v>87.87</v>
      </c>
      <c r="L23" s="330">
        <v>84.53</v>
      </c>
      <c r="M23" s="330">
        <v>4.99</v>
      </c>
      <c r="N23" s="330">
        <v>90.15</v>
      </c>
      <c r="O23" s="333">
        <v>1868</v>
      </c>
      <c r="P23" s="330">
        <v>91.34</v>
      </c>
      <c r="Q23" s="330">
        <v>82.77</v>
      </c>
      <c r="R23" s="330">
        <v>40.659999999999997</v>
      </c>
      <c r="S23" s="330">
        <v>127.74</v>
      </c>
      <c r="T23" s="333">
        <v>975</v>
      </c>
      <c r="U23" s="330">
        <v>97.43</v>
      </c>
      <c r="V23" s="333">
        <v>1166</v>
      </c>
      <c r="W23" s="330">
        <v>202.38</v>
      </c>
      <c r="X23" s="333">
        <v>10</v>
      </c>
      <c r="Y23" s="330">
        <v>0</v>
      </c>
      <c r="Z23" s="330">
        <v>6</v>
      </c>
      <c r="AA23" s="330">
        <v>12</v>
      </c>
      <c r="AB23" s="330">
        <v>30</v>
      </c>
      <c r="AC23" s="330">
        <v>8</v>
      </c>
      <c r="AD23" s="330">
        <v>3122</v>
      </c>
      <c r="AE23" s="330">
        <v>33</v>
      </c>
      <c r="AF23" s="330">
        <v>22</v>
      </c>
      <c r="AG23" s="330">
        <v>55</v>
      </c>
    </row>
    <row r="24" spans="1:33" x14ac:dyDescent="0.3">
      <c r="A24" s="329" t="s">
        <v>106</v>
      </c>
      <c r="B24" s="329" t="s">
        <v>107</v>
      </c>
      <c r="C24" s="330">
        <v>526</v>
      </c>
      <c r="D24" s="330">
        <v>0</v>
      </c>
      <c r="E24" s="330">
        <v>267</v>
      </c>
      <c r="F24" s="330">
        <v>196</v>
      </c>
      <c r="G24" s="330">
        <v>25</v>
      </c>
      <c r="H24" s="330">
        <v>1014</v>
      </c>
      <c r="I24" s="330">
        <v>989</v>
      </c>
      <c r="J24" s="330">
        <v>3</v>
      </c>
      <c r="K24" s="330">
        <v>82.03</v>
      </c>
      <c r="L24" s="330">
        <v>78.56</v>
      </c>
      <c r="M24" s="330">
        <v>7.36</v>
      </c>
      <c r="N24" s="330">
        <v>86.69</v>
      </c>
      <c r="O24" s="333">
        <v>474</v>
      </c>
      <c r="P24" s="330">
        <v>104.67</v>
      </c>
      <c r="Q24" s="330">
        <v>81.02</v>
      </c>
      <c r="R24" s="330">
        <v>94.33</v>
      </c>
      <c r="S24" s="330">
        <v>199</v>
      </c>
      <c r="T24" s="333">
        <v>422</v>
      </c>
      <c r="U24" s="330">
        <v>109.92</v>
      </c>
      <c r="V24" s="333">
        <v>33</v>
      </c>
      <c r="W24" s="330">
        <v>151.36000000000001</v>
      </c>
      <c r="X24" s="333">
        <v>8</v>
      </c>
      <c r="Y24" s="330">
        <v>0</v>
      </c>
      <c r="Z24" s="330">
        <v>0</v>
      </c>
      <c r="AA24" s="330">
        <v>0</v>
      </c>
      <c r="AB24" s="330">
        <v>14</v>
      </c>
      <c r="AC24" s="330">
        <v>0</v>
      </c>
      <c r="AD24" s="330">
        <v>524</v>
      </c>
      <c r="AE24" s="330">
        <v>2</v>
      </c>
      <c r="AF24" s="330">
        <v>0</v>
      </c>
      <c r="AG24" s="330">
        <v>2</v>
      </c>
    </row>
    <row r="25" spans="1:33" x14ac:dyDescent="0.3">
      <c r="A25" s="329" t="s">
        <v>108</v>
      </c>
      <c r="B25" s="329" t="s">
        <v>109</v>
      </c>
      <c r="C25" s="330">
        <v>5336</v>
      </c>
      <c r="D25" s="330">
        <v>0</v>
      </c>
      <c r="E25" s="330">
        <v>285</v>
      </c>
      <c r="F25" s="330">
        <v>331</v>
      </c>
      <c r="G25" s="330">
        <v>715</v>
      </c>
      <c r="H25" s="330">
        <v>6667</v>
      </c>
      <c r="I25" s="330">
        <v>5952</v>
      </c>
      <c r="J25" s="330">
        <v>42</v>
      </c>
      <c r="K25" s="330">
        <v>112.7</v>
      </c>
      <c r="L25" s="330">
        <v>112.2</v>
      </c>
      <c r="M25" s="330">
        <v>6.01</v>
      </c>
      <c r="N25" s="330">
        <v>115.9</v>
      </c>
      <c r="O25" s="333">
        <v>5013</v>
      </c>
      <c r="P25" s="330">
        <v>99.36</v>
      </c>
      <c r="Q25" s="330">
        <v>92.19</v>
      </c>
      <c r="R25" s="330">
        <v>49.75</v>
      </c>
      <c r="S25" s="330">
        <v>147.65</v>
      </c>
      <c r="T25" s="333">
        <v>511</v>
      </c>
      <c r="U25" s="330">
        <v>136.88999999999999</v>
      </c>
      <c r="V25" s="333">
        <v>187</v>
      </c>
      <c r="W25" s="330">
        <v>0</v>
      </c>
      <c r="X25" s="333">
        <v>0</v>
      </c>
      <c r="Y25" s="330">
        <v>0</v>
      </c>
      <c r="Z25" s="330">
        <v>1</v>
      </c>
      <c r="AA25" s="330">
        <v>0</v>
      </c>
      <c r="AB25" s="330">
        <v>4</v>
      </c>
      <c r="AC25" s="330">
        <v>21</v>
      </c>
      <c r="AD25" s="330">
        <v>5336</v>
      </c>
      <c r="AE25" s="330">
        <v>14</v>
      </c>
      <c r="AF25" s="330">
        <v>23</v>
      </c>
      <c r="AG25" s="330">
        <v>37</v>
      </c>
    </row>
    <row r="26" spans="1:33" x14ac:dyDescent="0.3">
      <c r="A26" s="329" t="s">
        <v>110</v>
      </c>
      <c r="B26" s="329" t="s">
        <v>111</v>
      </c>
      <c r="C26" s="330">
        <v>13187</v>
      </c>
      <c r="D26" s="330">
        <v>312</v>
      </c>
      <c r="E26" s="330">
        <v>408</v>
      </c>
      <c r="F26" s="330">
        <v>862</v>
      </c>
      <c r="G26" s="330">
        <v>1545</v>
      </c>
      <c r="H26" s="330">
        <v>16314</v>
      </c>
      <c r="I26" s="330">
        <v>14769</v>
      </c>
      <c r="J26" s="330">
        <v>2</v>
      </c>
      <c r="K26" s="330">
        <v>115.48</v>
      </c>
      <c r="L26" s="330">
        <v>110.91</v>
      </c>
      <c r="M26" s="330">
        <v>5.42</v>
      </c>
      <c r="N26" s="330">
        <v>117.72</v>
      </c>
      <c r="O26" s="333">
        <v>11395</v>
      </c>
      <c r="P26" s="330">
        <v>104.79</v>
      </c>
      <c r="Q26" s="330">
        <v>91.68</v>
      </c>
      <c r="R26" s="330">
        <v>39.950000000000003</v>
      </c>
      <c r="S26" s="330">
        <v>143.28</v>
      </c>
      <c r="T26" s="333">
        <v>1121</v>
      </c>
      <c r="U26" s="330">
        <v>160.11000000000001</v>
      </c>
      <c r="V26" s="333">
        <v>1521</v>
      </c>
      <c r="W26" s="330">
        <v>153.41999999999999</v>
      </c>
      <c r="X26" s="333">
        <v>2</v>
      </c>
      <c r="Y26" s="330">
        <v>41</v>
      </c>
      <c r="Z26" s="330">
        <v>8</v>
      </c>
      <c r="AA26" s="330">
        <v>7</v>
      </c>
      <c r="AB26" s="330">
        <v>189</v>
      </c>
      <c r="AC26" s="330">
        <v>41</v>
      </c>
      <c r="AD26" s="330">
        <v>13148</v>
      </c>
      <c r="AE26" s="330">
        <v>102</v>
      </c>
      <c r="AF26" s="330">
        <v>37</v>
      </c>
      <c r="AG26" s="330">
        <v>139</v>
      </c>
    </row>
    <row r="27" spans="1:33" x14ac:dyDescent="0.3">
      <c r="A27" s="329" t="s">
        <v>112</v>
      </c>
      <c r="B27" s="329" t="s">
        <v>113</v>
      </c>
      <c r="C27" s="330">
        <v>1217</v>
      </c>
      <c r="D27" s="330">
        <v>0</v>
      </c>
      <c r="E27" s="330">
        <v>258</v>
      </c>
      <c r="F27" s="330">
        <v>117</v>
      </c>
      <c r="G27" s="330">
        <v>167</v>
      </c>
      <c r="H27" s="330">
        <v>1759</v>
      </c>
      <c r="I27" s="330">
        <v>1592</v>
      </c>
      <c r="J27" s="330">
        <v>3</v>
      </c>
      <c r="K27" s="330">
        <v>89.51</v>
      </c>
      <c r="L27" s="330">
        <v>87.09</v>
      </c>
      <c r="M27" s="330">
        <v>3.38</v>
      </c>
      <c r="N27" s="330">
        <v>91.69</v>
      </c>
      <c r="O27" s="333">
        <v>907</v>
      </c>
      <c r="P27" s="330">
        <v>127.15</v>
      </c>
      <c r="Q27" s="330">
        <v>73.56</v>
      </c>
      <c r="R27" s="330">
        <v>72.39</v>
      </c>
      <c r="S27" s="330">
        <v>196.88</v>
      </c>
      <c r="T27" s="333">
        <v>353</v>
      </c>
      <c r="U27" s="330">
        <v>105.98</v>
      </c>
      <c r="V27" s="333">
        <v>275</v>
      </c>
      <c r="W27" s="330">
        <v>149.31</v>
      </c>
      <c r="X27" s="333">
        <v>21</v>
      </c>
      <c r="Y27" s="330">
        <v>0</v>
      </c>
      <c r="Z27" s="330">
        <v>0</v>
      </c>
      <c r="AA27" s="330">
        <v>14</v>
      </c>
      <c r="AB27" s="330">
        <v>47</v>
      </c>
      <c r="AC27" s="330">
        <v>5</v>
      </c>
      <c r="AD27" s="330">
        <v>1217</v>
      </c>
      <c r="AE27" s="330">
        <v>5</v>
      </c>
      <c r="AF27" s="330">
        <v>12</v>
      </c>
      <c r="AG27" s="330">
        <v>17</v>
      </c>
    </row>
    <row r="28" spans="1:33" x14ac:dyDescent="0.3">
      <c r="A28" s="329" t="s">
        <v>114</v>
      </c>
      <c r="B28" s="329" t="s">
        <v>115</v>
      </c>
      <c r="C28" s="330">
        <v>9280</v>
      </c>
      <c r="D28" s="330">
        <v>0</v>
      </c>
      <c r="E28" s="330">
        <v>406</v>
      </c>
      <c r="F28" s="330">
        <v>2110</v>
      </c>
      <c r="G28" s="330">
        <v>700</v>
      </c>
      <c r="H28" s="330">
        <v>12496</v>
      </c>
      <c r="I28" s="330">
        <v>11796</v>
      </c>
      <c r="J28" s="330">
        <v>12</v>
      </c>
      <c r="K28" s="330">
        <v>103.18</v>
      </c>
      <c r="L28" s="330">
        <v>100.58</v>
      </c>
      <c r="M28" s="330">
        <v>4.34</v>
      </c>
      <c r="N28" s="330">
        <v>106.97</v>
      </c>
      <c r="O28" s="333">
        <v>8466</v>
      </c>
      <c r="P28" s="330">
        <v>96.54</v>
      </c>
      <c r="Q28" s="330">
        <v>88.82</v>
      </c>
      <c r="R28" s="330">
        <v>18.61</v>
      </c>
      <c r="S28" s="330">
        <v>114.73</v>
      </c>
      <c r="T28" s="333">
        <v>2215</v>
      </c>
      <c r="U28" s="330">
        <v>141.75</v>
      </c>
      <c r="V28" s="333">
        <v>724</v>
      </c>
      <c r="W28" s="330">
        <v>123.81</v>
      </c>
      <c r="X28" s="333">
        <v>79</v>
      </c>
      <c r="Y28" s="330">
        <v>0</v>
      </c>
      <c r="Z28" s="330">
        <v>18</v>
      </c>
      <c r="AA28" s="330">
        <v>13</v>
      </c>
      <c r="AB28" s="330">
        <v>30</v>
      </c>
      <c r="AC28" s="330">
        <v>17</v>
      </c>
      <c r="AD28" s="330">
        <v>9214</v>
      </c>
      <c r="AE28" s="330">
        <v>55</v>
      </c>
      <c r="AF28" s="330">
        <v>55</v>
      </c>
      <c r="AG28" s="330">
        <v>110</v>
      </c>
    </row>
    <row r="29" spans="1:33" x14ac:dyDescent="0.3">
      <c r="A29" s="329" t="s">
        <v>116</v>
      </c>
      <c r="B29" s="329" t="s">
        <v>117</v>
      </c>
      <c r="C29" s="330">
        <v>11106</v>
      </c>
      <c r="D29" s="330">
        <v>66</v>
      </c>
      <c r="E29" s="330">
        <v>466</v>
      </c>
      <c r="F29" s="330">
        <v>1099</v>
      </c>
      <c r="G29" s="330">
        <v>1473</v>
      </c>
      <c r="H29" s="330">
        <v>14210</v>
      </c>
      <c r="I29" s="330">
        <v>12737</v>
      </c>
      <c r="J29" s="330">
        <v>3</v>
      </c>
      <c r="K29" s="330">
        <v>101.02</v>
      </c>
      <c r="L29" s="330">
        <v>100.21</v>
      </c>
      <c r="M29" s="330">
        <v>8.3699999999999992</v>
      </c>
      <c r="N29" s="330">
        <v>106.97</v>
      </c>
      <c r="O29" s="333">
        <v>9242</v>
      </c>
      <c r="P29" s="330">
        <v>105.1</v>
      </c>
      <c r="Q29" s="330">
        <v>95.18</v>
      </c>
      <c r="R29" s="330">
        <v>46.33</v>
      </c>
      <c r="S29" s="330">
        <v>149.9</v>
      </c>
      <c r="T29" s="333">
        <v>1266</v>
      </c>
      <c r="U29" s="330">
        <v>141.62</v>
      </c>
      <c r="V29" s="333">
        <v>1549</v>
      </c>
      <c r="W29" s="330">
        <v>138.21</v>
      </c>
      <c r="X29" s="333">
        <v>23</v>
      </c>
      <c r="Y29" s="330">
        <v>20</v>
      </c>
      <c r="Z29" s="330">
        <v>6</v>
      </c>
      <c r="AA29" s="330">
        <v>18</v>
      </c>
      <c r="AB29" s="330">
        <v>95</v>
      </c>
      <c r="AC29" s="330">
        <v>33</v>
      </c>
      <c r="AD29" s="330">
        <v>10943</v>
      </c>
      <c r="AE29" s="330">
        <v>57</v>
      </c>
      <c r="AF29" s="330">
        <v>30</v>
      </c>
      <c r="AG29" s="330">
        <v>87</v>
      </c>
    </row>
    <row r="30" spans="1:33" x14ac:dyDescent="0.3">
      <c r="A30" s="329" t="s">
        <v>118</v>
      </c>
      <c r="B30" s="329" t="s">
        <v>119</v>
      </c>
      <c r="C30" s="330">
        <v>12237</v>
      </c>
      <c r="D30" s="330">
        <v>69</v>
      </c>
      <c r="E30" s="330">
        <v>157</v>
      </c>
      <c r="F30" s="330">
        <v>1332</v>
      </c>
      <c r="G30" s="330">
        <v>1371</v>
      </c>
      <c r="H30" s="330">
        <v>15166</v>
      </c>
      <c r="I30" s="330">
        <v>13795</v>
      </c>
      <c r="J30" s="330">
        <v>41</v>
      </c>
      <c r="K30" s="330">
        <v>113.32</v>
      </c>
      <c r="L30" s="330">
        <v>110.01</v>
      </c>
      <c r="M30" s="330">
        <v>12.61</v>
      </c>
      <c r="N30" s="330">
        <v>125.03</v>
      </c>
      <c r="O30" s="333">
        <v>9555</v>
      </c>
      <c r="P30" s="330">
        <v>100.33</v>
      </c>
      <c r="Q30" s="330">
        <v>94.36</v>
      </c>
      <c r="R30" s="330">
        <v>38.090000000000003</v>
      </c>
      <c r="S30" s="330">
        <v>137.44</v>
      </c>
      <c r="T30" s="333">
        <v>1320</v>
      </c>
      <c r="U30" s="330">
        <v>170.45</v>
      </c>
      <c r="V30" s="333">
        <v>1695</v>
      </c>
      <c r="W30" s="330">
        <v>0</v>
      </c>
      <c r="X30" s="333">
        <v>0</v>
      </c>
      <c r="Y30" s="330">
        <v>0</v>
      </c>
      <c r="Z30" s="330">
        <v>18</v>
      </c>
      <c r="AA30" s="330">
        <v>6</v>
      </c>
      <c r="AB30" s="330">
        <v>46</v>
      </c>
      <c r="AC30" s="330">
        <v>63</v>
      </c>
      <c r="AD30" s="330">
        <v>11412</v>
      </c>
      <c r="AE30" s="330">
        <v>154</v>
      </c>
      <c r="AF30" s="330">
        <v>40</v>
      </c>
      <c r="AG30" s="330">
        <v>194</v>
      </c>
    </row>
    <row r="31" spans="1:33" x14ac:dyDescent="0.3">
      <c r="A31" s="329" t="s">
        <v>120</v>
      </c>
      <c r="B31" s="329" t="s">
        <v>121</v>
      </c>
      <c r="C31" s="330">
        <v>33495</v>
      </c>
      <c r="D31" s="330">
        <v>252</v>
      </c>
      <c r="E31" s="330">
        <v>7265</v>
      </c>
      <c r="F31" s="330">
        <v>4878</v>
      </c>
      <c r="G31" s="330">
        <v>3176</v>
      </c>
      <c r="H31" s="330">
        <v>49066</v>
      </c>
      <c r="I31" s="330">
        <v>45890</v>
      </c>
      <c r="J31" s="330">
        <v>69</v>
      </c>
      <c r="K31" s="330">
        <v>95.24</v>
      </c>
      <c r="L31" s="330">
        <v>93.96</v>
      </c>
      <c r="M31" s="330">
        <v>8.26</v>
      </c>
      <c r="N31" s="330">
        <v>101.6</v>
      </c>
      <c r="O31" s="333">
        <v>29863</v>
      </c>
      <c r="P31" s="330">
        <v>84.8</v>
      </c>
      <c r="Q31" s="330">
        <v>76.66</v>
      </c>
      <c r="R31" s="330">
        <v>84.9</v>
      </c>
      <c r="S31" s="330">
        <v>168.61</v>
      </c>
      <c r="T31" s="333">
        <v>7899</v>
      </c>
      <c r="U31" s="330">
        <v>121.89</v>
      </c>
      <c r="V31" s="333">
        <v>1732</v>
      </c>
      <c r="W31" s="330">
        <v>0</v>
      </c>
      <c r="X31" s="333">
        <v>0</v>
      </c>
      <c r="Y31" s="330">
        <v>42</v>
      </c>
      <c r="Z31" s="330">
        <v>38</v>
      </c>
      <c r="AA31" s="330">
        <v>329</v>
      </c>
      <c r="AB31" s="330">
        <v>105</v>
      </c>
      <c r="AC31" s="330">
        <v>87</v>
      </c>
      <c r="AD31" s="330">
        <v>32091</v>
      </c>
      <c r="AE31" s="330">
        <v>195</v>
      </c>
      <c r="AF31" s="330">
        <v>83</v>
      </c>
      <c r="AG31" s="330">
        <v>278</v>
      </c>
    </row>
    <row r="32" spans="1:33" x14ac:dyDescent="0.3">
      <c r="A32" s="329" t="s">
        <v>122</v>
      </c>
      <c r="B32" s="329" t="s">
        <v>123</v>
      </c>
      <c r="C32" s="330">
        <v>2265</v>
      </c>
      <c r="D32" s="330">
        <v>0</v>
      </c>
      <c r="E32" s="330">
        <v>118</v>
      </c>
      <c r="F32" s="330">
        <v>1364</v>
      </c>
      <c r="G32" s="330">
        <v>395</v>
      </c>
      <c r="H32" s="330">
        <v>4142</v>
      </c>
      <c r="I32" s="330">
        <v>3747</v>
      </c>
      <c r="J32" s="330">
        <v>0</v>
      </c>
      <c r="K32" s="330">
        <v>90.27</v>
      </c>
      <c r="L32" s="330">
        <v>89.54</v>
      </c>
      <c r="M32" s="330">
        <v>5.04</v>
      </c>
      <c r="N32" s="330">
        <v>93.21</v>
      </c>
      <c r="O32" s="333">
        <v>1646</v>
      </c>
      <c r="P32" s="330">
        <v>77.62</v>
      </c>
      <c r="Q32" s="330">
        <v>76.349999999999994</v>
      </c>
      <c r="R32" s="330">
        <v>15.95</v>
      </c>
      <c r="S32" s="330">
        <v>93.42</v>
      </c>
      <c r="T32" s="333">
        <v>1362</v>
      </c>
      <c r="U32" s="330">
        <v>116.62</v>
      </c>
      <c r="V32" s="333">
        <v>531</v>
      </c>
      <c r="W32" s="330">
        <v>111.74</v>
      </c>
      <c r="X32" s="333">
        <v>115</v>
      </c>
      <c r="Y32" s="330">
        <v>0</v>
      </c>
      <c r="Z32" s="330">
        <v>10</v>
      </c>
      <c r="AA32" s="330">
        <v>4</v>
      </c>
      <c r="AB32" s="330">
        <v>32</v>
      </c>
      <c r="AC32" s="330">
        <v>16</v>
      </c>
      <c r="AD32" s="330">
        <v>2265</v>
      </c>
      <c r="AE32" s="330">
        <v>13</v>
      </c>
      <c r="AF32" s="330">
        <v>3</v>
      </c>
      <c r="AG32" s="330">
        <v>16</v>
      </c>
    </row>
    <row r="33" spans="1:33" x14ac:dyDescent="0.3">
      <c r="A33" s="329" t="s">
        <v>124</v>
      </c>
      <c r="B33" s="329" t="s">
        <v>125</v>
      </c>
      <c r="C33" s="330">
        <v>10006</v>
      </c>
      <c r="D33" s="330">
        <v>0</v>
      </c>
      <c r="E33" s="330">
        <v>585</v>
      </c>
      <c r="F33" s="330">
        <v>1084</v>
      </c>
      <c r="G33" s="330">
        <v>214</v>
      </c>
      <c r="H33" s="330">
        <v>11889</v>
      </c>
      <c r="I33" s="330">
        <v>11675</v>
      </c>
      <c r="J33" s="330">
        <v>0</v>
      </c>
      <c r="K33" s="330">
        <v>80.290000000000006</v>
      </c>
      <c r="L33" s="330">
        <v>76.86</v>
      </c>
      <c r="M33" s="330">
        <v>1.88</v>
      </c>
      <c r="N33" s="330">
        <v>81.95</v>
      </c>
      <c r="O33" s="333">
        <v>8354</v>
      </c>
      <c r="P33" s="330">
        <v>94.93</v>
      </c>
      <c r="Q33" s="330">
        <v>74.34</v>
      </c>
      <c r="R33" s="330">
        <v>61.62</v>
      </c>
      <c r="S33" s="330">
        <v>154.78</v>
      </c>
      <c r="T33" s="333">
        <v>1462</v>
      </c>
      <c r="U33" s="330">
        <v>99.44</v>
      </c>
      <c r="V33" s="333">
        <v>1587</v>
      </c>
      <c r="W33" s="330">
        <v>156.91</v>
      </c>
      <c r="X33" s="333">
        <v>135</v>
      </c>
      <c r="Y33" s="330">
        <v>15</v>
      </c>
      <c r="Z33" s="330">
        <v>62</v>
      </c>
      <c r="AA33" s="330">
        <v>17</v>
      </c>
      <c r="AB33" s="330">
        <v>16</v>
      </c>
      <c r="AC33" s="330">
        <v>10</v>
      </c>
      <c r="AD33" s="330">
        <v>9997</v>
      </c>
      <c r="AE33" s="330">
        <v>88</v>
      </c>
      <c r="AF33" s="330">
        <v>65</v>
      </c>
      <c r="AG33" s="330">
        <v>153</v>
      </c>
    </row>
    <row r="34" spans="1:33" x14ac:dyDescent="0.3">
      <c r="A34" s="329" t="s">
        <v>126</v>
      </c>
      <c r="B34" s="329" t="s">
        <v>127</v>
      </c>
      <c r="C34" s="330">
        <v>1779</v>
      </c>
      <c r="D34" s="330">
        <v>0</v>
      </c>
      <c r="E34" s="330">
        <v>486</v>
      </c>
      <c r="F34" s="330">
        <v>201</v>
      </c>
      <c r="G34" s="330">
        <v>149</v>
      </c>
      <c r="H34" s="330">
        <v>2615</v>
      </c>
      <c r="I34" s="330">
        <v>2466</v>
      </c>
      <c r="J34" s="330">
        <v>0</v>
      </c>
      <c r="K34" s="330">
        <v>88.19</v>
      </c>
      <c r="L34" s="330">
        <v>85.64</v>
      </c>
      <c r="M34" s="330">
        <v>4.96</v>
      </c>
      <c r="N34" s="330">
        <v>92.12</v>
      </c>
      <c r="O34" s="333">
        <v>1197</v>
      </c>
      <c r="P34" s="330">
        <v>115.39</v>
      </c>
      <c r="Q34" s="330">
        <v>86.11</v>
      </c>
      <c r="R34" s="330">
        <v>74.63</v>
      </c>
      <c r="S34" s="330">
        <v>183.21</v>
      </c>
      <c r="T34" s="333">
        <v>602</v>
      </c>
      <c r="U34" s="330">
        <v>107.53</v>
      </c>
      <c r="V34" s="333">
        <v>467</v>
      </c>
      <c r="W34" s="330">
        <v>0</v>
      </c>
      <c r="X34" s="333">
        <v>0</v>
      </c>
      <c r="Y34" s="330">
        <v>1</v>
      </c>
      <c r="Z34" s="330">
        <v>1</v>
      </c>
      <c r="AA34" s="330">
        <v>3</v>
      </c>
      <c r="AB34" s="330">
        <v>2</v>
      </c>
      <c r="AC34" s="330">
        <v>5</v>
      </c>
      <c r="AD34" s="330">
        <v>1682</v>
      </c>
      <c r="AE34" s="330">
        <v>13</v>
      </c>
      <c r="AF34" s="330">
        <v>15</v>
      </c>
      <c r="AG34" s="330">
        <v>28</v>
      </c>
    </row>
    <row r="35" spans="1:33" x14ac:dyDescent="0.3">
      <c r="A35" s="329" t="s">
        <v>128</v>
      </c>
      <c r="B35" s="329" t="s">
        <v>129</v>
      </c>
      <c r="C35" s="330">
        <v>802</v>
      </c>
      <c r="D35" s="330">
        <v>0</v>
      </c>
      <c r="E35" s="330">
        <v>108</v>
      </c>
      <c r="F35" s="330">
        <v>261</v>
      </c>
      <c r="G35" s="330">
        <v>77</v>
      </c>
      <c r="H35" s="330">
        <v>1248</v>
      </c>
      <c r="I35" s="330">
        <v>1171</v>
      </c>
      <c r="J35" s="330">
        <v>0</v>
      </c>
      <c r="K35" s="330">
        <v>91.76</v>
      </c>
      <c r="L35" s="330">
        <v>89.54</v>
      </c>
      <c r="M35" s="330">
        <v>2.98</v>
      </c>
      <c r="N35" s="330">
        <v>93.56</v>
      </c>
      <c r="O35" s="333">
        <v>649</v>
      </c>
      <c r="P35" s="330">
        <v>104.63</v>
      </c>
      <c r="Q35" s="330">
        <v>86.86</v>
      </c>
      <c r="R35" s="330">
        <v>37.96</v>
      </c>
      <c r="S35" s="330">
        <v>139.9</v>
      </c>
      <c r="T35" s="333">
        <v>353</v>
      </c>
      <c r="U35" s="330">
        <v>96.52</v>
      </c>
      <c r="V35" s="333">
        <v>129</v>
      </c>
      <c r="W35" s="330">
        <v>0</v>
      </c>
      <c r="X35" s="333">
        <v>0</v>
      </c>
      <c r="Y35" s="330">
        <v>0</v>
      </c>
      <c r="Z35" s="330">
        <v>1</v>
      </c>
      <c r="AA35" s="330">
        <v>2</v>
      </c>
      <c r="AB35" s="330">
        <v>0</v>
      </c>
      <c r="AC35" s="330">
        <v>0</v>
      </c>
      <c r="AD35" s="330">
        <v>757</v>
      </c>
      <c r="AE35" s="330">
        <v>5</v>
      </c>
      <c r="AF35" s="330">
        <v>6</v>
      </c>
      <c r="AG35" s="330">
        <v>11</v>
      </c>
    </row>
    <row r="36" spans="1:33" x14ac:dyDescent="0.3">
      <c r="A36" s="329" t="s">
        <v>130</v>
      </c>
      <c r="B36" s="329" t="s">
        <v>131</v>
      </c>
      <c r="C36" s="330">
        <v>20987</v>
      </c>
      <c r="D36" s="330">
        <v>13</v>
      </c>
      <c r="E36" s="330">
        <v>851</v>
      </c>
      <c r="F36" s="330">
        <v>3635</v>
      </c>
      <c r="G36" s="330">
        <v>395</v>
      </c>
      <c r="H36" s="330">
        <v>25881</v>
      </c>
      <c r="I36" s="330">
        <v>25486</v>
      </c>
      <c r="J36" s="330">
        <v>2</v>
      </c>
      <c r="K36" s="330">
        <v>79.39</v>
      </c>
      <c r="L36" s="330">
        <v>80.81</v>
      </c>
      <c r="M36" s="330">
        <v>3.55</v>
      </c>
      <c r="N36" s="330">
        <v>82.6</v>
      </c>
      <c r="O36" s="333">
        <v>17238</v>
      </c>
      <c r="P36" s="330">
        <v>80.099999999999994</v>
      </c>
      <c r="Q36" s="330">
        <v>74.47</v>
      </c>
      <c r="R36" s="330">
        <v>42.64</v>
      </c>
      <c r="S36" s="330">
        <v>122.25</v>
      </c>
      <c r="T36" s="333">
        <v>4405</v>
      </c>
      <c r="U36" s="330">
        <v>98.93</v>
      </c>
      <c r="V36" s="333">
        <v>3447</v>
      </c>
      <c r="W36" s="330">
        <v>0</v>
      </c>
      <c r="X36" s="333">
        <v>0</v>
      </c>
      <c r="Y36" s="330">
        <v>9</v>
      </c>
      <c r="Z36" s="330">
        <v>117</v>
      </c>
      <c r="AA36" s="330">
        <v>18</v>
      </c>
      <c r="AB36" s="330">
        <v>17</v>
      </c>
      <c r="AC36" s="330">
        <v>10</v>
      </c>
      <c r="AD36" s="330">
        <v>20912</v>
      </c>
      <c r="AE36" s="330">
        <v>111</v>
      </c>
      <c r="AF36" s="330">
        <v>309</v>
      </c>
      <c r="AG36" s="330">
        <v>420</v>
      </c>
    </row>
    <row r="37" spans="1:33" x14ac:dyDescent="0.3">
      <c r="A37" s="329" t="s">
        <v>132</v>
      </c>
      <c r="B37" s="329" t="s">
        <v>133</v>
      </c>
      <c r="C37" s="330">
        <v>4835</v>
      </c>
      <c r="D37" s="330">
        <v>0</v>
      </c>
      <c r="E37" s="330">
        <v>180</v>
      </c>
      <c r="F37" s="330">
        <v>905</v>
      </c>
      <c r="G37" s="330">
        <v>402</v>
      </c>
      <c r="H37" s="330">
        <v>6322</v>
      </c>
      <c r="I37" s="330">
        <v>5920</v>
      </c>
      <c r="J37" s="330">
        <v>1</v>
      </c>
      <c r="K37" s="330">
        <v>82.15</v>
      </c>
      <c r="L37" s="330">
        <v>79.040000000000006</v>
      </c>
      <c r="M37" s="330">
        <v>2.0099999999999998</v>
      </c>
      <c r="N37" s="330">
        <v>84.12</v>
      </c>
      <c r="O37" s="333">
        <v>4117</v>
      </c>
      <c r="P37" s="330">
        <v>82.04</v>
      </c>
      <c r="Q37" s="330">
        <v>72.59</v>
      </c>
      <c r="R37" s="330">
        <v>23.6</v>
      </c>
      <c r="S37" s="330">
        <v>105.62</v>
      </c>
      <c r="T37" s="333">
        <v>1037</v>
      </c>
      <c r="U37" s="330">
        <v>109.69</v>
      </c>
      <c r="V37" s="333">
        <v>566</v>
      </c>
      <c r="W37" s="330">
        <v>340.69</v>
      </c>
      <c r="X37" s="333">
        <v>6</v>
      </c>
      <c r="Y37" s="330">
        <v>0</v>
      </c>
      <c r="Z37" s="330">
        <v>8</v>
      </c>
      <c r="AA37" s="330">
        <v>4</v>
      </c>
      <c r="AB37" s="330">
        <v>49</v>
      </c>
      <c r="AC37" s="330">
        <v>2</v>
      </c>
      <c r="AD37" s="330">
        <v>4798</v>
      </c>
      <c r="AE37" s="330">
        <v>36</v>
      </c>
      <c r="AF37" s="330">
        <v>14</v>
      </c>
      <c r="AG37" s="330">
        <v>50</v>
      </c>
    </row>
    <row r="38" spans="1:33" x14ac:dyDescent="0.3">
      <c r="A38" s="329" t="s">
        <v>134</v>
      </c>
      <c r="B38" s="329" t="s">
        <v>135</v>
      </c>
      <c r="C38" s="330">
        <v>6860</v>
      </c>
      <c r="D38" s="330">
        <v>13</v>
      </c>
      <c r="E38" s="330">
        <v>1236</v>
      </c>
      <c r="F38" s="330">
        <v>980</v>
      </c>
      <c r="G38" s="330">
        <v>959</v>
      </c>
      <c r="H38" s="330">
        <v>10048</v>
      </c>
      <c r="I38" s="330">
        <v>9089</v>
      </c>
      <c r="J38" s="330">
        <v>14</v>
      </c>
      <c r="K38" s="330">
        <v>106.45</v>
      </c>
      <c r="L38" s="330">
        <v>102.07</v>
      </c>
      <c r="M38" s="330">
        <v>5.88</v>
      </c>
      <c r="N38" s="330">
        <v>110.63</v>
      </c>
      <c r="O38" s="333">
        <v>5793</v>
      </c>
      <c r="P38" s="330">
        <v>98.02</v>
      </c>
      <c r="Q38" s="330">
        <v>83.8</v>
      </c>
      <c r="R38" s="330">
        <v>47.18</v>
      </c>
      <c r="S38" s="330">
        <v>143.83000000000001</v>
      </c>
      <c r="T38" s="333">
        <v>1726</v>
      </c>
      <c r="U38" s="330">
        <v>150.5</v>
      </c>
      <c r="V38" s="333">
        <v>618</v>
      </c>
      <c r="W38" s="330">
        <v>335.41</v>
      </c>
      <c r="X38" s="333">
        <v>52</v>
      </c>
      <c r="Y38" s="330">
        <v>27</v>
      </c>
      <c r="Z38" s="330">
        <v>2</v>
      </c>
      <c r="AA38" s="330">
        <v>37</v>
      </c>
      <c r="AB38" s="330">
        <v>6</v>
      </c>
      <c r="AC38" s="330">
        <v>21</v>
      </c>
      <c r="AD38" s="330">
        <v>6428</v>
      </c>
      <c r="AE38" s="330">
        <v>30</v>
      </c>
      <c r="AF38" s="330">
        <v>14</v>
      </c>
      <c r="AG38" s="330">
        <v>44</v>
      </c>
    </row>
    <row r="39" spans="1:33" x14ac:dyDescent="0.3">
      <c r="A39" s="329" t="s">
        <v>136</v>
      </c>
      <c r="B39" s="329" t="s">
        <v>137</v>
      </c>
      <c r="C39" s="330">
        <v>7468</v>
      </c>
      <c r="D39" s="330">
        <v>0</v>
      </c>
      <c r="E39" s="330">
        <v>248</v>
      </c>
      <c r="F39" s="330">
        <v>499</v>
      </c>
      <c r="G39" s="330">
        <v>813</v>
      </c>
      <c r="H39" s="330">
        <v>9028</v>
      </c>
      <c r="I39" s="330">
        <v>8215</v>
      </c>
      <c r="J39" s="330">
        <v>115</v>
      </c>
      <c r="K39" s="330">
        <v>111.97</v>
      </c>
      <c r="L39" s="330">
        <v>111.59</v>
      </c>
      <c r="M39" s="330">
        <v>8.48</v>
      </c>
      <c r="N39" s="330">
        <v>115.12</v>
      </c>
      <c r="O39" s="333">
        <v>6701</v>
      </c>
      <c r="P39" s="330">
        <v>101.6</v>
      </c>
      <c r="Q39" s="330">
        <v>97.69</v>
      </c>
      <c r="R39" s="330">
        <v>41.96</v>
      </c>
      <c r="S39" s="330">
        <v>141.27000000000001</v>
      </c>
      <c r="T39" s="333">
        <v>716</v>
      </c>
      <c r="U39" s="330">
        <v>173.26</v>
      </c>
      <c r="V39" s="333">
        <v>712</v>
      </c>
      <c r="W39" s="330">
        <v>0</v>
      </c>
      <c r="X39" s="333">
        <v>0</v>
      </c>
      <c r="Y39" s="330">
        <v>9</v>
      </c>
      <c r="Z39" s="330">
        <v>12</v>
      </c>
      <c r="AA39" s="330">
        <v>47</v>
      </c>
      <c r="AB39" s="330">
        <v>39</v>
      </c>
      <c r="AC39" s="330">
        <v>19</v>
      </c>
      <c r="AD39" s="330">
        <v>7456</v>
      </c>
      <c r="AE39" s="330">
        <v>74</v>
      </c>
      <c r="AF39" s="330">
        <v>165</v>
      </c>
      <c r="AG39" s="330">
        <v>239</v>
      </c>
    </row>
    <row r="40" spans="1:33" x14ac:dyDescent="0.3">
      <c r="A40" s="329" t="s">
        <v>138</v>
      </c>
      <c r="B40" s="329" t="s">
        <v>139</v>
      </c>
      <c r="C40" s="330">
        <v>27128</v>
      </c>
      <c r="D40" s="330">
        <v>1</v>
      </c>
      <c r="E40" s="330">
        <v>1561</v>
      </c>
      <c r="F40" s="330">
        <v>2851</v>
      </c>
      <c r="G40" s="330">
        <v>795</v>
      </c>
      <c r="H40" s="330">
        <v>32336</v>
      </c>
      <c r="I40" s="330">
        <v>31541</v>
      </c>
      <c r="J40" s="330">
        <v>3</v>
      </c>
      <c r="K40" s="330">
        <v>80.77</v>
      </c>
      <c r="L40" s="330">
        <v>80.34</v>
      </c>
      <c r="M40" s="330">
        <v>5.03</v>
      </c>
      <c r="N40" s="330">
        <v>85.55</v>
      </c>
      <c r="O40" s="333">
        <v>23465</v>
      </c>
      <c r="P40" s="330">
        <v>87.94</v>
      </c>
      <c r="Q40" s="330">
        <v>76.239999999999995</v>
      </c>
      <c r="R40" s="330">
        <v>42.28</v>
      </c>
      <c r="S40" s="330">
        <v>129.71</v>
      </c>
      <c r="T40" s="333">
        <v>3453</v>
      </c>
      <c r="U40" s="330">
        <v>101.98</v>
      </c>
      <c r="V40" s="333">
        <v>3504</v>
      </c>
      <c r="W40" s="330">
        <v>144.02000000000001</v>
      </c>
      <c r="X40" s="333">
        <v>79</v>
      </c>
      <c r="Y40" s="330">
        <v>29</v>
      </c>
      <c r="Z40" s="330">
        <v>124</v>
      </c>
      <c r="AA40" s="330">
        <v>38</v>
      </c>
      <c r="AB40" s="330">
        <v>53</v>
      </c>
      <c r="AC40" s="330">
        <v>15</v>
      </c>
      <c r="AD40" s="330">
        <v>27112</v>
      </c>
      <c r="AE40" s="330">
        <v>345</v>
      </c>
      <c r="AF40" s="330">
        <v>216</v>
      </c>
      <c r="AG40" s="330">
        <v>561</v>
      </c>
    </row>
    <row r="41" spans="1:33" x14ac:dyDescent="0.3">
      <c r="A41" s="329" t="s">
        <v>140</v>
      </c>
      <c r="B41" s="329" t="s">
        <v>141</v>
      </c>
      <c r="C41" s="330">
        <v>10085</v>
      </c>
      <c r="D41" s="330">
        <v>0</v>
      </c>
      <c r="E41" s="330">
        <v>305</v>
      </c>
      <c r="F41" s="330">
        <v>739</v>
      </c>
      <c r="G41" s="330">
        <v>517</v>
      </c>
      <c r="H41" s="330">
        <v>11646</v>
      </c>
      <c r="I41" s="330">
        <v>11129</v>
      </c>
      <c r="J41" s="330">
        <v>0</v>
      </c>
      <c r="K41" s="330">
        <v>98.86</v>
      </c>
      <c r="L41" s="330">
        <v>98.85</v>
      </c>
      <c r="M41" s="330">
        <v>4.05</v>
      </c>
      <c r="N41" s="330">
        <v>100.01</v>
      </c>
      <c r="O41" s="333">
        <v>8738</v>
      </c>
      <c r="P41" s="330">
        <v>88.48</v>
      </c>
      <c r="Q41" s="330">
        <v>86.3</v>
      </c>
      <c r="R41" s="330">
        <v>46.16</v>
      </c>
      <c r="S41" s="330">
        <v>132.94</v>
      </c>
      <c r="T41" s="333">
        <v>842</v>
      </c>
      <c r="U41" s="330">
        <v>150.22</v>
      </c>
      <c r="V41" s="333">
        <v>1257</v>
      </c>
      <c r="W41" s="330">
        <v>153.72</v>
      </c>
      <c r="X41" s="333">
        <v>24</v>
      </c>
      <c r="Y41" s="330">
        <v>27</v>
      </c>
      <c r="Z41" s="330">
        <v>21</v>
      </c>
      <c r="AA41" s="330">
        <v>0</v>
      </c>
      <c r="AB41" s="330">
        <v>113</v>
      </c>
      <c r="AC41" s="330">
        <v>6</v>
      </c>
      <c r="AD41" s="330">
        <v>10073</v>
      </c>
      <c r="AE41" s="330">
        <v>50</v>
      </c>
      <c r="AF41" s="330">
        <v>59</v>
      </c>
      <c r="AG41" s="330">
        <v>109</v>
      </c>
    </row>
    <row r="42" spans="1:33" x14ac:dyDescent="0.3">
      <c r="A42" s="329" t="s">
        <v>142</v>
      </c>
      <c r="B42" s="329" t="s">
        <v>143</v>
      </c>
      <c r="C42" s="330">
        <v>7542</v>
      </c>
      <c r="D42" s="330">
        <v>0</v>
      </c>
      <c r="E42" s="330">
        <v>194</v>
      </c>
      <c r="F42" s="330">
        <v>971</v>
      </c>
      <c r="G42" s="330">
        <v>361</v>
      </c>
      <c r="H42" s="330">
        <v>9068</v>
      </c>
      <c r="I42" s="330">
        <v>8707</v>
      </c>
      <c r="J42" s="330">
        <v>4</v>
      </c>
      <c r="K42" s="330">
        <v>90.89</v>
      </c>
      <c r="L42" s="330">
        <v>87.52</v>
      </c>
      <c r="M42" s="330">
        <v>3.08</v>
      </c>
      <c r="N42" s="330">
        <v>91.82</v>
      </c>
      <c r="O42" s="333">
        <v>6726</v>
      </c>
      <c r="P42" s="330">
        <v>83.17</v>
      </c>
      <c r="Q42" s="330">
        <v>76.33</v>
      </c>
      <c r="R42" s="330">
        <v>21.7</v>
      </c>
      <c r="S42" s="330">
        <v>104.18</v>
      </c>
      <c r="T42" s="333">
        <v>1127</v>
      </c>
      <c r="U42" s="330">
        <v>117.76</v>
      </c>
      <c r="V42" s="333">
        <v>787</v>
      </c>
      <c r="W42" s="330">
        <v>0</v>
      </c>
      <c r="X42" s="333">
        <v>0</v>
      </c>
      <c r="Y42" s="330">
        <v>9</v>
      </c>
      <c r="Z42" s="330">
        <v>4</v>
      </c>
      <c r="AA42" s="330">
        <v>12</v>
      </c>
      <c r="AB42" s="330">
        <v>45</v>
      </c>
      <c r="AC42" s="330">
        <v>10</v>
      </c>
      <c r="AD42" s="330">
        <v>7540</v>
      </c>
      <c r="AE42" s="330">
        <v>20</v>
      </c>
      <c r="AF42" s="330">
        <v>66</v>
      </c>
      <c r="AG42" s="330">
        <v>86</v>
      </c>
    </row>
    <row r="43" spans="1:33" x14ac:dyDescent="0.3">
      <c r="A43" s="329" t="s">
        <v>144</v>
      </c>
      <c r="B43" s="329" t="s">
        <v>145</v>
      </c>
      <c r="C43" s="330">
        <v>16875</v>
      </c>
      <c r="D43" s="330">
        <v>157</v>
      </c>
      <c r="E43" s="330">
        <v>1167</v>
      </c>
      <c r="F43" s="330">
        <v>1073</v>
      </c>
      <c r="G43" s="330">
        <v>2270</v>
      </c>
      <c r="H43" s="330">
        <v>21542</v>
      </c>
      <c r="I43" s="330">
        <v>19272</v>
      </c>
      <c r="J43" s="330">
        <v>90</v>
      </c>
      <c r="K43" s="330">
        <v>129.49</v>
      </c>
      <c r="L43" s="330">
        <v>130.9</v>
      </c>
      <c r="M43" s="330">
        <v>12.09</v>
      </c>
      <c r="N43" s="330">
        <v>138.01</v>
      </c>
      <c r="O43" s="333">
        <v>11751</v>
      </c>
      <c r="P43" s="330">
        <v>119.57</v>
      </c>
      <c r="Q43" s="330">
        <v>99.3</v>
      </c>
      <c r="R43" s="330">
        <v>59.49</v>
      </c>
      <c r="S43" s="330">
        <v>168.69</v>
      </c>
      <c r="T43" s="333">
        <v>1757</v>
      </c>
      <c r="U43" s="330">
        <v>226.98</v>
      </c>
      <c r="V43" s="333">
        <v>2085</v>
      </c>
      <c r="W43" s="330">
        <v>219.83</v>
      </c>
      <c r="X43" s="333">
        <v>139</v>
      </c>
      <c r="Y43" s="330">
        <v>62</v>
      </c>
      <c r="Z43" s="330">
        <v>6</v>
      </c>
      <c r="AA43" s="330">
        <v>5</v>
      </c>
      <c r="AB43" s="330">
        <v>336</v>
      </c>
      <c r="AC43" s="330">
        <v>195</v>
      </c>
      <c r="AD43" s="330">
        <v>15129</v>
      </c>
      <c r="AE43" s="330">
        <v>230</v>
      </c>
      <c r="AF43" s="330">
        <v>46</v>
      </c>
      <c r="AG43" s="330">
        <v>276</v>
      </c>
    </row>
    <row r="44" spans="1:33" x14ac:dyDescent="0.3">
      <c r="A44" s="329" t="s">
        <v>146</v>
      </c>
      <c r="B44" s="329" t="s">
        <v>147</v>
      </c>
      <c r="C44" s="330">
        <v>780</v>
      </c>
      <c r="D44" s="330">
        <v>7</v>
      </c>
      <c r="E44" s="330">
        <v>78</v>
      </c>
      <c r="F44" s="330">
        <v>162</v>
      </c>
      <c r="G44" s="330">
        <v>203</v>
      </c>
      <c r="H44" s="330">
        <v>1230</v>
      </c>
      <c r="I44" s="330">
        <v>1027</v>
      </c>
      <c r="J44" s="330">
        <v>0</v>
      </c>
      <c r="K44" s="330">
        <v>120.54</v>
      </c>
      <c r="L44" s="330">
        <v>118.5</v>
      </c>
      <c r="M44" s="330">
        <v>9.06</v>
      </c>
      <c r="N44" s="330">
        <v>129.07</v>
      </c>
      <c r="O44" s="333">
        <v>512</v>
      </c>
      <c r="P44" s="330">
        <v>100.37</v>
      </c>
      <c r="Q44" s="330">
        <v>96.68</v>
      </c>
      <c r="R44" s="330">
        <v>54.46</v>
      </c>
      <c r="S44" s="330">
        <v>154.83000000000001</v>
      </c>
      <c r="T44" s="333">
        <v>235</v>
      </c>
      <c r="U44" s="330">
        <v>158.72</v>
      </c>
      <c r="V44" s="333">
        <v>124</v>
      </c>
      <c r="W44" s="330">
        <v>0</v>
      </c>
      <c r="X44" s="333">
        <v>0</v>
      </c>
      <c r="Y44" s="330">
        <v>0</v>
      </c>
      <c r="Z44" s="330">
        <v>0</v>
      </c>
      <c r="AA44" s="330">
        <v>0</v>
      </c>
      <c r="AB44" s="330">
        <v>0</v>
      </c>
      <c r="AC44" s="330">
        <v>4</v>
      </c>
      <c r="AD44" s="330">
        <v>639</v>
      </c>
      <c r="AE44" s="330">
        <v>3</v>
      </c>
      <c r="AF44" s="330">
        <v>0</v>
      </c>
      <c r="AG44" s="330">
        <v>3</v>
      </c>
    </row>
    <row r="45" spans="1:33" x14ac:dyDescent="0.3">
      <c r="A45" s="329" t="s">
        <v>148</v>
      </c>
      <c r="B45" s="329" t="s">
        <v>149</v>
      </c>
      <c r="C45" s="330">
        <v>4730</v>
      </c>
      <c r="D45" s="330">
        <v>71</v>
      </c>
      <c r="E45" s="330">
        <v>985</v>
      </c>
      <c r="F45" s="330">
        <v>1045</v>
      </c>
      <c r="G45" s="330">
        <v>954</v>
      </c>
      <c r="H45" s="330">
        <v>7785</v>
      </c>
      <c r="I45" s="330">
        <v>6831</v>
      </c>
      <c r="J45" s="330">
        <v>68</v>
      </c>
      <c r="K45" s="330">
        <v>98.1</v>
      </c>
      <c r="L45" s="330">
        <v>95.74</v>
      </c>
      <c r="M45" s="330">
        <v>10.74</v>
      </c>
      <c r="N45" s="330">
        <v>106.85</v>
      </c>
      <c r="O45" s="333">
        <v>3775</v>
      </c>
      <c r="P45" s="330">
        <v>95.56</v>
      </c>
      <c r="Q45" s="330">
        <v>83.13</v>
      </c>
      <c r="R45" s="330">
        <v>67.64</v>
      </c>
      <c r="S45" s="330">
        <v>160.99</v>
      </c>
      <c r="T45" s="333">
        <v>1160</v>
      </c>
      <c r="U45" s="330">
        <v>172.27</v>
      </c>
      <c r="V45" s="333">
        <v>494</v>
      </c>
      <c r="W45" s="330">
        <v>0</v>
      </c>
      <c r="X45" s="333">
        <v>0</v>
      </c>
      <c r="Y45" s="330">
        <v>12</v>
      </c>
      <c r="Z45" s="330">
        <v>0</v>
      </c>
      <c r="AA45" s="330">
        <v>3</v>
      </c>
      <c r="AB45" s="330">
        <v>140</v>
      </c>
      <c r="AC45" s="330">
        <v>29</v>
      </c>
      <c r="AD45" s="330">
        <v>4406</v>
      </c>
      <c r="AE45" s="330">
        <v>38</v>
      </c>
      <c r="AF45" s="330">
        <v>16</v>
      </c>
      <c r="AG45" s="330">
        <v>54</v>
      </c>
    </row>
    <row r="46" spans="1:33" x14ac:dyDescent="0.3">
      <c r="A46" s="329" t="s">
        <v>150</v>
      </c>
      <c r="B46" s="329" t="s">
        <v>151</v>
      </c>
      <c r="C46" s="330">
        <v>9012</v>
      </c>
      <c r="D46" s="330">
        <v>31</v>
      </c>
      <c r="E46" s="330">
        <v>2752</v>
      </c>
      <c r="F46" s="330">
        <v>1065</v>
      </c>
      <c r="G46" s="330">
        <v>1563</v>
      </c>
      <c r="H46" s="330">
        <v>14423</v>
      </c>
      <c r="I46" s="330">
        <v>12860</v>
      </c>
      <c r="J46" s="330">
        <v>41</v>
      </c>
      <c r="K46" s="330">
        <v>99.75</v>
      </c>
      <c r="L46" s="330">
        <v>98.26</v>
      </c>
      <c r="M46" s="330">
        <v>9.9600000000000009</v>
      </c>
      <c r="N46" s="330">
        <v>106.82</v>
      </c>
      <c r="O46" s="333">
        <v>7122</v>
      </c>
      <c r="P46" s="330">
        <v>91.92</v>
      </c>
      <c r="Q46" s="330">
        <v>89.9</v>
      </c>
      <c r="R46" s="330">
        <v>42.54</v>
      </c>
      <c r="S46" s="330">
        <v>131.62</v>
      </c>
      <c r="T46" s="333">
        <v>3134</v>
      </c>
      <c r="U46" s="330">
        <v>142.38999999999999</v>
      </c>
      <c r="V46" s="333">
        <v>1295</v>
      </c>
      <c r="W46" s="330">
        <v>143.02000000000001</v>
      </c>
      <c r="X46" s="333">
        <v>90</v>
      </c>
      <c r="Y46" s="330">
        <v>0</v>
      </c>
      <c r="Z46" s="330">
        <v>3</v>
      </c>
      <c r="AA46" s="330">
        <v>5</v>
      </c>
      <c r="AB46" s="330">
        <v>127</v>
      </c>
      <c r="AC46" s="330">
        <v>32</v>
      </c>
      <c r="AD46" s="330">
        <v>8627</v>
      </c>
      <c r="AE46" s="330">
        <v>54</v>
      </c>
      <c r="AF46" s="330">
        <v>46</v>
      </c>
      <c r="AG46" s="330">
        <v>100</v>
      </c>
    </row>
    <row r="47" spans="1:33" x14ac:dyDescent="0.3">
      <c r="A47" s="329" t="s">
        <v>152</v>
      </c>
      <c r="B47" s="329" t="s">
        <v>153</v>
      </c>
      <c r="C47" s="330">
        <v>5070</v>
      </c>
      <c r="D47" s="330">
        <v>0</v>
      </c>
      <c r="E47" s="330">
        <v>149</v>
      </c>
      <c r="F47" s="330">
        <v>559</v>
      </c>
      <c r="G47" s="330">
        <v>485</v>
      </c>
      <c r="H47" s="330">
        <v>6263</v>
      </c>
      <c r="I47" s="330">
        <v>5778</v>
      </c>
      <c r="J47" s="330">
        <v>0</v>
      </c>
      <c r="K47" s="330">
        <v>94.4</v>
      </c>
      <c r="L47" s="330">
        <v>91.03</v>
      </c>
      <c r="M47" s="330">
        <v>2.17</v>
      </c>
      <c r="N47" s="330">
        <v>95.88</v>
      </c>
      <c r="O47" s="333">
        <v>3695</v>
      </c>
      <c r="P47" s="330">
        <v>91.75</v>
      </c>
      <c r="Q47" s="330">
        <v>80.790000000000006</v>
      </c>
      <c r="R47" s="330">
        <v>32.31</v>
      </c>
      <c r="S47" s="330">
        <v>124.01</v>
      </c>
      <c r="T47" s="333">
        <v>706</v>
      </c>
      <c r="U47" s="330">
        <v>116.62</v>
      </c>
      <c r="V47" s="333">
        <v>1221</v>
      </c>
      <c r="W47" s="330">
        <v>0</v>
      </c>
      <c r="X47" s="333">
        <v>0</v>
      </c>
      <c r="Y47" s="330">
        <v>19</v>
      </c>
      <c r="Z47" s="330">
        <v>3</v>
      </c>
      <c r="AA47" s="330">
        <v>0</v>
      </c>
      <c r="AB47" s="330">
        <v>67</v>
      </c>
      <c r="AC47" s="330">
        <v>11</v>
      </c>
      <c r="AD47" s="330">
        <v>5067</v>
      </c>
      <c r="AE47" s="330">
        <v>32</v>
      </c>
      <c r="AF47" s="330">
        <v>19</v>
      </c>
      <c r="AG47" s="330">
        <v>51</v>
      </c>
    </row>
    <row r="48" spans="1:33" x14ac:dyDescent="0.3">
      <c r="A48" s="329" t="s">
        <v>154</v>
      </c>
      <c r="B48" s="329" t="s">
        <v>155</v>
      </c>
      <c r="C48" s="330">
        <v>16279</v>
      </c>
      <c r="D48" s="330">
        <v>108</v>
      </c>
      <c r="E48" s="330">
        <v>597</v>
      </c>
      <c r="F48" s="330">
        <v>2023</v>
      </c>
      <c r="G48" s="330">
        <v>1192</v>
      </c>
      <c r="H48" s="330">
        <v>20199</v>
      </c>
      <c r="I48" s="330">
        <v>19007</v>
      </c>
      <c r="J48" s="330">
        <v>43</v>
      </c>
      <c r="K48" s="330">
        <v>117.82</v>
      </c>
      <c r="L48" s="330">
        <v>113.88</v>
      </c>
      <c r="M48" s="330">
        <v>11.67</v>
      </c>
      <c r="N48" s="330">
        <v>124.46</v>
      </c>
      <c r="O48" s="333">
        <v>13340</v>
      </c>
      <c r="P48" s="330">
        <v>111.8</v>
      </c>
      <c r="Q48" s="330">
        <v>101.98</v>
      </c>
      <c r="R48" s="330">
        <v>45.9</v>
      </c>
      <c r="S48" s="330">
        <v>155.34</v>
      </c>
      <c r="T48" s="333">
        <v>2080</v>
      </c>
      <c r="U48" s="330">
        <v>181.37</v>
      </c>
      <c r="V48" s="333">
        <v>1854</v>
      </c>
      <c r="W48" s="330">
        <v>0</v>
      </c>
      <c r="X48" s="333">
        <v>0</v>
      </c>
      <c r="Y48" s="330">
        <v>7</v>
      </c>
      <c r="Z48" s="330">
        <v>5</v>
      </c>
      <c r="AA48" s="330">
        <v>24</v>
      </c>
      <c r="AB48" s="330">
        <v>28</v>
      </c>
      <c r="AC48" s="330">
        <v>46</v>
      </c>
      <c r="AD48" s="330">
        <v>15386</v>
      </c>
      <c r="AE48" s="330">
        <v>167</v>
      </c>
      <c r="AF48" s="330">
        <v>89</v>
      </c>
      <c r="AG48" s="330">
        <v>256</v>
      </c>
    </row>
    <row r="49" spans="1:33" x14ac:dyDescent="0.3">
      <c r="A49" s="329" t="s">
        <v>156</v>
      </c>
      <c r="B49" s="329" t="s">
        <v>157</v>
      </c>
      <c r="C49" s="330">
        <v>3480</v>
      </c>
      <c r="D49" s="330">
        <v>0</v>
      </c>
      <c r="E49" s="330">
        <v>79</v>
      </c>
      <c r="F49" s="330">
        <v>1006</v>
      </c>
      <c r="G49" s="330">
        <v>450</v>
      </c>
      <c r="H49" s="330">
        <v>5015</v>
      </c>
      <c r="I49" s="330">
        <v>4565</v>
      </c>
      <c r="J49" s="330">
        <v>0</v>
      </c>
      <c r="K49" s="330">
        <v>94.22</v>
      </c>
      <c r="L49" s="330">
        <v>94.03</v>
      </c>
      <c r="M49" s="330">
        <v>4.87</v>
      </c>
      <c r="N49" s="330">
        <v>97.33</v>
      </c>
      <c r="O49" s="333">
        <v>3094</v>
      </c>
      <c r="P49" s="330">
        <v>86.46</v>
      </c>
      <c r="Q49" s="330">
        <v>86.69</v>
      </c>
      <c r="R49" s="330">
        <v>26.66</v>
      </c>
      <c r="S49" s="330">
        <v>113.1</v>
      </c>
      <c r="T49" s="333">
        <v>1043</v>
      </c>
      <c r="U49" s="330">
        <v>118.86</v>
      </c>
      <c r="V49" s="333">
        <v>347</v>
      </c>
      <c r="W49" s="330">
        <v>0</v>
      </c>
      <c r="X49" s="333">
        <v>0</v>
      </c>
      <c r="Y49" s="330">
        <v>0</v>
      </c>
      <c r="Z49" s="330">
        <v>9</v>
      </c>
      <c r="AA49" s="330">
        <v>3</v>
      </c>
      <c r="AB49" s="330">
        <v>15</v>
      </c>
      <c r="AC49" s="330">
        <v>10</v>
      </c>
      <c r="AD49" s="330">
        <v>3480</v>
      </c>
      <c r="AE49" s="330">
        <v>21</v>
      </c>
      <c r="AF49" s="330">
        <v>6</v>
      </c>
      <c r="AG49" s="330">
        <v>27</v>
      </c>
    </row>
    <row r="50" spans="1:33" x14ac:dyDescent="0.3">
      <c r="A50" s="329" t="s">
        <v>158</v>
      </c>
      <c r="B50" s="329" t="s">
        <v>159</v>
      </c>
      <c r="C50" s="330">
        <v>4831</v>
      </c>
      <c r="D50" s="330">
        <v>0</v>
      </c>
      <c r="E50" s="330">
        <v>107</v>
      </c>
      <c r="F50" s="330">
        <v>378</v>
      </c>
      <c r="G50" s="330">
        <v>399</v>
      </c>
      <c r="H50" s="330">
        <v>5715</v>
      </c>
      <c r="I50" s="330">
        <v>5316</v>
      </c>
      <c r="J50" s="330">
        <v>0</v>
      </c>
      <c r="K50" s="330">
        <v>116.17</v>
      </c>
      <c r="L50" s="330">
        <v>113.33</v>
      </c>
      <c r="M50" s="330">
        <v>9.07</v>
      </c>
      <c r="N50" s="330">
        <v>121.77</v>
      </c>
      <c r="O50" s="333">
        <v>3952</v>
      </c>
      <c r="P50" s="330">
        <v>103.66</v>
      </c>
      <c r="Q50" s="330">
        <v>93.25</v>
      </c>
      <c r="R50" s="330">
        <v>35.39</v>
      </c>
      <c r="S50" s="330">
        <v>138.46</v>
      </c>
      <c r="T50" s="333">
        <v>481</v>
      </c>
      <c r="U50" s="330">
        <v>177.08</v>
      </c>
      <c r="V50" s="333">
        <v>856</v>
      </c>
      <c r="W50" s="330">
        <v>0</v>
      </c>
      <c r="X50" s="333">
        <v>0</v>
      </c>
      <c r="Y50" s="330">
        <v>0</v>
      </c>
      <c r="Z50" s="330">
        <v>8</v>
      </c>
      <c r="AA50" s="330">
        <v>0</v>
      </c>
      <c r="AB50" s="330">
        <v>16</v>
      </c>
      <c r="AC50" s="330">
        <v>10</v>
      </c>
      <c r="AD50" s="330">
        <v>4831</v>
      </c>
      <c r="AE50" s="330">
        <v>45</v>
      </c>
      <c r="AF50" s="330">
        <v>7</v>
      </c>
      <c r="AG50" s="330">
        <v>52</v>
      </c>
    </row>
    <row r="51" spans="1:33" x14ac:dyDescent="0.3">
      <c r="A51" s="329" t="s">
        <v>160</v>
      </c>
      <c r="B51" s="329" t="s">
        <v>161</v>
      </c>
      <c r="C51" s="330">
        <v>1135</v>
      </c>
      <c r="D51" s="330">
        <v>0</v>
      </c>
      <c r="E51" s="330">
        <v>123</v>
      </c>
      <c r="F51" s="330">
        <v>108</v>
      </c>
      <c r="G51" s="330">
        <v>103</v>
      </c>
      <c r="H51" s="330">
        <v>1469</v>
      </c>
      <c r="I51" s="330">
        <v>1366</v>
      </c>
      <c r="J51" s="330">
        <v>5</v>
      </c>
      <c r="K51" s="330">
        <v>82.55</v>
      </c>
      <c r="L51" s="330">
        <v>79.98</v>
      </c>
      <c r="M51" s="330">
        <v>7.58</v>
      </c>
      <c r="N51" s="330">
        <v>88.96</v>
      </c>
      <c r="O51" s="333">
        <v>930</v>
      </c>
      <c r="P51" s="330">
        <v>101.49</v>
      </c>
      <c r="Q51" s="330">
        <v>73.27</v>
      </c>
      <c r="R51" s="330">
        <v>65.709999999999994</v>
      </c>
      <c r="S51" s="330">
        <v>166.88</v>
      </c>
      <c r="T51" s="333">
        <v>204</v>
      </c>
      <c r="U51" s="330">
        <v>100.46</v>
      </c>
      <c r="V51" s="333">
        <v>180</v>
      </c>
      <c r="W51" s="330">
        <v>204.71</v>
      </c>
      <c r="X51" s="333">
        <v>27</v>
      </c>
      <c r="Y51" s="330">
        <v>0</v>
      </c>
      <c r="Z51" s="330">
        <v>0</v>
      </c>
      <c r="AA51" s="330">
        <v>1</v>
      </c>
      <c r="AB51" s="330">
        <v>8</v>
      </c>
      <c r="AC51" s="330">
        <v>1</v>
      </c>
      <c r="AD51" s="330">
        <v>1135</v>
      </c>
      <c r="AE51" s="330">
        <v>7</v>
      </c>
      <c r="AF51" s="330">
        <v>2</v>
      </c>
      <c r="AG51" s="330">
        <v>9</v>
      </c>
    </row>
    <row r="52" spans="1:33" x14ac:dyDescent="0.3">
      <c r="A52" s="329" t="s">
        <v>775</v>
      </c>
      <c r="B52" s="329" t="s">
        <v>770</v>
      </c>
      <c r="C52" s="330">
        <v>25615</v>
      </c>
      <c r="D52" s="330">
        <v>3</v>
      </c>
      <c r="E52" s="330">
        <v>974</v>
      </c>
      <c r="F52" s="330">
        <v>3265</v>
      </c>
      <c r="G52" s="330">
        <v>2634</v>
      </c>
      <c r="H52" s="330">
        <v>32491</v>
      </c>
      <c r="I52" s="330">
        <v>29857</v>
      </c>
      <c r="J52" s="330">
        <v>142</v>
      </c>
      <c r="K52" s="330">
        <v>113.66</v>
      </c>
      <c r="L52" s="330">
        <v>113.19</v>
      </c>
      <c r="M52" s="330">
        <v>5.17</v>
      </c>
      <c r="N52" s="330">
        <v>117.12</v>
      </c>
      <c r="O52" s="333">
        <v>20837</v>
      </c>
      <c r="P52" s="330">
        <v>107.58</v>
      </c>
      <c r="Q52" s="330">
        <v>97.09</v>
      </c>
      <c r="R52" s="330">
        <v>29.98</v>
      </c>
      <c r="S52" s="330">
        <v>135.56</v>
      </c>
      <c r="T52" s="333">
        <v>3823</v>
      </c>
      <c r="U52" s="330">
        <v>172.48</v>
      </c>
      <c r="V52" s="333">
        <v>4170</v>
      </c>
      <c r="W52" s="330">
        <v>170.89</v>
      </c>
      <c r="X52" s="333">
        <v>70</v>
      </c>
      <c r="Y52" s="330">
        <v>15</v>
      </c>
      <c r="Z52" s="330">
        <v>46</v>
      </c>
      <c r="AA52" s="330">
        <v>30</v>
      </c>
      <c r="AB52" s="330">
        <v>155</v>
      </c>
      <c r="AC52" s="330">
        <v>55</v>
      </c>
      <c r="AD52" s="330">
        <v>25257</v>
      </c>
      <c r="AE52" s="330">
        <v>196</v>
      </c>
      <c r="AF52" s="330">
        <v>242</v>
      </c>
      <c r="AG52" s="330">
        <v>438</v>
      </c>
    </row>
    <row r="53" spans="1:33" x14ac:dyDescent="0.3">
      <c r="A53" s="329" t="s">
        <v>162</v>
      </c>
      <c r="B53" s="329" t="s">
        <v>163</v>
      </c>
      <c r="C53" s="330">
        <v>4651</v>
      </c>
      <c r="D53" s="330">
        <v>0</v>
      </c>
      <c r="E53" s="330">
        <v>360</v>
      </c>
      <c r="F53" s="330">
        <v>1452</v>
      </c>
      <c r="G53" s="330">
        <v>62</v>
      </c>
      <c r="H53" s="330">
        <v>6525</v>
      </c>
      <c r="I53" s="330">
        <v>6463</v>
      </c>
      <c r="J53" s="330">
        <v>3</v>
      </c>
      <c r="K53" s="330">
        <v>82.54</v>
      </c>
      <c r="L53" s="330">
        <v>79.069999999999993</v>
      </c>
      <c r="M53" s="330">
        <v>2.8</v>
      </c>
      <c r="N53" s="330">
        <v>85.15</v>
      </c>
      <c r="O53" s="333">
        <v>3799</v>
      </c>
      <c r="P53" s="330">
        <v>81.36</v>
      </c>
      <c r="Q53" s="330">
        <v>70.36</v>
      </c>
      <c r="R53" s="330">
        <v>37.35</v>
      </c>
      <c r="S53" s="330">
        <v>118.35</v>
      </c>
      <c r="T53" s="333">
        <v>1616</v>
      </c>
      <c r="U53" s="330">
        <v>98.92</v>
      </c>
      <c r="V53" s="333">
        <v>817</v>
      </c>
      <c r="W53" s="330">
        <v>265.08</v>
      </c>
      <c r="X53" s="333">
        <v>123</v>
      </c>
      <c r="Y53" s="330">
        <v>0</v>
      </c>
      <c r="Z53" s="330">
        <v>33</v>
      </c>
      <c r="AA53" s="330">
        <v>0</v>
      </c>
      <c r="AB53" s="330">
        <v>0</v>
      </c>
      <c r="AC53" s="330">
        <v>1</v>
      </c>
      <c r="AD53" s="330">
        <v>4618</v>
      </c>
      <c r="AE53" s="330">
        <v>45</v>
      </c>
      <c r="AF53" s="330">
        <v>11</v>
      </c>
      <c r="AG53" s="330">
        <v>56</v>
      </c>
    </row>
    <row r="54" spans="1:33" x14ac:dyDescent="0.3">
      <c r="A54" s="329" t="s">
        <v>164</v>
      </c>
      <c r="B54" s="329" t="s">
        <v>165</v>
      </c>
      <c r="C54" s="330">
        <v>3922</v>
      </c>
      <c r="D54" s="330">
        <v>12</v>
      </c>
      <c r="E54" s="330">
        <v>528</v>
      </c>
      <c r="F54" s="330">
        <v>588</v>
      </c>
      <c r="G54" s="330">
        <v>186</v>
      </c>
      <c r="H54" s="330">
        <v>5236</v>
      </c>
      <c r="I54" s="330">
        <v>5050</v>
      </c>
      <c r="J54" s="330">
        <v>1</v>
      </c>
      <c r="K54" s="330">
        <v>84.27</v>
      </c>
      <c r="L54" s="330">
        <v>82.88</v>
      </c>
      <c r="M54" s="330">
        <v>4.7300000000000004</v>
      </c>
      <c r="N54" s="330">
        <v>87.96</v>
      </c>
      <c r="O54" s="333">
        <v>3079</v>
      </c>
      <c r="P54" s="330">
        <v>91.58</v>
      </c>
      <c r="Q54" s="330">
        <v>77.849999999999994</v>
      </c>
      <c r="R54" s="330">
        <v>48.06</v>
      </c>
      <c r="S54" s="330">
        <v>135.5</v>
      </c>
      <c r="T54" s="333">
        <v>813</v>
      </c>
      <c r="U54" s="330">
        <v>107.24</v>
      </c>
      <c r="V54" s="333">
        <v>640</v>
      </c>
      <c r="W54" s="330">
        <v>127.86</v>
      </c>
      <c r="X54" s="333">
        <v>17</v>
      </c>
      <c r="Y54" s="330">
        <v>3</v>
      </c>
      <c r="Z54" s="330">
        <v>4</v>
      </c>
      <c r="AA54" s="330">
        <v>0</v>
      </c>
      <c r="AB54" s="330">
        <v>33</v>
      </c>
      <c r="AC54" s="330">
        <v>1</v>
      </c>
      <c r="AD54" s="330">
        <v>3634</v>
      </c>
      <c r="AE54" s="330">
        <v>28</v>
      </c>
      <c r="AF54" s="330">
        <v>15</v>
      </c>
      <c r="AG54" s="330">
        <v>43</v>
      </c>
    </row>
    <row r="55" spans="1:33" x14ac:dyDescent="0.3">
      <c r="A55" s="329" t="s">
        <v>166</v>
      </c>
      <c r="B55" s="329" t="s">
        <v>167</v>
      </c>
      <c r="C55" s="330">
        <v>12457</v>
      </c>
      <c r="D55" s="330">
        <v>0</v>
      </c>
      <c r="E55" s="330">
        <v>430</v>
      </c>
      <c r="F55" s="330">
        <v>1103</v>
      </c>
      <c r="G55" s="330">
        <v>274</v>
      </c>
      <c r="H55" s="330">
        <v>14264</v>
      </c>
      <c r="I55" s="330">
        <v>13990</v>
      </c>
      <c r="J55" s="330">
        <v>25</v>
      </c>
      <c r="K55" s="330">
        <v>80.13</v>
      </c>
      <c r="L55" s="330">
        <v>78.430000000000007</v>
      </c>
      <c r="M55" s="330">
        <v>5.66</v>
      </c>
      <c r="N55" s="330">
        <v>85.53</v>
      </c>
      <c r="O55" s="333">
        <v>11597</v>
      </c>
      <c r="P55" s="330">
        <v>88.82</v>
      </c>
      <c r="Q55" s="330">
        <v>75.790000000000006</v>
      </c>
      <c r="R55" s="330">
        <v>39.229999999999997</v>
      </c>
      <c r="S55" s="330">
        <v>127.76</v>
      </c>
      <c r="T55" s="333">
        <v>1325</v>
      </c>
      <c r="U55" s="330">
        <v>103.34</v>
      </c>
      <c r="V55" s="333">
        <v>786</v>
      </c>
      <c r="W55" s="330">
        <v>84.68</v>
      </c>
      <c r="X55" s="333">
        <v>6</v>
      </c>
      <c r="Y55" s="330">
        <v>0</v>
      </c>
      <c r="Z55" s="330">
        <v>36</v>
      </c>
      <c r="AA55" s="330">
        <v>5</v>
      </c>
      <c r="AB55" s="330">
        <v>46</v>
      </c>
      <c r="AC55" s="330">
        <v>3</v>
      </c>
      <c r="AD55" s="330">
        <v>12428</v>
      </c>
      <c r="AE55" s="330">
        <v>82</v>
      </c>
      <c r="AF55" s="330">
        <v>180</v>
      </c>
      <c r="AG55" s="330">
        <v>262</v>
      </c>
    </row>
    <row r="56" spans="1:33" x14ac:dyDescent="0.3">
      <c r="A56" s="329" t="s">
        <v>168</v>
      </c>
      <c r="B56" s="329" t="s">
        <v>169</v>
      </c>
      <c r="C56" s="330">
        <v>3860</v>
      </c>
      <c r="D56" s="330">
        <v>595</v>
      </c>
      <c r="E56" s="330">
        <v>467</v>
      </c>
      <c r="F56" s="330">
        <v>495</v>
      </c>
      <c r="G56" s="330">
        <v>695</v>
      </c>
      <c r="H56" s="330">
        <v>6112</v>
      </c>
      <c r="I56" s="330">
        <v>5417</v>
      </c>
      <c r="J56" s="330">
        <v>4</v>
      </c>
      <c r="K56" s="330">
        <v>111.15</v>
      </c>
      <c r="L56" s="330">
        <v>111.3</v>
      </c>
      <c r="M56" s="330">
        <v>9.68</v>
      </c>
      <c r="N56" s="330">
        <v>117.8</v>
      </c>
      <c r="O56" s="333">
        <v>2667</v>
      </c>
      <c r="P56" s="330">
        <v>99.09</v>
      </c>
      <c r="Q56" s="330">
        <v>92.26</v>
      </c>
      <c r="R56" s="330">
        <v>70.08</v>
      </c>
      <c r="S56" s="330">
        <v>168.52</v>
      </c>
      <c r="T56" s="333">
        <v>866</v>
      </c>
      <c r="U56" s="330">
        <v>158.65</v>
      </c>
      <c r="V56" s="333">
        <v>947</v>
      </c>
      <c r="W56" s="330">
        <v>281.39</v>
      </c>
      <c r="X56" s="333">
        <v>2</v>
      </c>
      <c r="Y56" s="330">
        <v>0</v>
      </c>
      <c r="Z56" s="330">
        <v>0</v>
      </c>
      <c r="AA56" s="330">
        <v>4</v>
      </c>
      <c r="AB56" s="330">
        <v>30</v>
      </c>
      <c r="AC56" s="330">
        <v>51</v>
      </c>
      <c r="AD56" s="330">
        <v>3843</v>
      </c>
      <c r="AE56" s="330">
        <v>74</v>
      </c>
      <c r="AF56" s="330">
        <v>7</v>
      </c>
      <c r="AG56" s="330">
        <v>81</v>
      </c>
    </row>
    <row r="57" spans="1:33" x14ac:dyDescent="0.3">
      <c r="A57" s="329" t="s">
        <v>170</v>
      </c>
      <c r="B57" s="329" t="s">
        <v>171</v>
      </c>
      <c r="C57" s="330">
        <v>8350</v>
      </c>
      <c r="D57" s="330">
        <v>992</v>
      </c>
      <c r="E57" s="330">
        <v>1509</v>
      </c>
      <c r="F57" s="330">
        <v>902</v>
      </c>
      <c r="G57" s="330">
        <v>553</v>
      </c>
      <c r="H57" s="330">
        <v>12306</v>
      </c>
      <c r="I57" s="330">
        <v>11753</v>
      </c>
      <c r="J57" s="330">
        <v>18</v>
      </c>
      <c r="K57" s="330">
        <v>136.88</v>
      </c>
      <c r="L57" s="330">
        <v>146.4</v>
      </c>
      <c r="M57" s="330">
        <v>15.46</v>
      </c>
      <c r="N57" s="330">
        <v>150.9</v>
      </c>
      <c r="O57" s="333">
        <v>6124</v>
      </c>
      <c r="P57" s="330">
        <v>114.37</v>
      </c>
      <c r="Q57" s="330">
        <v>115.03</v>
      </c>
      <c r="R57" s="330">
        <v>84.11</v>
      </c>
      <c r="S57" s="330">
        <v>197.1</v>
      </c>
      <c r="T57" s="333">
        <v>2207</v>
      </c>
      <c r="U57" s="330">
        <v>224.19</v>
      </c>
      <c r="V57" s="333">
        <v>520</v>
      </c>
      <c r="W57" s="330">
        <v>257.67</v>
      </c>
      <c r="X57" s="333">
        <v>60</v>
      </c>
      <c r="Y57" s="330">
        <v>1</v>
      </c>
      <c r="Z57" s="330">
        <v>0</v>
      </c>
      <c r="AA57" s="330">
        <v>8</v>
      </c>
      <c r="AB57" s="330">
        <v>15</v>
      </c>
      <c r="AC57" s="330">
        <v>18</v>
      </c>
      <c r="AD57" s="330">
        <v>6945</v>
      </c>
      <c r="AE57" s="330">
        <v>72</v>
      </c>
      <c r="AF57" s="330">
        <v>63</v>
      </c>
      <c r="AG57" s="330">
        <v>135</v>
      </c>
    </row>
    <row r="58" spans="1:33" x14ac:dyDescent="0.3">
      <c r="A58" s="329" t="s">
        <v>172</v>
      </c>
      <c r="B58" s="329" t="s">
        <v>173</v>
      </c>
      <c r="C58" s="330">
        <v>1947</v>
      </c>
      <c r="D58" s="330">
        <v>2</v>
      </c>
      <c r="E58" s="330">
        <v>241</v>
      </c>
      <c r="F58" s="330">
        <v>271</v>
      </c>
      <c r="G58" s="330">
        <v>297</v>
      </c>
      <c r="H58" s="330">
        <v>2758</v>
      </c>
      <c r="I58" s="330">
        <v>2461</v>
      </c>
      <c r="J58" s="330">
        <v>0</v>
      </c>
      <c r="K58" s="330">
        <v>93.5</v>
      </c>
      <c r="L58" s="330">
        <v>91.48</v>
      </c>
      <c r="M58" s="330">
        <v>5.22</v>
      </c>
      <c r="N58" s="330">
        <v>96.87</v>
      </c>
      <c r="O58" s="333">
        <v>1402</v>
      </c>
      <c r="P58" s="330">
        <v>102.69</v>
      </c>
      <c r="Q58" s="330">
        <v>81.62</v>
      </c>
      <c r="R58" s="330">
        <v>68.260000000000005</v>
      </c>
      <c r="S58" s="330">
        <v>170.76</v>
      </c>
      <c r="T58" s="333">
        <v>364</v>
      </c>
      <c r="U58" s="330">
        <v>120.64</v>
      </c>
      <c r="V58" s="333">
        <v>499</v>
      </c>
      <c r="W58" s="330">
        <v>225.81</v>
      </c>
      <c r="X58" s="333">
        <v>69</v>
      </c>
      <c r="Y58" s="330">
        <v>0</v>
      </c>
      <c r="Z58" s="330">
        <v>0</v>
      </c>
      <c r="AA58" s="330">
        <v>4</v>
      </c>
      <c r="AB58" s="330">
        <v>32</v>
      </c>
      <c r="AC58" s="330">
        <v>6</v>
      </c>
      <c r="AD58" s="330">
        <v>1924</v>
      </c>
      <c r="AE58" s="330">
        <v>34</v>
      </c>
      <c r="AF58" s="330">
        <v>7</v>
      </c>
      <c r="AG58" s="330">
        <v>41</v>
      </c>
    </row>
    <row r="59" spans="1:33" x14ac:dyDescent="0.3">
      <c r="A59" s="329" t="s">
        <v>174</v>
      </c>
      <c r="B59" s="329" t="s">
        <v>175</v>
      </c>
      <c r="C59" s="330">
        <v>2154</v>
      </c>
      <c r="D59" s="330">
        <v>0</v>
      </c>
      <c r="E59" s="330">
        <v>184</v>
      </c>
      <c r="F59" s="330">
        <v>380</v>
      </c>
      <c r="G59" s="330">
        <v>548</v>
      </c>
      <c r="H59" s="330">
        <v>3266</v>
      </c>
      <c r="I59" s="330">
        <v>2718</v>
      </c>
      <c r="J59" s="330">
        <v>0</v>
      </c>
      <c r="K59" s="330">
        <v>105.76</v>
      </c>
      <c r="L59" s="330">
        <v>104.71</v>
      </c>
      <c r="M59" s="330">
        <v>8.1</v>
      </c>
      <c r="N59" s="330">
        <v>112.57</v>
      </c>
      <c r="O59" s="333">
        <v>1380</v>
      </c>
      <c r="P59" s="330">
        <v>92.52</v>
      </c>
      <c r="Q59" s="330">
        <v>81.040000000000006</v>
      </c>
      <c r="R59" s="330">
        <v>53.31</v>
      </c>
      <c r="S59" s="330">
        <v>140.57</v>
      </c>
      <c r="T59" s="333">
        <v>537</v>
      </c>
      <c r="U59" s="330">
        <v>153</v>
      </c>
      <c r="V59" s="333">
        <v>479</v>
      </c>
      <c r="W59" s="330">
        <v>122.03</v>
      </c>
      <c r="X59" s="333">
        <v>6</v>
      </c>
      <c r="Y59" s="330">
        <v>0</v>
      </c>
      <c r="Z59" s="330">
        <v>0</v>
      </c>
      <c r="AA59" s="330">
        <v>1</v>
      </c>
      <c r="AB59" s="330">
        <v>29</v>
      </c>
      <c r="AC59" s="330">
        <v>7</v>
      </c>
      <c r="AD59" s="330">
        <v>1968</v>
      </c>
      <c r="AE59" s="330">
        <v>30</v>
      </c>
      <c r="AF59" s="330">
        <v>13</v>
      </c>
      <c r="AG59" s="330">
        <v>43</v>
      </c>
    </row>
    <row r="60" spans="1:33" x14ac:dyDescent="0.3">
      <c r="A60" s="329" t="s">
        <v>176</v>
      </c>
      <c r="B60" s="329" t="s">
        <v>177</v>
      </c>
      <c r="C60" s="330">
        <v>7272</v>
      </c>
      <c r="D60" s="330">
        <v>0</v>
      </c>
      <c r="E60" s="330">
        <v>302</v>
      </c>
      <c r="F60" s="330">
        <v>337</v>
      </c>
      <c r="G60" s="330">
        <v>302</v>
      </c>
      <c r="H60" s="330">
        <v>8213</v>
      </c>
      <c r="I60" s="330">
        <v>7911</v>
      </c>
      <c r="J60" s="330">
        <v>12</v>
      </c>
      <c r="K60" s="330">
        <v>83.93</v>
      </c>
      <c r="L60" s="330">
        <v>80.41</v>
      </c>
      <c r="M60" s="330">
        <v>4.38</v>
      </c>
      <c r="N60" s="330">
        <v>87.21</v>
      </c>
      <c r="O60" s="333">
        <v>5686</v>
      </c>
      <c r="P60" s="330">
        <v>100.31</v>
      </c>
      <c r="Q60" s="330">
        <v>78.45</v>
      </c>
      <c r="R60" s="330">
        <v>58.96</v>
      </c>
      <c r="S60" s="330">
        <v>156.36000000000001</v>
      </c>
      <c r="T60" s="333">
        <v>546</v>
      </c>
      <c r="U60" s="330">
        <v>95.28</v>
      </c>
      <c r="V60" s="333">
        <v>1556</v>
      </c>
      <c r="W60" s="330">
        <v>0</v>
      </c>
      <c r="X60" s="333">
        <v>0</v>
      </c>
      <c r="Y60" s="330">
        <v>0</v>
      </c>
      <c r="Z60" s="330">
        <v>29</v>
      </c>
      <c r="AA60" s="330">
        <v>6</v>
      </c>
      <c r="AB60" s="330">
        <v>11</v>
      </c>
      <c r="AC60" s="330">
        <v>2</v>
      </c>
      <c r="AD60" s="330">
        <v>7257</v>
      </c>
      <c r="AE60" s="330">
        <v>75</v>
      </c>
      <c r="AF60" s="330">
        <v>38</v>
      </c>
      <c r="AG60" s="330">
        <v>113</v>
      </c>
    </row>
    <row r="61" spans="1:33" x14ac:dyDescent="0.3">
      <c r="A61" s="329" t="s">
        <v>178</v>
      </c>
      <c r="B61" s="329" t="s">
        <v>179</v>
      </c>
      <c r="C61" s="330">
        <v>458</v>
      </c>
      <c r="D61" s="330">
        <v>0</v>
      </c>
      <c r="E61" s="330">
        <v>72</v>
      </c>
      <c r="F61" s="330">
        <v>73</v>
      </c>
      <c r="G61" s="330">
        <v>93</v>
      </c>
      <c r="H61" s="330">
        <v>696</v>
      </c>
      <c r="I61" s="330">
        <v>603</v>
      </c>
      <c r="J61" s="330">
        <v>8</v>
      </c>
      <c r="K61" s="330">
        <v>109.9</v>
      </c>
      <c r="L61" s="330">
        <v>107.72</v>
      </c>
      <c r="M61" s="330">
        <v>8.48</v>
      </c>
      <c r="N61" s="330">
        <v>114.76</v>
      </c>
      <c r="O61" s="333">
        <v>366</v>
      </c>
      <c r="P61" s="330">
        <v>94.64</v>
      </c>
      <c r="Q61" s="330">
        <v>84.12</v>
      </c>
      <c r="R61" s="330">
        <v>71.58</v>
      </c>
      <c r="S61" s="330">
        <v>164.52</v>
      </c>
      <c r="T61" s="333">
        <v>126</v>
      </c>
      <c r="U61" s="330">
        <v>153.46</v>
      </c>
      <c r="V61" s="333">
        <v>76</v>
      </c>
      <c r="W61" s="330">
        <v>0</v>
      </c>
      <c r="X61" s="333">
        <v>0</v>
      </c>
      <c r="Y61" s="330">
        <v>0</v>
      </c>
      <c r="Z61" s="330">
        <v>0</v>
      </c>
      <c r="AA61" s="330">
        <v>0</v>
      </c>
      <c r="AB61" s="330">
        <v>0</v>
      </c>
      <c r="AC61" s="330">
        <v>1</v>
      </c>
      <c r="AD61" s="330">
        <v>458</v>
      </c>
      <c r="AE61" s="330">
        <v>1</v>
      </c>
      <c r="AF61" s="330">
        <v>0</v>
      </c>
      <c r="AG61" s="330">
        <v>1</v>
      </c>
    </row>
    <row r="62" spans="1:33" x14ac:dyDescent="0.3">
      <c r="A62" s="329" t="s">
        <v>180</v>
      </c>
      <c r="B62" s="329" t="s">
        <v>181</v>
      </c>
      <c r="C62" s="330">
        <v>10551</v>
      </c>
      <c r="D62" s="330">
        <v>0</v>
      </c>
      <c r="E62" s="330">
        <v>285</v>
      </c>
      <c r="F62" s="330">
        <v>813</v>
      </c>
      <c r="G62" s="330">
        <v>2353</v>
      </c>
      <c r="H62" s="330">
        <v>14002</v>
      </c>
      <c r="I62" s="330">
        <v>11649</v>
      </c>
      <c r="J62" s="330">
        <v>23</v>
      </c>
      <c r="K62" s="330">
        <v>104.75</v>
      </c>
      <c r="L62" s="330">
        <v>105.14</v>
      </c>
      <c r="M62" s="330">
        <v>4.8</v>
      </c>
      <c r="N62" s="330">
        <v>106.16</v>
      </c>
      <c r="O62" s="333">
        <v>8392</v>
      </c>
      <c r="P62" s="330">
        <v>99.7</v>
      </c>
      <c r="Q62" s="330">
        <v>87.12</v>
      </c>
      <c r="R62" s="330">
        <v>34.520000000000003</v>
      </c>
      <c r="S62" s="330">
        <v>130.1</v>
      </c>
      <c r="T62" s="333">
        <v>1022</v>
      </c>
      <c r="U62" s="330">
        <v>157.38999999999999</v>
      </c>
      <c r="V62" s="333">
        <v>2086</v>
      </c>
      <c r="W62" s="330">
        <v>126.04</v>
      </c>
      <c r="X62" s="333">
        <v>50</v>
      </c>
      <c r="Y62" s="330">
        <v>76</v>
      </c>
      <c r="Z62" s="330">
        <v>7</v>
      </c>
      <c r="AA62" s="330">
        <v>2</v>
      </c>
      <c r="AB62" s="330">
        <v>312</v>
      </c>
      <c r="AC62" s="330">
        <v>39</v>
      </c>
      <c r="AD62" s="330">
        <v>10550</v>
      </c>
      <c r="AE62" s="330">
        <v>125</v>
      </c>
      <c r="AF62" s="330">
        <v>30</v>
      </c>
      <c r="AG62" s="330">
        <v>155</v>
      </c>
    </row>
    <row r="63" spans="1:33" x14ac:dyDescent="0.3">
      <c r="A63" s="329" t="s">
        <v>182</v>
      </c>
      <c r="B63" s="329" t="s">
        <v>183</v>
      </c>
      <c r="C63" s="330">
        <v>3297</v>
      </c>
      <c r="D63" s="330">
        <v>0</v>
      </c>
      <c r="E63" s="330">
        <v>402</v>
      </c>
      <c r="F63" s="330">
        <v>254</v>
      </c>
      <c r="G63" s="330">
        <v>696</v>
      </c>
      <c r="H63" s="330">
        <v>4649</v>
      </c>
      <c r="I63" s="330">
        <v>3953</v>
      </c>
      <c r="J63" s="330">
        <v>3</v>
      </c>
      <c r="K63" s="330">
        <v>94.08</v>
      </c>
      <c r="L63" s="330">
        <v>91.48</v>
      </c>
      <c r="M63" s="330">
        <v>6.81</v>
      </c>
      <c r="N63" s="330">
        <v>99.38</v>
      </c>
      <c r="O63" s="333">
        <v>2238</v>
      </c>
      <c r="P63" s="330">
        <v>106.76</v>
      </c>
      <c r="Q63" s="330">
        <v>83.33</v>
      </c>
      <c r="R63" s="330">
        <v>67.08</v>
      </c>
      <c r="S63" s="330">
        <v>171.5</v>
      </c>
      <c r="T63" s="333">
        <v>489</v>
      </c>
      <c r="U63" s="330">
        <v>115.19</v>
      </c>
      <c r="V63" s="333">
        <v>954</v>
      </c>
      <c r="W63" s="330">
        <v>119.58</v>
      </c>
      <c r="X63" s="333">
        <v>69</v>
      </c>
      <c r="Y63" s="330">
        <v>4</v>
      </c>
      <c r="Z63" s="330">
        <v>1</v>
      </c>
      <c r="AA63" s="330">
        <v>0</v>
      </c>
      <c r="AB63" s="330">
        <v>21</v>
      </c>
      <c r="AC63" s="330">
        <v>29</v>
      </c>
      <c r="AD63" s="330">
        <v>3297</v>
      </c>
      <c r="AE63" s="330">
        <v>16</v>
      </c>
      <c r="AF63" s="330">
        <v>31</v>
      </c>
      <c r="AG63" s="330">
        <v>47</v>
      </c>
    </row>
    <row r="64" spans="1:33" x14ac:dyDescent="0.3">
      <c r="A64" s="329" t="s">
        <v>184</v>
      </c>
      <c r="B64" s="329" t="s">
        <v>185</v>
      </c>
      <c r="C64" s="330">
        <v>9901</v>
      </c>
      <c r="D64" s="330">
        <v>250</v>
      </c>
      <c r="E64" s="330">
        <v>348</v>
      </c>
      <c r="F64" s="330">
        <v>288</v>
      </c>
      <c r="G64" s="330">
        <v>875</v>
      </c>
      <c r="H64" s="330">
        <v>11662</v>
      </c>
      <c r="I64" s="330">
        <v>10787</v>
      </c>
      <c r="J64" s="330">
        <v>7</v>
      </c>
      <c r="K64" s="330">
        <v>104.34</v>
      </c>
      <c r="L64" s="330">
        <v>102.3</v>
      </c>
      <c r="M64" s="330">
        <v>11.21</v>
      </c>
      <c r="N64" s="330">
        <v>109.69</v>
      </c>
      <c r="O64" s="333">
        <v>8611</v>
      </c>
      <c r="P64" s="330">
        <v>98.4</v>
      </c>
      <c r="Q64" s="330">
        <v>91.99</v>
      </c>
      <c r="R64" s="330">
        <v>87.73</v>
      </c>
      <c r="S64" s="330">
        <v>181.96</v>
      </c>
      <c r="T64" s="333">
        <v>526</v>
      </c>
      <c r="U64" s="330">
        <v>154.25</v>
      </c>
      <c r="V64" s="333">
        <v>1152</v>
      </c>
      <c r="W64" s="330">
        <v>0</v>
      </c>
      <c r="X64" s="333">
        <v>0</v>
      </c>
      <c r="Y64" s="330">
        <v>52</v>
      </c>
      <c r="Z64" s="330">
        <v>4</v>
      </c>
      <c r="AA64" s="330">
        <v>0</v>
      </c>
      <c r="AB64" s="330">
        <v>101</v>
      </c>
      <c r="AC64" s="330">
        <v>19</v>
      </c>
      <c r="AD64" s="330">
        <v>9871</v>
      </c>
      <c r="AE64" s="330">
        <v>122</v>
      </c>
      <c r="AF64" s="330">
        <v>67</v>
      </c>
      <c r="AG64" s="330">
        <v>189</v>
      </c>
    </row>
    <row r="65" spans="1:33" x14ac:dyDescent="0.3">
      <c r="A65" s="329" t="s">
        <v>186</v>
      </c>
      <c r="B65" s="329" t="s">
        <v>187</v>
      </c>
      <c r="C65" s="330">
        <v>1872</v>
      </c>
      <c r="D65" s="330">
        <v>0</v>
      </c>
      <c r="E65" s="330">
        <v>414</v>
      </c>
      <c r="F65" s="330">
        <v>199</v>
      </c>
      <c r="G65" s="330">
        <v>368</v>
      </c>
      <c r="H65" s="330">
        <v>2853</v>
      </c>
      <c r="I65" s="330">
        <v>2485</v>
      </c>
      <c r="J65" s="330">
        <v>0</v>
      </c>
      <c r="K65" s="330">
        <v>97.93</v>
      </c>
      <c r="L65" s="330">
        <v>93.68</v>
      </c>
      <c r="M65" s="330">
        <v>6.31</v>
      </c>
      <c r="N65" s="330">
        <v>102.98</v>
      </c>
      <c r="O65" s="333">
        <v>1457</v>
      </c>
      <c r="P65" s="330">
        <v>87.93</v>
      </c>
      <c r="Q65" s="330">
        <v>84.37</v>
      </c>
      <c r="R65" s="330">
        <v>65.34</v>
      </c>
      <c r="S65" s="330">
        <v>146.69</v>
      </c>
      <c r="T65" s="333">
        <v>456</v>
      </c>
      <c r="U65" s="330">
        <v>137.63</v>
      </c>
      <c r="V65" s="333">
        <v>328</v>
      </c>
      <c r="W65" s="330">
        <v>242.36</v>
      </c>
      <c r="X65" s="333">
        <v>110</v>
      </c>
      <c r="Y65" s="330">
        <v>0</v>
      </c>
      <c r="Z65" s="330">
        <v>0</v>
      </c>
      <c r="AA65" s="330">
        <v>30</v>
      </c>
      <c r="AB65" s="330">
        <v>2</v>
      </c>
      <c r="AC65" s="330">
        <v>10</v>
      </c>
      <c r="AD65" s="330">
        <v>1715</v>
      </c>
      <c r="AE65" s="330">
        <v>26</v>
      </c>
      <c r="AF65" s="330">
        <v>53</v>
      </c>
      <c r="AG65" s="330">
        <v>79</v>
      </c>
    </row>
    <row r="66" spans="1:33" x14ac:dyDescent="0.3">
      <c r="A66" s="329" t="s">
        <v>188</v>
      </c>
      <c r="B66" s="329" t="s">
        <v>189</v>
      </c>
      <c r="C66" s="330">
        <v>7194</v>
      </c>
      <c r="D66" s="330">
        <v>7</v>
      </c>
      <c r="E66" s="330">
        <v>228</v>
      </c>
      <c r="F66" s="330">
        <v>1510</v>
      </c>
      <c r="G66" s="330">
        <v>1117</v>
      </c>
      <c r="H66" s="330">
        <v>10056</v>
      </c>
      <c r="I66" s="330">
        <v>8939</v>
      </c>
      <c r="J66" s="330">
        <v>10</v>
      </c>
      <c r="K66" s="330">
        <v>107.82</v>
      </c>
      <c r="L66" s="330">
        <v>107.71</v>
      </c>
      <c r="M66" s="330">
        <v>6.35</v>
      </c>
      <c r="N66" s="330">
        <v>109.89</v>
      </c>
      <c r="O66" s="333">
        <v>5081</v>
      </c>
      <c r="P66" s="330">
        <v>100.03</v>
      </c>
      <c r="Q66" s="330">
        <v>99.25</v>
      </c>
      <c r="R66" s="330">
        <v>26.23</v>
      </c>
      <c r="S66" s="330">
        <v>125.3</v>
      </c>
      <c r="T66" s="333">
        <v>1626</v>
      </c>
      <c r="U66" s="330">
        <v>166.28</v>
      </c>
      <c r="V66" s="333">
        <v>2026</v>
      </c>
      <c r="W66" s="330">
        <v>153.37</v>
      </c>
      <c r="X66" s="333">
        <v>73</v>
      </c>
      <c r="Y66" s="330">
        <v>18</v>
      </c>
      <c r="Z66" s="330">
        <v>13</v>
      </c>
      <c r="AA66" s="330">
        <v>2</v>
      </c>
      <c r="AB66" s="330">
        <v>69</v>
      </c>
      <c r="AC66" s="330">
        <v>31</v>
      </c>
      <c r="AD66" s="330">
        <v>7042</v>
      </c>
      <c r="AE66" s="330">
        <v>28</v>
      </c>
      <c r="AF66" s="330">
        <v>52</v>
      </c>
      <c r="AG66" s="330">
        <v>80</v>
      </c>
    </row>
    <row r="67" spans="1:33" x14ac:dyDescent="0.3">
      <c r="A67" s="329" t="s">
        <v>190</v>
      </c>
      <c r="B67" s="329" t="s">
        <v>191</v>
      </c>
      <c r="C67" s="330">
        <v>17876</v>
      </c>
      <c r="D67" s="330">
        <v>0</v>
      </c>
      <c r="E67" s="330">
        <v>858</v>
      </c>
      <c r="F67" s="330">
        <v>2824</v>
      </c>
      <c r="G67" s="330">
        <v>1849</v>
      </c>
      <c r="H67" s="330">
        <v>23407</v>
      </c>
      <c r="I67" s="330">
        <v>21558</v>
      </c>
      <c r="J67" s="330">
        <v>18</v>
      </c>
      <c r="K67" s="330">
        <v>91.59</v>
      </c>
      <c r="L67" s="330">
        <v>90.46</v>
      </c>
      <c r="M67" s="330">
        <v>6.11</v>
      </c>
      <c r="N67" s="330">
        <v>94.72</v>
      </c>
      <c r="O67" s="333">
        <v>13302</v>
      </c>
      <c r="P67" s="330">
        <v>92.09</v>
      </c>
      <c r="Q67" s="330">
        <v>82.89</v>
      </c>
      <c r="R67" s="330">
        <v>31.81</v>
      </c>
      <c r="S67" s="330">
        <v>116.01</v>
      </c>
      <c r="T67" s="333">
        <v>3211</v>
      </c>
      <c r="U67" s="330">
        <v>113.77</v>
      </c>
      <c r="V67" s="333">
        <v>4429</v>
      </c>
      <c r="W67" s="330">
        <v>109.43</v>
      </c>
      <c r="X67" s="333">
        <v>163</v>
      </c>
      <c r="Y67" s="330">
        <v>79</v>
      </c>
      <c r="Z67" s="330">
        <v>36</v>
      </c>
      <c r="AA67" s="330">
        <v>7</v>
      </c>
      <c r="AB67" s="330">
        <v>276</v>
      </c>
      <c r="AC67" s="330">
        <v>37</v>
      </c>
      <c r="AD67" s="330">
        <v>17781</v>
      </c>
      <c r="AE67" s="330">
        <v>124</v>
      </c>
      <c r="AF67" s="330">
        <v>83</v>
      </c>
      <c r="AG67" s="330">
        <v>207</v>
      </c>
    </row>
    <row r="68" spans="1:33" x14ac:dyDescent="0.3">
      <c r="A68" s="329" t="s">
        <v>192</v>
      </c>
      <c r="B68" s="329" t="s">
        <v>193</v>
      </c>
      <c r="C68" s="330">
        <v>14958</v>
      </c>
      <c r="D68" s="330">
        <v>5</v>
      </c>
      <c r="E68" s="330">
        <v>836</v>
      </c>
      <c r="F68" s="330">
        <v>2896</v>
      </c>
      <c r="G68" s="330">
        <v>2001</v>
      </c>
      <c r="H68" s="330">
        <v>20696</v>
      </c>
      <c r="I68" s="330">
        <v>18695</v>
      </c>
      <c r="J68" s="330">
        <v>6</v>
      </c>
      <c r="K68" s="330">
        <v>94.75</v>
      </c>
      <c r="L68" s="330">
        <v>96.52</v>
      </c>
      <c r="M68" s="330">
        <v>4.84</v>
      </c>
      <c r="N68" s="330">
        <v>96.63</v>
      </c>
      <c r="O68" s="333">
        <v>12023</v>
      </c>
      <c r="P68" s="330">
        <v>94.76</v>
      </c>
      <c r="Q68" s="330">
        <v>90.22</v>
      </c>
      <c r="R68" s="330">
        <v>37.08</v>
      </c>
      <c r="S68" s="330">
        <v>121.66</v>
      </c>
      <c r="T68" s="333">
        <v>3016</v>
      </c>
      <c r="U68" s="330">
        <v>116.65</v>
      </c>
      <c r="V68" s="333">
        <v>2603</v>
      </c>
      <c r="W68" s="330">
        <v>160.44999999999999</v>
      </c>
      <c r="X68" s="333">
        <v>431</v>
      </c>
      <c r="Y68" s="330">
        <v>14</v>
      </c>
      <c r="Z68" s="330">
        <v>32</v>
      </c>
      <c r="AA68" s="330">
        <v>12</v>
      </c>
      <c r="AB68" s="330">
        <v>125</v>
      </c>
      <c r="AC68" s="330">
        <v>40</v>
      </c>
      <c r="AD68" s="330">
        <v>14778</v>
      </c>
      <c r="AE68" s="330">
        <v>90</v>
      </c>
      <c r="AF68" s="330">
        <v>120</v>
      </c>
      <c r="AG68" s="330">
        <v>210</v>
      </c>
    </row>
    <row r="69" spans="1:33" x14ac:dyDescent="0.3">
      <c r="A69" s="329" t="s">
        <v>194</v>
      </c>
      <c r="B69" s="329" t="s">
        <v>195</v>
      </c>
      <c r="C69" s="330">
        <v>870</v>
      </c>
      <c r="D69" s="330">
        <v>10</v>
      </c>
      <c r="E69" s="330">
        <v>178</v>
      </c>
      <c r="F69" s="330">
        <v>496</v>
      </c>
      <c r="G69" s="330">
        <v>126</v>
      </c>
      <c r="H69" s="330">
        <v>1680</v>
      </c>
      <c r="I69" s="330">
        <v>1554</v>
      </c>
      <c r="J69" s="330">
        <v>0</v>
      </c>
      <c r="K69" s="330">
        <v>89.36</v>
      </c>
      <c r="L69" s="330">
        <v>86.28</v>
      </c>
      <c r="M69" s="330">
        <v>5.38</v>
      </c>
      <c r="N69" s="330">
        <v>91.74</v>
      </c>
      <c r="O69" s="333">
        <v>639</v>
      </c>
      <c r="P69" s="330">
        <v>95.83</v>
      </c>
      <c r="Q69" s="330">
        <v>83.31</v>
      </c>
      <c r="R69" s="330">
        <v>26.82</v>
      </c>
      <c r="S69" s="330">
        <v>121.97</v>
      </c>
      <c r="T69" s="333">
        <v>591</v>
      </c>
      <c r="U69" s="330">
        <v>111.46</v>
      </c>
      <c r="V69" s="333">
        <v>128</v>
      </c>
      <c r="W69" s="330">
        <v>303.77</v>
      </c>
      <c r="X69" s="333">
        <v>25</v>
      </c>
      <c r="Y69" s="330">
        <v>117</v>
      </c>
      <c r="Z69" s="330">
        <v>0</v>
      </c>
      <c r="AA69" s="330">
        <v>8</v>
      </c>
      <c r="AB69" s="330">
        <v>22</v>
      </c>
      <c r="AC69" s="330">
        <v>3</v>
      </c>
      <c r="AD69" s="330">
        <v>766</v>
      </c>
      <c r="AE69" s="330">
        <v>4</v>
      </c>
      <c r="AF69" s="330">
        <v>2</v>
      </c>
      <c r="AG69" s="330">
        <v>6</v>
      </c>
    </row>
    <row r="70" spans="1:33" x14ac:dyDescent="0.3">
      <c r="A70" s="329" t="s">
        <v>196</v>
      </c>
      <c r="B70" s="329" t="s">
        <v>197</v>
      </c>
      <c r="C70" s="330">
        <v>7532</v>
      </c>
      <c r="D70" s="330">
        <v>0</v>
      </c>
      <c r="E70" s="330">
        <v>165</v>
      </c>
      <c r="F70" s="330">
        <v>767</v>
      </c>
      <c r="G70" s="330">
        <v>819</v>
      </c>
      <c r="H70" s="330">
        <v>9283</v>
      </c>
      <c r="I70" s="330">
        <v>8464</v>
      </c>
      <c r="J70" s="330">
        <v>20</v>
      </c>
      <c r="K70" s="330">
        <v>108.43</v>
      </c>
      <c r="L70" s="330">
        <v>108.78</v>
      </c>
      <c r="M70" s="330">
        <v>7.69</v>
      </c>
      <c r="N70" s="330">
        <v>112.04</v>
      </c>
      <c r="O70" s="333">
        <v>6250</v>
      </c>
      <c r="P70" s="330">
        <v>97.56</v>
      </c>
      <c r="Q70" s="330">
        <v>90.9</v>
      </c>
      <c r="R70" s="330">
        <v>32.799999999999997</v>
      </c>
      <c r="S70" s="330">
        <v>128.54</v>
      </c>
      <c r="T70" s="333">
        <v>703</v>
      </c>
      <c r="U70" s="330">
        <v>169.87</v>
      </c>
      <c r="V70" s="333">
        <v>1231</v>
      </c>
      <c r="W70" s="330">
        <v>152.06</v>
      </c>
      <c r="X70" s="333">
        <v>4</v>
      </c>
      <c r="Y70" s="330">
        <v>27</v>
      </c>
      <c r="Z70" s="330">
        <v>7</v>
      </c>
      <c r="AA70" s="330">
        <v>6</v>
      </c>
      <c r="AB70" s="330">
        <v>101</v>
      </c>
      <c r="AC70" s="330">
        <v>22</v>
      </c>
      <c r="AD70" s="330">
        <v>7510</v>
      </c>
      <c r="AE70" s="330">
        <v>70</v>
      </c>
      <c r="AF70" s="330">
        <v>9</v>
      </c>
      <c r="AG70" s="330">
        <v>79</v>
      </c>
    </row>
    <row r="71" spans="1:33" x14ac:dyDescent="0.3">
      <c r="A71" s="329" t="s">
        <v>198</v>
      </c>
      <c r="B71" s="329" t="s">
        <v>199</v>
      </c>
      <c r="C71" s="330">
        <v>6079</v>
      </c>
      <c r="D71" s="330">
        <v>0</v>
      </c>
      <c r="E71" s="330">
        <v>375</v>
      </c>
      <c r="F71" s="330">
        <v>654</v>
      </c>
      <c r="G71" s="330">
        <v>308</v>
      </c>
      <c r="H71" s="330">
        <v>7416</v>
      </c>
      <c r="I71" s="330">
        <v>7108</v>
      </c>
      <c r="J71" s="330">
        <v>84</v>
      </c>
      <c r="K71" s="330">
        <v>82.94</v>
      </c>
      <c r="L71" s="330">
        <v>80.150000000000006</v>
      </c>
      <c r="M71" s="330">
        <v>5.96</v>
      </c>
      <c r="N71" s="330">
        <v>87.34</v>
      </c>
      <c r="O71" s="333">
        <v>5074</v>
      </c>
      <c r="P71" s="330">
        <v>87.43</v>
      </c>
      <c r="Q71" s="330">
        <v>71.44</v>
      </c>
      <c r="R71" s="330">
        <v>31.01</v>
      </c>
      <c r="S71" s="330">
        <v>116.65</v>
      </c>
      <c r="T71" s="333">
        <v>866</v>
      </c>
      <c r="U71" s="330">
        <v>105.81</v>
      </c>
      <c r="V71" s="333">
        <v>965</v>
      </c>
      <c r="W71" s="330">
        <v>0</v>
      </c>
      <c r="X71" s="333">
        <v>0</v>
      </c>
      <c r="Y71" s="330">
        <v>6</v>
      </c>
      <c r="Z71" s="330">
        <v>6</v>
      </c>
      <c r="AA71" s="330">
        <v>0</v>
      </c>
      <c r="AB71" s="330">
        <v>10</v>
      </c>
      <c r="AC71" s="330">
        <v>4</v>
      </c>
      <c r="AD71" s="330">
        <v>6004</v>
      </c>
      <c r="AE71" s="330">
        <v>48</v>
      </c>
      <c r="AF71" s="330">
        <v>5</v>
      </c>
      <c r="AG71" s="330">
        <v>53</v>
      </c>
    </row>
    <row r="72" spans="1:33" x14ac:dyDescent="0.3">
      <c r="A72" s="329" t="s">
        <v>200</v>
      </c>
      <c r="B72" s="329" t="s">
        <v>201</v>
      </c>
      <c r="C72" s="330">
        <v>194</v>
      </c>
      <c r="D72" s="330">
        <v>0</v>
      </c>
      <c r="E72" s="330">
        <v>17</v>
      </c>
      <c r="F72" s="330">
        <v>19</v>
      </c>
      <c r="G72" s="330">
        <v>0</v>
      </c>
      <c r="H72" s="330">
        <v>230</v>
      </c>
      <c r="I72" s="330">
        <v>230</v>
      </c>
      <c r="J72" s="330">
        <v>0</v>
      </c>
      <c r="K72" s="330">
        <v>130.65</v>
      </c>
      <c r="L72" s="330">
        <v>132.4</v>
      </c>
      <c r="M72" s="330">
        <v>10.19</v>
      </c>
      <c r="N72" s="330">
        <v>140.83000000000001</v>
      </c>
      <c r="O72" s="333">
        <v>160</v>
      </c>
      <c r="P72" s="330">
        <v>118.51</v>
      </c>
      <c r="Q72" s="330">
        <v>115.42</v>
      </c>
      <c r="R72" s="330">
        <v>184.12</v>
      </c>
      <c r="S72" s="330">
        <v>302.63</v>
      </c>
      <c r="T72" s="333">
        <v>36</v>
      </c>
      <c r="U72" s="330">
        <v>213.55</v>
      </c>
      <c r="V72" s="333">
        <v>34</v>
      </c>
      <c r="W72" s="330">
        <v>0</v>
      </c>
      <c r="X72" s="333">
        <v>0</v>
      </c>
      <c r="Y72" s="330">
        <v>0</v>
      </c>
      <c r="Z72" s="330">
        <v>0</v>
      </c>
      <c r="AA72" s="330">
        <v>0</v>
      </c>
      <c r="AB72" s="330">
        <v>0</v>
      </c>
      <c r="AC72" s="330">
        <v>0</v>
      </c>
      <c r="AD72" s="330">
        <v>194</v>
      </c>
      <c r="AE72" s="330">
        <v>2</v>
      </c>
      <c r="AF72" s="330">
        <v>0</v>
      </c>
      <c r="AG72" s="330">
        <v>2</v>
      </c>
    </row>
    <row r="73" spans="1:33" x14ac:dyDescent="0.3">
      <c r="A73" s="329" t="s">
        <v>202</v>
      </c>
      <c r="B73" s="329" t="s">
        <v>203</v>
      </c>
      <c r="C73" s="330">
        <v>4320</v>
      </c>
      <c r="D73" s="330">
        <v>135</v>
      </c>
      <c r="E73" s="330">
        <v>588</v>
      </c>
      <c r="F73" s="330">
        <v>357</v>
      </c>
      <c r="G73" s="330">
        <v>365</v>
      </c>
      <c r="H73" s="330">
        <v>5765</v>
      </c>
      <c r="I73" s="330">
        <v>5400</v>
      </c>
      <c r="J73" s="330">
        <v>8</v>
      </c>
      <c r="K73" s="330">
        <v>105.96</v>
      </c>
      <c r="L73" s="330">
        <v>103.91</v>
      </c>
      <c r="M73" s="330">
        <v>6.23</v>
      </c>
      <c r="N73" s="330">
        <v>110.97</v>
      </c>
      <c r="O73" s="333">
        <v>2731</v>
      </c>
      <c r="P73" s="330">
        <v>106.31</v>
      </c>
      <c r="Q73" s="330">
        <v>87.84</v>
      </c>
      <c r="R73" s="330">
        <v>48.43</v>
      </c>
      <c r="S73" s="330">
        <v>149.69999999999999</v>
      </c>
      <c r="T73" s="333">
        <v>644</v>
      </c>
      <c r="U73" s="330">
        <v>141.66</v>
      </c>
      <c r="V73" s="333">
        <v>1201</v>
      </c>
      <c r="W73" s="330">
        <v>150.36000000000001</v>
      </c>
      <c r="X73" s="333">
        <v>34</v>
      </c>
      <c r="Y73" s="330">
        <v>0</v>
      </c>
      <c r="Z73" s="330">
        <v>1</v>
      </c>
      <c r="AA73" s="330">
        <v>13</v>
      </c>
      <c r="AB73" s="330">
        <v>9</v>
      </c>
      <c r="AC73" s="330">
        <v>6</v>
      </c>
      <c r="AD73" s="330">
        <v>4253</v>
      </c>
      <c r="AE73" s="330">
        <v>43</v>
      </c>
      <c r="AF73" s="330">
        <v>42</v>
      </c>
      <c r="AG73" s="330">
        <v>85</v>
      </c>
    </row>
    <row r="74" spans="1:33" x14ac:dyDescent="0.3">
      <c r="A74" s="329" t="s">
        <v>204</v>
      </c>
      <c r="B74" s="329" t="s">
        <v>205</v>
      </c>
      <c r="C74" s="330">
        <v>5495</v>
      </c>
      <c r="D74" s="330">
        <v>0</v>
      </c>
      <c r="E74" s="330">
        <v>131</v>
      </c>
      <c r="F74" s="330">
        <v>309</v>
      </c>
      <c r="G74" s="330">
        <v>11</v>
      </c>
      <c r="H74" s="330">
        <v>5946</v>
      </c>
      <c r="I74" s="330">
        <v>5935</v>
      </c>
      <c r="J74" s="330">
        <v>7</v>
      </c>
      <c r="K74" s="330">
        <v>88.28</v>
      </c>
      <c r="L74" s="330">
        <v>84.93</v>
      </c>
      <c r="M74" s="330">
        <v>1.47</v>
      </c>
      <c r="N74" s="330">
        <v>89.63</v>
      </c>
      <c r="O74" s="333">
        <v>5157</v>
      </c>
      <c r="P74" s="330">
        <v>79.650000000000006</v>
      </c>
      <c r="Q74" s="330">
        <v>74.52</v>
      </c>
      <c r="R74" s="330">
        <v>46.56</v>
      </c>
      <c r="S74" s="330">
        <v>121.01</v>
      </c>
      <c r="T74" s="333">
        <v>430</v>
      </c>
      <c r="U74" s="330">
        <v>94.52</v>
      </c>
      <c r="V74" s="333">
        <v>305</v>
      </c>
      <c r="W74" s="330">
        <v>0</v>
      </c>
      <c r="X74" s="333">
        <v>0</v>
      </c>
      <c r="Y74" s="330">
        <v>0</v>
      </c>
      <c r="Z74" s="330">
        <v>20</v>
      </c>
      <c r="AA74" s="330">
        <v>14</v>
      </c>
      <c r="AB74" s="330">
        <v>0</v>
      </c>
      <c r="AC74" s="330">
        <v>0</v>
      </c>
      <c r="AD74" s="330">
        <v>5462</v>
      </c>
      <c r="AE74" s="330">
        <v>117</v>
      </c>
      <c r="AF74" s="330">
        <v>18</v>
      </c>
      <c r="AG74" s="330">
        <v>135</v>
      </c>
    </row>
    <row r="75" spans="1:33" x14ac:dyDescent="0.3">
      <c r="A75" s="329" t="s">
        <v>206</v>
      </c>
      <c r="B75" s="329" t="s">
        <v>207</v>
      </c>
      <c r="C75" s="330">
        <v>19284</v>
      </c>
      <c r="D75" s="330">
        <v>0</v>
      </c>
      <c r="E75" s="330">
        <v>853</v>
      </c>
      <c r="F75" s="330">
        <v>2545</v>
      </c>
      <c r="G75" s="330">
        <v>2737</v>
      </c>
      <c r="H75" s="330">
        <v>25419</v>
      </c>
      <c r="I75" s="330">
        <v>22682</v>
      </c>
      <c r="J75" s="330">
        <v>11</v>
      </c>
      <c r="K75" s="330">
        <v>85.04</v>
      </c>
      <c r="L75" s="330">
        <v>81.22</v>
      </c>
      <c r="M75" s="330">
        <v>3.73</v>
      </c>
      <c r="N75" s="330">
        <v>88.15</v>
      </c>
      <c r="O75" s="333">
        <v>13891</v>
      </c>
      <c r="P75" s="330">
        <v>84.67</v>
      </c>
      <c r="Q75" s="330">
        <v>71.709999999999994</v>
      </c>
      <c r="R75" s="330">
        <v>47.35</v>
      </c>
      <c r="S75" s="330">
        <v>130.52000000000001</v>
      </c>
      <c r="T75" s="333">
        <v>3060</v>
      </c>
      <c r="U75" s="330">
        <v>125.61</v>
      </c>
      <c r="V75" s="333">
        <v>3809</v>
      </c>
      <c r="W75" s="330">
        <v>121.35</v>
      </c>
      <c r="X75" s="333">
        <v>180</v>
      </c>
      <c r="Y75" s="330">
        <v>8</v>
      </c>
      <c r="Z75" s="330">
        <v>13</v>
      </c>
      <c r="AA75" s="330">
        <v>81</v>
      </c>
      <c r="AB75" s="330">
        <v>216</v>
      </c>
      <c r="AC75" s="330">
        <v>63</v>
      </c>
      <c r="AD75" s="330">
        <v>18847</v>
      </c>
      <c r="AE75" s="330">
        <v>55</v>
      </c>
      <c r="AF75" s="330">
        <v>71</v>
      </c>
      <c r="AG75" s="330">
        <v>126</v>
      </c>
    </row>
    <row r="76" spans="1:33" x14ac:dyDescent="0.3">
      <c r="A76" s="329" t="s">
        <v>208</v>
      </c>
      <c r="B76" s="329" t="s">
        <v>209</v>
      </c>
      <c r="C76" s="330">
        <v>5581</v>
      </c>
      <c r="D76" s="330">
        <v>0</v>
      </c>
      <c r="E76" s="330">
        <v>55</v>
      </c>
      <c r="F76" s="330">
        <v>544</v>
      </c>
      <c r="G76" s="330">
        <v>811</v>
      </c>
      <c r="H76" s="330">
        <v>6991</v>
      </c>
      <c r="I76" s="330">
        <v>6180</v>
      </c>
      <c r="J76" s="330">
        <v>0</v>
      </c>
      <c r="K76" s="330">
        <v>106.75</v>
      </c>
      <c r="L76" s="330">
        <v>101.88</v>
      </c>
      <c r="M76" s="330">
        <v>4.25</v>
      </c>
      <c r="N76" s="330">
        <v>108.58</v>
      </c>
      <c r="O76" s="333">
        <v>4407</v>
      </c>
      <c r="P76" s="330">
        <v>101.14</v>
      </c>
      <c r="Q76" s="330">
        <v>92.4</v>
      </c>
      <c r="R76" s="330">
        <v>25.81</v>
      </c>
      <c r="S76" s="330">
        <v>126.59</v>
      </c>
      <c r="T76" s="333">
        <v>584</v>
      </c>
      <c r="U76" s="330">
        <v>141.6</v>
      </c>
      <c r="V76" s="333">
        <v>953</v>
      </c>
      <c r="W76" s="330">
        <v>0</v>
      </c>
      <c r="X76" s="333">
        <v>0</v>
      </c>
      <c r="Y76" s="330">
        <v>0</v>
      </c>
      <c r="Z76" s="330">
        <v>7</v>
      </c>
      <c r="AA76" s="330">
        <v>7</v>
      </c>
      <c r="AB76" s="330">
        <v>24</v>
      </c>
      <c r="AC76" s="330">
        <v>17</v>
      </c>
      <c r="AD76" s="330">
        <v>5355</v>
      </c>
      <c r="AE76" s="330">
        <v>71</v>
      </c>
      <c r="AF76" s="330">
        <v>67</v>
      </c>
      <c r="AG76" s="330">
        <v>138</v>
      </c>
    </row>
    <row r="77" spans="1:33" x14ac:dyDescent="0.3">
      <c r="A77" s="329" t="s">
        <v>210</v>
      </c>
      <c r="B77" s="329" t="s">
        <v>211</v>
      </c>
      <c r="C77" s="330">
        <v>46066</v>
      </c>
      <c r="D77" s="330">
        <v>12</v>
      </c>
      <c r="E77" s="330">
        <v>1014</v>
      </c>
      <c r="F77" s="330">
        <v>1516</v>
      </c>
      <c r="G77" s="330">
        <v>410</v>
      </c>
      <c r="H77" s="330">
        <v>49018</v>
      </c>
      <c r="I77" s="330">
        <v>48608</v>
      </c>
      <c r="J77" s="330">
        <v>108</v>
      </c>
      <c r="K77" s="330">
        <v>74.62</v>
      </c>
      <c r="L77" s="330">
        <v>74.930000000000007</v>
      </c>
      <c r="M77" s="330">
        <v>3.61</v>
      </c>
      <c r="N77" s="330">
        <v>75.180000000000007</v>
      </c>
      <c r="O77" s="333">
        <v>41079</v>
      </c>
      <c r="P77" s="330">
        <v>106.13</v>
      </c>
      <c r="Q77" s="330">
        <v>79.17</v>
      </c>
      <c r="R77" s="330">
        <v>59.88</v>
      </c>
      <c r="S77" s="330">
        <v>164.62</v>
      </c>
      <c r="T77" s="333">
        <v>2068</v>
      </c>
      <c r="U77" s="330">
        <v>94.55</v>
      </c>
      <c r="V77" s="333">
        <v>4405</v>
      </c>
      <c r="W77" s="330">
        <v>151.84</v>
      </c>
      <c r="X77" s="333">
        <v>171</v>
      </c>
      <c r="Y77" s="330">
        <v>11</v>
      </c>
      <c r="Z77" s="330">
        <v>209</v>
      </c>
      <c r="AA77" s="330">
        <v>30</v>
      </c>
      <c r="AB77" s="330">
        <v>25</v>
      </c>
      <c r="AC77" s="330">
        <v>9</v>
      </c>
      <c r="AD77" s="330">
        <v>46014</v>
      </c>
      <c r="AE77" s="330">
        <v>433</v>
      </c>
      <c r="AF77" s="330">
        <v>481</v>
      </c>
      <c r="AG77" s="330">
        <v>914</v>
      </c>
    </row>
    <row r="78" spans="1:33" x14ac:dyDescent="0.3">
      <c r="A78" s="329" t="s">
        <v>212</v>
      </c>
      <c r="B78" s="329" t="s">
        <v>213</v>
      </c>
      <c r="C78" s="330">
        <v>22354</v>
      </c>
      <c r="D78" s="330">
        <v>0</v>
      </c>
      <c r="E78" s="330">
        <v>906</v>
      </c>
      <c r="F78" s="330">
        <v>1713</v>
      </c>
      <c r="G78" s="330">
        <v>615</v>
      </c>
      <c r="H78" s="330">
        <v>25588</v>
      </c>
      <c r="I78" s="330">
        <v>24973</v>
      </c>
      <c r="J78" s="330">
        <v>4</v>
      </c>
      <c r="K78" s="330">
        <v>87.52</v>
      </c>
      <c r="L78" s="330">
        <v>87.02</v>
      </c>
      <c r="M78" s="330">
        <v>5.79</v>
      </c>
      <c r="N78" s="330">
        <v>92.88</v>
      </c>
      <c r="O78" s="333">
        <v>19694</v>
      </c>
      <c r="P78" s="330">
        <v>93.4</v>
      </c>
      <c r="Q78" s="330">
        <v>85.65</v>
      </c>
      <c r="R78" s="330">
        <v>58.58</v>
      </c>
      <c r="S78" s="330">
        <v>151.59</v>
      </c>
      <c r="T78" s="333">
        <v>2084</v>
      </c>
      <c r="U78" s="330">
        <v>117.6</v>
      </c>
      <c r="V78" s="333">
        <v>2354</v>
      </c>
      <c r="W78" s="330">
        <v>119.73</v>
      </c>
      <c r="X78" s="333">
        <v>5</v>
      </c>
      <c r="Y78" s="330">
        <v>88</v>
      </c>
      <c r="Z78" s="330">
        <v>68</v>
      </c>
      <c r="AA78" s="330">
        <v>23</v>
      </c>
      <c r="AB78" s="330">
        <v>23</v>
      </c>
      <c r="AC78" s="330">
        <v>18</v>
      </c>
      <c r="AD78" s="330">
        <v>22221</v>
      </c>
      <c r="AE78" s="330">
        <v>174</v>
      </c>
      <c r="AF78" s="330">
        <v>342</v>
      </c>
      <c r="AG78" s="330">
        <v>516</v>
      </c>
    </row>
    <row r="79" spans="1:33" x14ac:dyDescent="0.3">
      <c r="A79" s="329" t="s">
        <v>214</v>
      </c>
      <c r="B79" s="329" t="s">
        <v>215</v>
      </c>
      <c r="C79" s="330">
        <v>2258</v>
      </c>
      <c r="D79" s="330">
        <v>0</v>
      </c>
      <c r="E79" s="330">
        <v>71</v>
      </c>
      <c r="F79" s="330">
        <v>241</v>
      </c>
      <c r="G79" s="330">
        <v>174</v>
      </c>
      <c r="H79" s="330">
        <v>2744</v>
      </c>
      <c r="I79" s="330">
        <v>2570</v>
      </c>
      <c r="J79" s="330">
        <v>3</v>
      </c>
      <c r="K79" s="330">
        <v>87.69</v>
      </c>
      <c r="L79" s="330">
        <v>90.76</v>
      </c>
      <c r="M79" s="330">
        <v>6.49</v>
      </c>
      <c r="N79" s="330">
        <v>91.79</v>
      </c>
      <c r="O79" s="333">
        <v>1528</v>
      </c>
      <c r="P79" s="330">
        <v>92.18</v>
      </c>
      <c r="Q79" s="330">
        <v>83.23</v>
      </c>
      <c r="R79" s="330">
        <v>40.200000000000003</v>
      </c>
      <c r="S79" s="330">
        <v>132.38</v>
      </c>
      <c r="T79" s="333">
        <v>286</v>
      </c>
      <c r="U79" s="330">
        <v>98.18</v>
      </c>
      <c r="V79" s="333">
        <v>676</v>
      </c>
      <c r="W79" s="330">
        <v>0</v>
      </c>
      <c r="X79" s="333">
        <v>0</v>
      </c>
      <c r="Y79" s="330">
        <v>31</v>
      </c>
      <c r="Z79" s="330">
        <v>4</v>
      </c>
      <c r="AA79" s="330">
        <v>5</v>
      </c>
      <c r="AB79" s="330">
        <v>37</v>
      </c>
      <c r="AC79" s="330">
        <v>4</v>
      </c>
      <c r="AD79" s="330">
        <v>2227</v>
      </c>
      <c r="AE79" s="330">
        <v>16</v>
      </c>
      <c r="AF79" s="330">
        <v>3</v>
      </c>
      <c r="AG79" s="330">
        <v>19</v>
      </c>
    </row>
    <row r="80" spans="1:33" x14ac:dyDescent="0.3">
      <c r="A80" s="329" t="s">
        <v>216</v>
      </c>
      <c r="B80" s="329" t="s">
        <v>217</v>
      </c>
      <c r="C80" s="330">
        <v>2193</v>
      </c>
      <c r="D80" s="330">
        <v>0</v>
      </c>
      <c r="E80" s="330">
        <v>153</v>
      </c>
      <c r="F80" s="330">
        <v>286</v>
      </c>
      <c r="G80" s="330">
        <v>454</v>
      </c>
      <c r="H80" s="330">
        <v>3086</v>
      </c>
      <c r="I80" s="330">
        <v>2632</v>
      </c>
      <c r="J80" s="330">
        <v>5</v>
      </c>
      <c r="K80" s="330">
        <v>114.45</v>
      </c>
      <c r="L80" s="330">
        <v>107.63</v>
      </c>
      <c r="M80" s="330">
        <v>10.37</v>
      </c>
      <c r="N80" s="330">
        <v>123.77</v>
      </c>
      <c r="O80" s="333">
        <v>1609</v>
      </c>
      <c r="P80" s="330">
        <v>113.63</v>
      </c>
      <c r="Q80" s="330">
        <v>102.55</v>
      </c>
      <c r="R80" s="330">
        <v>43.24</v>
      </c>
      <c r="S80" s="330">
        <v>156.69999999999999</v>
      </c>
      <c r="T80" s="333">
        <v>263</v>
      </c>
      <c r="U80" s="330">
        <v>167.78</v>
      </c>
      <c r="V80" s="333">
        <v>482</v>
      </c>
      <c r="W80" s="330">
        <v>0</v>
      </c>
      <c r="X80" s="333">
        <v>0</v>
      </c>
      <c r="Y80" s="330">
        <v>0</v>
      </c>
      <c r="Z80" s="330">
        <v>1</v>
      </c>
      <c r="AA80" s="330">
        <v>1</v>
      </c>
      <c r="AB80" s="330">
        <v>35</v>
      </c>
      <c r="AC80" s="330">
        <v>12</v>
      </c>
      <c r="AD80" s="330">
        <v>2164</v>
      </c>
      <c r="AE80" s="330">
        <v>29</v>
      </c>
      <c r="AF80" s="330">
        <v>0</v>
      </c>
      <c r="AG80" s="330">
        <v>29</v>
      </c>
    </row>
    <row r="81" spans="1:33" x14ac:dyDescent="0.3">
      <c r="A81" s="329" t="s">
        <v>218</v>
      </c>
      <c r="B81" s="329" t="s">
        <v>219</v>
      </c>
      <c r="C81" s="330">
        <v>11544</v>
      </c>
      <c r="D81" s="330">
        <v>76</v>
      </c>
      <c r="E81" s="330">
        <v>1085</v>
      </c>
      <c r="F81" s="330">
        <v>845</v>
      </c>
      <c r="G81" s="330">
        <v>2447</v>
      </c>
      <c r="H81" s="330">
        <v>15997</v>
      </c>
      <c r="I81" s="330">
        <v>13550</v>
      </c>
      <c r="J81" s="330">
        <v>47</v>
      </c>
      <c r="K81" s="330">
        <v>125.79</v>
      </c>
      <c r="L81" s="330">
        <v>124.54</v>
      </c>
      <c r="M81" s="330">
        <v>11.55</v>
      </c>
      <c r="N81" s="330">
        <v>133.62</v>
      </c>
      <c r="O81" s="333">
        <v>8743</v>
      </c>
      <c r="P81" s="330">
        <v>104.63</v>
      </c>
      <c r="Q81" s="330">
        <v>97.67</v>
      </c>
      <c r="R81" s="330">
        <v>61.08</v>
      </c>
      <c r="S81" s="330">
        <v>162.16999999999999</v>
      </c>
      <c r="T81" s="333">
        <v>1122</v>
      </c>
      <c r="U81" s="330">
        <v>192.21</v>
      </c>
      <c r="V81" s="333">
        <v>2112</v>
      </c>
      <c r="W81" s="330">
        <v>149.88</v>
      </c>
      <c r="X81" s="333">
        <v>39</v>
      </c>
      <c r="Y81" s="330">
        <v>0</v>
      </c>
      <c r="Z81" s="330">
        <v>5</v>
      </c>
      <c r="AA81" s="330">
        <v>8</v>
      </c>
      <c r="AB81" s="330">
        <v>72</v>
      </c>
      <c r="AC81" s="330">
        <v>63</v>
      </c>
      <c r="AD81" s="330">
        <v>11262</v>
      </c>
      <c r="AE81" s="330">
        <v>95</v>
      </c>
      <c r="AF81" s="330">
        <v>59</v>
      </c>
      <c r="AG81" s="330">
        <v>154</v>
      </c>
    </row>
    <row r="82" spans="1:33" x14ac:dyDescent="0.3">
      <c r="A82" s="329" t="s">
        <v>220</v>
      </c>
      <c r="B82" s="329" t="s">
        <v>221</v>
      </c>
      <c r="C82" s="330">
        <v>3210</v>
      </c>
      <c r="D82" s="330">
        <v>0</v>
      </c>
      <c r="E82" s="330">
        <v>249</v>
      </c>
      <c r="F82" s="330">
        <v>275</v>
      </c>
      <c r="G82" s="330">
        <v>409</v>
      </c>
      <c r="H82" s="330">
        <v>4143</v>
      </c>
      <c r="I82" s="330">
        <v>3734</v>
      </c>
      <c r="J82" s="330">
        <v>0</v>
      </c>
      <c r="K82" s="330">
        <v>119.84</v>
      </c>
      <c r="L82" s="330">
        <v>116.1</v>
      </c>
      <c r="M82" s="330">
        <v>8.2100000000000009</v>
      </c>
      <c r="N82" s="330">
        <v>126.86</v>
      </c>
      <c r="O82" s="333">
        <v>1967</v>
      </c>
      <c r="P82" s="330">
        <v>122.19</v>
      </c>
      <c r="Q82" s="330">
        <v>100.55</v>
      </c>
      <c r="R82" s="330">
        <v>31.17</v>
      </c>
      <c r="S82" s="330">
        <v>152.32</v>
      </c>
      <c r="T82" s="333">
        <v>392</v>
      </c>
      <c r="U82" s="330">
        <v>183.93</v>
      </c>
      <c r="V82" s="333">
        <v>1001</v>
      </c>
      <c r="W82" s="330">
        <v>161.34</v>
      </c>
      <c r="X82" s="333">
        <v>13</v>
      </c>
      <c r="Y82" s="330">
        <v>22</v>
      </c>
      <c r="Z82" s="330">
        <v>0</v>
      </c>
      <c r="AA82" s="330">
        <v>1</v>
      </c>
      <c r="AB82" s="330">
        <v>61</v>
      </c>
      <c r="AC82" s="330">
        <v>14</v>
      </c>
      <c r="AD82" s="330">
        <v>3159</v>
      </c>
      <c r="AE82" s="330">
        <v>30</v>
      </c>
      <c r="AF82" s="330">
        <v>33</v>
      </c>
      <c r="AG82" s="330">
        <v>63</v>
      </c>
    </row>
    <row r="83" spans="1:33" x14ac:dyDescent="0.3">
      <c r="A83" s="329" t="s">
        <v>222</v>
      </c>
      <c r="B83" s="329" t="s">
        <v>223</v>
      </c>
      <c r="C83" s="330">
        <v>2197</v>
      </c>
      <c r="D83" s="330">
        <v>4</v>
      </c>
      <c r="E83" s="330">
        <v>332</v>
      </c>
      <c r="F83" s="330">
        <v>530</v>
      </c>
      <c r="G83" s="330">
        <v>139</v>
      </c>
      <c r="H83" s="330">
        <v>3202</v>
      </c>
      <c r="I83" s="330">
        <v>3063</v>
      </c>
      <c r="J83" s="330">
        <v>0</v>
      </c>
      <c r="K83" s="330">
        <v>81.150000000000006</v>
      </c>
      <c r="L83" s="330">
        <v>78.760000000000005</v>
      </c>
      <c r="M83" s="330">
        <v>4.47</v>
      </c>
      <c r="N83" s="330">
        <v>83.98</v>
      </c>
      <c r="O83" s="333">
        <v>1344</v>
      </c>
      <c r="P83" s="330">
        <v>95.26</v>
      </c>
      <c r="Q83" s="330">
        <v>79.06</v>
      </c>
      <c r="R83" s="330">
        <v>57.02</v>
      </c>
      <c r="S83" s="330">
        <v>151.99</v>
      </c>
      <c r="T83" s="333">
        <v>595</v>
      </c>
      <c r="U83" s="330">
        <v>103.12</v>
      </c>
      <c r="V83" s="333">
        <v>704</v>
      </c>
      <c r="W83" s="330">
        <v>112.13</v>
      </c>
      <c r="X83" s="333">
        <v>41</v>
      </c>
      <c r="Y83" s="330">
        <v>0</v>
      </c>
      <c r="Z83" s="330">
        <v>3</v>
      </c>
      <c r="AA83" s="330">
        <v>20</v>
      </c>
      <c r="AB83" s="330">
        <v>1</v>
      </c>
      <c r="AC83" s="330">
        <v>8</v>
      </c>
      <c r="AD83" s="330">
        <v>2176</v>
      </c>
      <c r="AE83" s="330">
        <v>11</v>
      </c>
      <c r="AF83" s="330">
        <v>28</v>
      </c>
      <c r="AG83" s="330">
        <v>39</v>
      </c>
    </row>
    <row r="84" spans="1:33" x14ac:dyDescent="0.3">
      <c r="A84" s="329" t="s">
        <v>224</v>
      </c>
      <c r="B84" s="329" t="s">
        <v>225</v>
      </c>
      <c r="C84" s="330">
        <v>1812</v>
      </c>
      <c r="D84" s="330">
        <v>12</v>
      </c>
      <c r="E84" s="330">
        <v>146</v>
      </c>
      <c r="F84" s="330">
        <v>107</v>
      </c>
      <c r="G84" s="330">
        <v>1289</v>
      </c>
      <c r="H84" s="330">
        <v>3366</v>
      </c>
      <c r="I84" s="330">
        <v>2077</v>
      </c>
      <c r="J84" s="330">
        <v>1</v>
      </c>
      <c r="K84" s="330">
        <v>110.79</v>
      </c>
      <c r="L84" s="330">
        <v>106.96</v>
      </c>
      <c r="M84" s="330">
        <v>7.44</v>
      </c>
      <c r="N84" s="330">
        <v>117.64</v>
      </c>
      <c r="O84" s="333">
        <v>857</v>
      </c>
      <c r="P84" s="330">
        <v>136.26</v>
      </c>
      <c r="Q84" s="330">
        <v>88.15</v>
      </c>
      <c r="R84" s="330">
        <v>41.57</v>
      </c>
      <c r="S84" s="330">
        <v>169.63</v>
      </c>
      <c r="T84" s="333">
        <v>142</v>
      </c>
      <c r="U84" s="330">
        <v>168.28</v>
      </c>
      <c r="V84" s="333">
        <v>524</v>
      </c>
      <c r="W84" s="330">
        <v>0</v>
      </c>
      <c r="X84" s="333">
        <v>0</v>
      </c>
      <c r="Y84" s="330">
        <v>0</v>
      </c>
      <c r="Z84" s="330">
        <v>0</v>
      </c>
      <c r="AA84" s="330">
        <v>0</v>
      </c>
      <c r="AB84" s="330">
        <v>252</v>
      </c>
      <c r="AC84" s="330">
        <v>35</v>
      </c>
      <c r="AD84" s="330">
        <v>1433</v>
      </c>
      <c r="AE84" s="330">
        <v>15</v>
      </c>
      <c r="AF84" s="330">
        <v>0</v>
      </c>
      <c r="AG84" s="330">
        <v>15</v>
      </c>
    </row>
    <row r="85" spans="1:33" x14ac:dyDescent="0.3">
      <c r="A85" s="329" t="s">
        <v>226</v>
      </c>
      <c r="B85" s="329" t="s">
        <v>227</v>
      </c>
      <c r="C85" s="330">
        <v>6183</v>
      </c>
      <c r="D85" s="330">
        <v>102</v>
      </c>
      <c r="E85" s="330">
        <v>682</v>
      </c>
      <c r="F85" s="330">
        <v>1363</v>
      </c>
      <c r="G85" s="330">
        <v>575</v>
      </c>
      <c r="H85" s="330">
        <v>8905</v>
      </c>
      <c r="I85" s="330">
        <v>8330</v>
      </c>
      <c r="J85" s="330">
        <v>2</v>
      </c>
      <c r="K85" s="330">
        <v>91.41</v>
      </c>
      <c r="L85" s="330">
        <v>89.16</v>
      </c>
      <c r="M85" s="330">
        <v>6.63</v>
      </c>
      <c r="N85" s="330">
        <v>96.15</v>
      </c>
      <c r="O85" s="333">
        <v>5391</v>
      </c>
      <c r="P85" s="330">
        <v>89.38</v>
      </c>
      <c r="Q85" s="330">
        <v>83.04</v>
      </c>
      <c r="R85" s="330">
        <v>54.17</v>
      </c>
      <c r="S85" s="330">
        <v>142.94</v>
      </c>
      <c r="T85" s="333">
        <v>1596</v>
      </c>
      <c r="U85" s="330">
        <v>110.26</v>
      </c>
      <c r="V85" s="333">
        <v>616</v>
      </c>
      <c r="W85" s="330">
        <v>195.52</v>
      </c>
      <c r="X85" s="333">
        <v>2</v>
      </c>
      <c r="Y85" s="330">
        <v>378</v>
      </c>
      <c r="Z85" s="330">
        <v>3</v>
      </c>
      <c r="AA85" s="330">
        <v>2</v>
      </c>
      <c r="AB85" s="330">
        <v>23</v>
      </c>
      <c r="AC85" s="330">
        <v>24</v>
      </c>
      <c r="AD85" s="330">
        <v>5976</v>
      </c>
      <c r="AE85" s="330">
        <v>33</v>
      </c>
      <c r="AF85" s="330">
        <v>28</v>
      </c>
      <c r="AG85" s="330">
        <v>61</v>
      </c>
    </row>
    <row r="86" spans="1:33" x14ac:dyDescent="0.3">
      <c r="A86" s="329" t="s">
        <v>228</v>
      </c>
      <c r="B86" s="329" t="s">
        <v>229</v>
      </c>
      <c r="C86" s="330">
        <v>3909</v>
      </c>
      <c r="D86" s="330">
        <v>0</v>
      </c>
      <c r="E86" s="330">
        <v>68</v>
      </c>
      <c r="F86" s="330">
        <v>270</v>
      </c>
      <c r="G86" s="330">
        <v>246</v>
      </c>
      <c r="H86" s="330">
        <v>4493</v>
      </c>
      <c r="I86" s="330">
        <v>4247</v>
      </c>
      <c r="J86" s="330">
        <v>0</v>
      </c>
      <c r="K86" s="330">
        <v>94.71</v>
      </c>
      <c r="L86" s="330">
        <v>96.5</v>
      </c>
      <c r="M86" s="330">
        <v>3.03</v>
      </c>
      <c r="N86" s="330">
        <v>97.38</v>
      </c>
      <c r="O86" s="333">
        <v>3366</v>
      </c>
      <c r="P86" s="330">
        <v>88.88</v>
      </c>
      <c r="Q86" s="330">
        <v>85.34</v>
      </c>
      <c r="R86" s="330">
        <v>30.54</v>
      </c>
      <c r="S86" s="330">
        <v>118.76</v>
      </c>
      <c r="T86" s="333">
        <v>324</v>
      </c>
      <c r="U86" s="330">
        <v>116.38</v>
      </c>
      <c r="V86" s="333">
        <v>412</v>
      </c>
      <c r="W86" s="330">
        <v>197.73</v>
      </c>
      <c r="X86" s="333">
        <v>2</v>
      </c>
      <c r="Y86" s="330">
        <v>0</v>
      </c>
      <c r="Z86" s="330">
        <v>10</v>
      </c>
      <c r="AA86" s="330">
        <v>3</v>
      </c>
      <c r="AB86" s="330">
        <v>20</v>
      </c>
      <c r="AC86" s="330">
        <v>5</v>
      </c>
      <c r="AD86" s="330">
        <v>3762</v>
      </c>
      <c r="AE86" s="330">
        <v>65</v>
      </c>
      <c r="AF86" s="330">
        <v>11</v>
      </c>
      <c r="AG86" s="330">
        <v>76</v>
      </c>
    </row>
    <row r="87" spans="1:33" x14ac:dyDescent="0.3">
      <c r="A87" s="329" t="s">
        <v>230</v>
      </c>
      <c r="B87" s="329" t="s">
        <v>231</v>
      </c>
      <c r="C87" s="330">
        <v>2645</v>
      </c>
      <c r="D87" s="330">
        <v>3</v>
      </c>
      <c r="E87" s="330">
        <v>832</v>
      </c>
      <c r="F87" s="330">
        <v>924</v>
      </c>
      <c r="G87" s="330">
        <v>467</v>
      </c>
      <c r="H87" s="330">
        <v>4871</v>
      </c>
      <c r="I87" s="330">
        <v>4404</v>
      </c>
      <c r="J87" s="330">
        <v>0</v>
      </c>
      <c r="K87" s="330">
        <v>83.82</v>
      </c>
      <c r="L87" s="330">
        <v>80.59</v>
      </c>
      <c r="M87" s="330">
        <v>5.55</v>
      </c>
      <c r="N87" s="330">
        <v>86.96</v>
      </c>
      <c r="O87" s="333">
        <v>1694</v>
      </c>
      <c r="P87" s="330">
        <v>104.82</v>
      </c>
      <c r="Q87" s="330">
        <v>82.16</v>
      </c>
      <c r="R87" s="330">
        <v>45.65</v>
      </c>
      <c r="S87" s="330">
        <v>149.97999999999999</v>
      </c>
      <c r="T87" s="333">
        <v>1550</v>
      </c>
      <c r="U87" s="330">
        <v>99.99</v>
      </c>
      <c r="V87" s="333">
        <v>844</v>
      </c>
      <c r="W87" s="330">
        <v>108.17</v>
      </c>
      <c r="X87" s="333">
        <v>9</v>
      </c>
      <c r="Y87" s="330">
        <v>16</v>
      </c>
      <c r="Z87" s="330">
        <v>1</v>
      </c>
      <c r="AA87" s="330">
        <v>9</v>
      </c>
      <c r="AB87" s="330">
        <v>66</v>
      </c>
      <c r="AC87" s="330">
        <v>2</v>
      </c>
      <c r="AD87" s="330">
        <v>2560</v>
      </c>
      <c r="AE87" s="330">
        <v>47</v>
      </c>
      <c r="AF87" s="330">
        <v>22</v>
      </c>
      <c r="AG87" s="330">
        <v>69</v>
      </c>
    </row>
    <row r="88" spans="1:33" x14ac:dyDescent="0.3">
      <c r="A88" s="329" t="s">
        <v>232</v>
      </c>
      <c r="B88" s="329" t="s">
        <v>233</v>
      </c>
      <c r="C88" s="330">
        <v>16663</v>
      </c>
      <c r="D88" s="330">
        <v>16</v>
      </c>
      <c r="E88" s="330">
        <v>780</v>
      </c>
      <c r="F88" s="330">
        <v>3986</v>
      </c>
      <c r="G88" s="330">
        <v>1467</v>
      </c>
      <c r="H88" s="330">
        <v>22912</v>
      </c>
      <c r="I88" s="330">
        <v>21445</v>
      </c>
      <c r="J88" s="330">
        <v>42</v>
      </c>
      <c r="K88" s="330">
        <v>101.67</v>
      </c>
      <c r="L88" s="330">
        <v>100.51</v>
      </c>
      <c r="M88" s="330">
        <v>4.28</v>
      </c>
      <c r="N88" s="330">
        <v>104.56</v>
      </c>
      <c r="O88" s="333">
        <v>14578</v>
      </c>
      <c r="P88" s="330">
        <v>92</v>
      </c>
      <c r="Q88" s="330">
        <v>89.3</v>
      </c>
      <c r="R88" s="330">
        <v>23.39</v>
      </c>
      <c r="S88" s="330">
        <v>114.95</v>
      </c>
      <c r="T88" s="333">
        <v>4123</v>
      </c>
      <c r="U88" s="330">
        <v>142.41999999999999</v>
      </c>
      <c r="V88" s="333">
        <v>1998</v>
      </c>
      <c r="W88" s="330">
        <v>166.95</v>
      </c>
      <c r="X88" s="333">
        <v>56</v>
      </c>
      <c r="Y88" s="330">
        <v>9</v>
      </c>
      <c r="Z88" s="330">
        <v>15</v>
      </c>
      <c r="AA88" s="330">
        <v>52</v>
      </c>
      <c r="AB88" s="330">
        <v>171</v>
      </c>
      <c r="AC88" s="330">
        <v>33</v>
      </c>
      <c r="AD88" s="330">
        <v>16582</v>
      </c>
      <c r="AE88" s="330">
        <v>77</v>
      </c>
      <c r="AF88" s="330">
        <v>83</v>
      </c>
      <c r="AG88" s="330">
        <v>160</v>
      </c>
    </row>
    <row r="89" spans="1:33" x14ac:dyDescent="0.3">
      <c r="A89" s="329" t="s">
        <v>234</v>
      </c>
      <c r="B89" s="329" t="s">
        <v>235</v>
      </c>
      <c r="C89" s="330">
        <v>2125</v>
      </c>
      <c r="D89" s="330">
        <v>4</v>
      </c>
      <c r="E89" s="330">
        <v>139</v>
      </c>
      <c r="F89" s="330">
        <v>550</v>
      </c>
      <c r="G89" s="330">
        <v>283</v>
      </c>
      <c r="H89" s="330">
        <v>3101</v>
      </c>
      <c r="I89" s="330">
        <v>2818</v>
      </c>
      <c r="J89" s="330">
        <v>22</v>
      </c>
      <c r="K89" s="330">
        <v>92.63</v>
      </c>
      <c r="L89" s="330">
        <v>90.69</v>
      </c>
      <c r="M89" s="330">
        <v>7.77</v>
      </c>
      <c r="N89" s="330">
        <v>98.56</v>
      </c>
      <c r="O89" s="333">
        <v>1703</v>
      </c>
      <c r="P89" s="330">
        <v>111.54</v>
      </c>
      <c r="Q89" s="330">
        <v>87.86</v>
      </c>
      <c r="R89" s="330">
        <v>42.97</v>
      </c>
      <c r="S89" s="330">
        <v>151.79</v>
      </c>
      <c r="T89" s="333">
        <v>680</v>
      </c>
      <c r="U89" s="330">
        <v>133.30000000000001</v>
      </c>
      <c r="V89" s="333">
        <v>314</v>
      </c>
      <c r="W89" s="330">
        <v>0</v>
      </c>
      <c r="X89" s="333">
        <v>0</v>
      </c>
      <c r="Y89" s="330">
        <v>0</v>
      </c>
      <c r="Z89" s="330">
        <v>0</v>
      </c>
      <c r="AA89" s="330">
        <v>1</v>
      </c>
      <c r="AB89" s="330">
        <v>23</v>
      </c>
      <c r="AC89" s="330">
        <v>8</v>
      </c>
      <c r="AD89" s="330">
        <v>2047</v>
      </c>
      <c r="AE89" s="330">
        <v>12</v>
      </c>
      <c r="AF89" s="330">
        <v>15</v>
      </c>
      <c r="AG89" s="330">
        <v>27</v>
      </c>
    </row>
    <row r="90" spans="1:33" x14ac:dyDescent="0.3">
      <c r="A90" s="329" t="s">
        <v>236</v>
      </c>
      <c r="B90" s="329" t="s">
        <v>237</v>
      </c>
      <c r="C90" s="330">
        <v>4035</v>
      </c>
      <c r="D90" s="330">
        <v>0</v>
      </c>
      <c r="E90" s="330">
        <v>405</v>
      </c>
      <c r="F90" s="330">
        <v>790</v>
      </c>
      <c r="G90" s="330">
        <v>749</v>
      </c>
      <c r="H90" s="330">
        <v>5979</v>
      </c>
      <c r="I90" s="330">
        <v>5230</v>
      </c>
      <c r="J90" s="330">
        <v>0</v>
      </c>
      <c r="K90" s="330">
        <v>95.6</v>
      </c>
      <c r="L90" s="330">
        <v>93.09</v>
      </c>
      <c r="M90" s="330">
        <v>6.63</v>
      </c>
      <c r="N90" s="330">
        <v>101.2</v>
      </c>
      <c r="O90" s="333">
        <v>3216</v>
      </c>
      <c r="P90" s="330">
        <v>112.91</v>
      </c>
      <c r="Q90" s="330">
        <v>96.43</v>
      </c>
      <c r="R90" s="330">
        <v>58.99</v>
      </c>
      <c r="S90" s="330">
        <v>169.63</v>
      </c>
      <c r="T90" s="333">
        <v>935</v>
      </c>
      <c r="U90" s="330">
        <v>117.12</v>
      </c>
      <c r="V90" s="333">
        <v>731</v>
      </c>
      <c r="W90" s="330">
        <v>108.61</v>
      </c>
      <c r="X90" s="333">
        <v>12</v>
      </c>
      <c r="Y90" s="330">
        <v>12</v>
      </c>
      <c r="Z90" s="330">
        <v>6</v>
      </c>
      <c r="AA90" s="330">
        <v>4</v>
      </c>
      <c r="AB90" s="330">
        <v>21</v>
      </c>
      <c r="AC90" s="330">
        <v>22</v>
      </c>
      <c r="AD90" s="330">
        <v>4035</v>
      </c>
      <c r="AE90" s="330">
        <v>52</v>
      </c>
      <c r="AF90" s="330">
        <v>6</v>
      </c>
      <c r="AG90" s="330">
        <v>58</v>
      </c>
    </row>
    <row r="91" spans="1:33" x14ac:dyDescent="0.3">
      <c r="A91" s="329" t="s">
        <v>238</v>
      </c>
      <c r="B91" s="329" t="s">
        <v>239</v>
      </c>
      <c r="C91" s="330">
        <v>10920</v>
      </c>
      <c r="D91" s="330">
        <v>379</v>
      </c>
      <c r="E91" s="330">
        <v>995</v>
      </c>
      <c r="F91" s="330">
        <v>742</v>
      </c>
      <c r="G91" s="330">
        <v>3196</v>
      </c>
      <c r="H91" s="330">
        <v>16232</v>
      </c>
      <c r="I91" s="330">
        <v>13036</v>
      </c>
      <c r="J91" s="330">
        <v>48</v>
      </c>
      <c r="K91" s="330">
        <v>131.18</v>
      </c>
      <c r="L91" s="330">
        <v>129.47</v>
      </c>
      <c r="M91" s="330">
        <v>11.44</v>
      </c>
      <c r="N91" s="330">
        <v>139.5</v>
      </c>
      <c r="O91" s="333">
        <v>8287</v>
      </c>
      <c r="P91" s="330">
        <v>123.72</v>
      </c>
      <c r="Q91" s="330">
        <v>114.91</v>
      </c>
      <c r="R91" s="330">
        <v>52.23</v>
      </c>
      <c r="S91" s="330">
        <v>169.79</v>
      </c>
      <c r="T91" s="333">
        <v>1077</v>
      </c>
      <c r="U91" s="330">
        <v>203.85</v>
      </c>
      <c r="V91" s="333">
        <v>1732</v>
      </c>
      <c r="W91" s="330">
        <v>199.53</v>
      </c>
      <c r="X91" s="333">
        <v>44</v>
      </c>
      <c r="Y91" s="330">
        <v>0</v>
      </c>
      <c r="Z91" s="330">
        <v>5</v>
      </c>
      <c r="AA91" s="330">
        <v>1</v>
      </c>
      <c r="AB91" s="330">
        <v>259</v>
      </c>
      <c r="AC91" s="330">
        <v>73</v>
      </c>
      <c r="AD91" s="330">
        <v>10428</v>
      </c>
      <c r="AE91" s="330">
        <v>58</v>
      </c>
      <c r="AF91" s="330">
        <v>115</v>
      </c>
      <c r="AG91" s="330">
        <v>173</v>
      </c>
    </row>
    <row r="92" spans="1:33" x14ac:dyDescent="0.3">
      <c r="A92" s="329" t="s">
        <v>240</v>
      </c>
      <c r="B92" s="329" t="s">
        <v>241</v>
      </c>
      <c r="C92" s="330">
        <v>4281</v>
      </c>
      <c r="D92" s="330">
        <v>5</v>
      </c>
      <c r="E92" s="330">
        <v>115</v>
      </c>
      <c r="F92" s="330">
        <v>1022</v>
      </c>
      <c r="G92" s="330">
        <v>523</v>
      </c>
      <c r="H92" s="330">
        <v>5946</v>
      </c>
      <c r="I92" s="330">
        <v>5423</v>
      </c>
      <c r="J92" s="330">
        <v>11</v>
      </c>
      <c r="K92" s="330">
        <v>104.61</v>
      </c>
      <c r="L92" s="330">
        <v>104.45</v>
      </c>
      <c r="M92" s="330">
        <v>3.25</v>
      </c>
      <c r="N92" s="330">
        <v>105.88</v>
      </c>
      <c r="O92" s="333">
        <v>3670</v>
      </c>
      <c r="P92" s="330">
        <v>98.25</v>
      </c>
      <c r="Q92" s="330">
        <v>96.88</v>
      </c>
      <c r="R92" s="330">
        <v>29.34</v>
      </c>
      <c r="S92" s="330">
        <v>127.44</v>
      </c>
      <c r="T92" s="333">
        <v>1120</v>
      </c>
      <c r="U92" s="330">
        <v>140.6</v>
      </c>
      <c r="V92" s="333">
        <v>523</v>
      </c>
      <c r="W92" s="330">
        <v>0</v>
      </c>
      <c r="X92" s="333">
        <v>0</v>
      </c>
      <c r="Y92" s="330">
        <v>17</v>
      </c>
      <c r="Z92" s="330">
        <v>2</v>
      </c>
      <c r="AA92" s="330">
        <v>2</v>
      </c>
      <c r="AB92" s="330">
        <v>58</v>
      </c>
      <c r="AC92" s="330">
        <v>11</v>
      </c>
      <c r="AD92" s="330">
        <v>4273</v>
      </c>
      <c r="AE92" s="330">
        <v>39</v>
      </c>
      <c r="AF92" s="330">
        <v>105</v>
      </c>
      <c r="AG92" s="330">
        <v>144</v>
      </c>
    </row>
    <row r="93" spans="1:33" x14ac:dyDescent="0.3">
      <c r="A93" s="329" t="s">
        <v>242</v>
      </c>
      <c r="B93" s="329" t="s">
        <v>243</v>
      </c>
      <c r="C93" s="330">
        <v>2650</v>
      </c>
      <c r="D93" s="330">
        <v>1</v>
      </c>
      <c r="E93" s="330">
        <v>193</v>
      </c>
      <c r="F93" s="330">
        <v>145</v>
      </c>
      <c r="G93" s="330">
        <v>945</v>
      </c>
      <c r="H93" s="330">
        <v>3934</v>
      </c>
      <c r="I93" s="330">
        <v>2989</v>
      </c>
      <c r="J93" s="330">
        <v>0</v>
      </c>
      <c r="K93" s="330">
        <v>95.8</v>
      </c>
      <c r="L93" s="330">
        <v>92.01</v>
      </c>
      <c r="M93" s="330">
        <v>4.09</v>
      </c>
      <c r="N93" s="330">
        <v>98.68</v>
      </c>
      <c r="O93" s="333">
        <v>1605</v>
      </c>
      <c r="P93" s="330">
        <v>107.35</v>
      </c>
      <c r="Q93" s="330">
        <v>76.56</v>
      </c>
      <c r="R93" s="330">
        <v>56.21</v>
      </c>
      <c r="S93" s="330">
        <v>161.91</v>
      </c>
      <c r="T93" s="333">
        <v>239</v>
      </c>
      <c r="U93" s="330">
        <v>136.85</v>
      </c>
      <c r="V93" s="333">
        <v>824</v>
      </c>
      <c r="W93" s="330">
        <v>0</v>
      </c>
      <c r="X93" s="333">
        <v>0</v>
      </c>
      <c r="Y93" s="330">
        <v>0</v>
      </c>
      <c r="Z93" s="330">
        <v>0</v>
      </c>
      <c r="AA93" s="330">
        <v>0</v>
      </c>
      <c r="AB93" s="330">
        <v>114</v>
      </c>
      <c r="AC93" s="330">
        <v>16</v>
      </c>
      <c r="AD93" s="330">
        <v>2605</v>
      </c>
      <c r="AE93" s="330">
        <v>14</v>
      </c>
      <c r="AF93" s="330">
        <v>8</v>
      </c>
      <c r="AG93" s="330">
        <v>22</v>
      </c>
    </row>
    <row r="94" spans="1:33" x14ac:dyDescent="0.3">
      <c r="A94" s="329" t="s">
        <v>244</v>
      </c>
      <c r="B94" s="329" t="s">
        <v>245</v>
      </c>
      <c r="C94" s="330">
        <v>5882</v>
      </c>
      <c r="D94" s="330">
        <v>0</v>
      </c>
      <c r="E94" s="330">
        <v>119</v>
      </c>
      <c r="F94" s="330">
        <v>784</v>
      </c>
      <c r="G94" s="330">
        <v>728</v>
      </c>
      <c r="H94" s="330">
        <v>7513</v>
      </c>
      <c r="I94" s="330">
        <v>6785</v>
      </c>
      <c r="J94" s="330">
        <v>0</v>
      </c>
      <c r="K94" s="330">
        <v>117.78</v>
      </c>
      <c r="L94" s="330">
        <v>115.33</v>
      </c>
      <c r="M94" s="330">
        <v>4.1100000000000003</v>
      </c>
      <c r="N94" s="330">
        <v>119.27</v>
      </c>
      <c r="O94" s="333">
        <v>4268</v>
      </c>
      <c r="P94" s="330">
        <v>100.25</v>
      </c>
      <c r="Q94" s="330">
        <v>95.57</v>
      </c>
      <c r="R94" s="330">
        <v>18.579999999999998</v>
      </c>
      <c r="S94" s="330">
        <v>118.33</v>
      </c>
      <c r="T94" s="333">
        <v>884</v>
      </c>
      <c r="U94" s="330">
        <v>162.80000000000001</v>
      </c>
      <c r="V94" s="333">
        <v>1234</v>
      </c>
      <c r="W94" s="330">
        <v>0</v>
      </c>
      <c r="X94" s="333">
        <v>0</v>
      </c>
      <c r="Y94" s="330">
        <v>0</v>
      </c>
      <c r="Z94" s="330">
        <v>5</v>
      </c>
      <c r="AA94" s="330">
        <v>0</v>
      </c>
      <c r="AB94" s="330">
        <v>47</v>
      </c>
      <c r="AC94" s="330">
        <v>24</v>
      </c>
      <c r="AD94" s="330">
        <v>5608</v>
      </c>
      <c r="AE94" s="330">
        <v>22</v>
      </c>
      <c r="AF94" s="330">
        <v>19</v>
      </c>
      <c r="AG94" s="330">
        <v>41</v>
      </c>
    </row>
    <row r="95" spans="1:33" x14ac:dyDescent="0.3">
      <c r="A95" s="329" t="s">
        <v>246</v>
      </c>
      <c r="B95" s="329" t="s">
        <v>247</v>
      </c>
      <c r="C95" s="330">
        <v>7281</v>
      </c>
      <c r="D95" s="330">
        <v>0</v>
      </c>
      <c r="E95" s="330">
        <v>175</v>
      </c>
      <c r="F95" s="330">
        <v>1055</v>
      </c>
      <c r="G95" s="330">
        <v>1014</v>
      </c>
      <c r="H95" s="330">
        <v>9525</v>
      </c>
      <c r="I95" s="330">
        <v>8511</v>
      </c>
      <c r="J95" s="330">
        <v>138</v>
      </c>
      <c r="K95" s="330">
        <v>119.01</v>
      </c>
      <c r="L95" s="330">
        <v>118.01</v>
      </c>
      <c r="M95" s="330">
        <v>5.4</v>
      </c>
      <c r="N95" s="330">
        <v>121.32</v>
      </c>
      <c r="O95" s="333">
        <v>5126</v>
      </c>
      <c r="P95" s="330">
        <v>109.02</v>
      </c>
      <c r="Q95" s="330">
        <v>100.68</v>
      </c>
      <c r="R95" s="330">
        <v>33.229999999999997</v>
      </c>
      <c r="S95" s="330">
        <v>141.05000000000001</v>
      </c>
      <c r="T95" s="333">
        <v>1188</v>
      </c>
      <c r="U95" s="330">
        <v>172.54</v>
      </c>
      <c r="V95" s="333">
        <v>2040</v>
      </c>
      <c r="W95" s="330">
        <v>0</v>
      </c>
      <c r="X95" s="333">
        <v>0</v>
      </c>
      <c r="Y95" s="330">
        <v>55</v>
      </c>
      <c r="Z95" s="330">
        <v>4</v>
      </c>
      <c r="AA95" s="330">
        <v>1</v>
      </c>
      <c r="AB95" s="330">
        <v>73</v>
      </c>
      <c r="AC95" s="330">
        <v>26</v>
      </c>
      <c r="AD95" s="330">
        <v>7257</v>
      </c>
      <c r="AE95" s="330">
        <v>71</v>
      </c>
      <c r="AF95" s="330">
        <v>21</v>
      </c>
      <c r="AG95" s="330">
        <v>92</v>
      </c>
    </row>
    <row r="96" spans="1:33" x14ac:dyDescent="0.3">
      <c r="A96" s="329" t="s">
        <v>248</v>
      </c>
      <c r="B96" s="329" t="s">
        <v>249</v>
      </c>
      <c r="C96" s="330">
        <v>6896</v>
      </c>
      <c r="D96" s="330">
        <v>8</v>
      </c>
      <c r="E96" s="330">
        <v>247</v>
      </c>
      <c r="F96" s="330">
        <v>577</v>
      </c>
      <c r="G96" s="330">
        <v>642</v>
      </c>
      <c r="H96" s="330">
        <v>8370</v>
      </c>
      <c r="I96" s="330">
        <v>7728</v>
      </c>
      <c r="J96" s="330">
        <v>1</v>
      </c>
      <c r="K96" s="330">
        <v>85.05</v>
      </c>
      <c r="L96" s="330">
        <v>84.52</v>
      </c>
      <c r="M96" s="330">
        <v>3.14</v>
      </c>
      <c r="N96" s="330">
        <v>87.59</v>
      </c>
      <c r="O96" s="333">
        <v>5147</v>
      </c>
      <c r="P96" s="330">
        <v>88.76</v>
      </c>
      <c r="Q96" s="330">
        <v>78.5</v>
      </c>
      <c r="R96" s="330">
        <v>47.91</v>
      </c>
      <c r="S96" s="330">
        <v>135.31</v>
      </c>
      <c r="T96" s="333">
        <v>776</v>
      </c>
      <c r="U96" s="330">
        <v>96.28</v>
      </c>
      <c r="V96" s="333">
        <v>1518</v>
      </c>
      <c r="W96" s="330">
        <v>152.62</v>
      </c>
      <c r="X96" s="333">
        <v>42</v>
      </c>
      <c r="Y96" s="330">
        <v>0</v>
      </c>
      <c r="Z96" s="330">
        <v>15</v>
      </c>
      <c r="AA96" s="330">
        <v>3</v>
      </c>
      <c r="AB96" s="330">
        <v>21</v>
      </c>
      <c r="AC96" s="330">
        <v>13</v>
      </c>
      <c r="AD96" s="330">
        <v>6739</v>
      </c>
      <c r="AE96" s="330">
        <v>74</v>
      </c>
      <c r="AF96" s="330">
        <v>51</v>
      </c>
      <c r="AG96" s="330">
        <v>125</v>
      </c>
    </row>
    <row r="97" spans="1:33" x14ac:dyDescent="0.3">
      <c r="A97" s="329" t="s">
        <v>250</v>
      </c>
      <c r="B97" s="329" t="s">
        <v>251</v>
      </c>
      <c r="C97" s="330">
        <v>2469</v>
      </c>
      <c r="D97" s="330">
        <v>0</v>
      </c>
      <c r="E97" s="330">
        <v>305</v>
      </c>
      <c r="F97" s="330">
        <v>618</v>
      </c>
      <c r="G97" s="330">
        <v>473</v>
      </c>
      <c r="H97" s="330">
        <v>3865</v>
      </c>
      <c r="I97" s="330">
        <v>3392</v>
      </c>
      <c r="J97" s="330">
        <v>2</v>
      </c>
      <c r="K97" s="330">
        <v>91.69</v>
      </c>
      <c r="L97" s="330">
        <v>89.05</v>
      </c>
      <c r="M97" s="330">
        <v>5.04</v>
      </c>
      <c r="N97" s="330">
        <v>94.66</v>
      </c>
      <c r="O97" s="333">
        <v>1271</v>
      </c>
      <c r="P97" s="330">
        <v>96.15</v>
      </c>
      <c r="Q97" s="330">
        <v>84.08</v>
      </c>
      <c r="R97" s="330">
        <v>54.54</v>
      </c>
      <c r="S97" s="330">
        <v>147.83000000000001</v>
      </c>
      <c r="T97" s="333">
        <v>801</v>
      </c>
      <c r="U97" s="330">
        <v>106.11</v>
      </c>
      <c r="V97" s="333">
        <v>902</v>
      </c>
      <c r="W97" s="330">
        <v>117.53</v>
      </c>
      <c r="X97" s="333">
        <v>12</v>
      </c>
      <c r="Y97" s="330">
        <v>2</v>
      </c>
      <c r="Z97" s="330">
        <v>0</v>
      </c>
      <c r="AA97" s="330">
        <v>3</v>
      </c>
      <c r="AB97" s="330">
        <v>100</v>
      </c>
      <c r="AC97" s="330">
        <v>4</v>
      </c>
      <c r="AD97" s="330">
        <v>2243</v>
      </c>
      <c r="AE97" s="330">
        <v>18</v>
      </c>
      <c r="AF97" s="330">
        <v>10</v>
      </c>
      <c r="AG97" s="330">
        <v>28</v>
      </c>
    </row>
    <row r="98" spans="1:33" x14ac:dyDescent="0.3">
      <c r="A98" s="329" t="s">
        <v>252</v>
      </c>
      <c r="B98" s="329" t="s">
        <v>253</v>
      </c>
      <c r="C98" s="330">
        <v>6461</v>
      </c>
      <c r="D98" s="330">
        <v>0</v>
      </c>
      <c r="E98" s="330">
        <v>135</v>
      </c>
      <c r="F98" s="330">
        <v>381</v>
      </c>
      <c r="G98" s="330">
        <v>344</v>
      </c>
      <c r="H98" s="330">
        <v>7321</v>
      </c>
      <c r="I98" s="330">
        <v>6977</v>
      </c>
      <c r="J98" s="330">
        <v>0</v>
      </c>
      <c r="K98" s="330">
        <v>84.04</v>
      </c>
      <c r="L98" s="330">
        <v>81.099999999999994</v>
      </c>
      <c r="M98" s="330">
        <v>6.19</v>
      </c>
      <c r="N98" s="330">
        <v>86.65</v>
      </c>
      <c r="O98" s="333">
        <v>5110</v>
      </c>
      <c r="P98" s="330">
        <v>83.29</v>
      </c>
      <c r="Q98" s="330">
        <v>76.66</v>
      </c>
      <c r="R98" s="330">
        <v>59.88</v>
      </c>
      <c r="S98" s="330">
        <v>142.34</v>
      </c>
      <c r="T98" s="333">
        <v>512</v>
      </c>
      <c r="U98" s="330">
        <v>101.74</v>
      </c>
      <c r="V98" s="333">
        <v>1330</v>
      </c>
      <c r="W98" s="330">
        <v>0</v>
      </c>
      <c r="X98" s="333">
        <v>0</v>
      </c>
      <c r="Y98" s="330">
        <v>538</v>
      </c>
      <c r="Z98" s="330">
        <v>20</v>
      </c>
      <c r="AA98" s="330">
        <v>5</v>
      </c>
      <c r="AB98" s="330">
        <v>24</v>
      </c>
      <c r="AC98" s="330">
        <v>8</v>
      </c>
      <c r="AD98" s="330">
        <v>6461</v>
      </c>
      <c r="AE98" s="330">
        <v>54</v>
      </c>
      <c r="AF98" s="330">
        <v>11</v>
      </c>
      <c r="AG98" s="330">
        <v>65</v>
      </c>
    </row>
    <row r="99" spans="1:33" x14ac:dyDescent="0.3">
      <c r="A99" s="329" t="s">
        <v>254</v>
      </c>
      <c r="B99" s="329" t="s">
        <v>255</v>
      </c>
      <c r="C99" s="330">
        <v>8506</v>
      </c>
      <c r="D99" s="330">
        <v>0</v>
      </c>
      <c r="E99" s="330">
        <v>386</v>
      </c>
      <c r="F99" s="330">
        <v>1375</v>
      </c>
      <c r="G99" s="330">
        <v>283</v>
      </c>
      <c r="H99" s="330">
        <v>10550</v>
      </c>
      <c r="I99" s="330">
        <v>10267</v>
      </c>
      <c r="J99" s="330">
        <v>3</v>
      </c>
      <c r="K99" s="330">
        <v>94.16</v>
      </c>
      <c r="L99" s="330">
        <v>91.1</v>
      </c>
      <c r="M99" s="330">
        <v>3.34</v>
      </c>
      <c r="N99" s="330">
        <v>95.83</v>
      </c>
      <c r="O99" s="333">
        <v>7020</v>
      </c>
      <c r="P99" s="330">
        <v>85.09</v>
      </c>
      <c r="Q99" s="330">
        <v>79.25</v>
      </c>
      <c r="R99" s="330">
        <v>38.200000000000003</v>
      </c>
      <c r="S99" s="330">
        <v>122.52</v>
      </c>
      <c r="T99" s="333">
        <v>1631</v>
      </c>
      <c r="U99" s="330">
        <v>110.27</v>
      </c>
      <c r="V99" s="333">
        <v>1277</v>
      </c>
      <c r="W99" s="330">
        <v>116.85</v>
      </c>
      <c r="X99" s="333">
        <v>19</v>
      </c>
      <c r="Y99" s="330">
        <v>4</v>
      </c>
      <c r="Z99" s="330">
        <v>4</v>
      </c>
      <c r="AA99" s="330">
        <v>29</v>
      </c>
      <c r="AB99" s="330">
        <v>14</v>
      </c>
      <c r="AC99" s="330">
        <v>7</v>
      </c>
      <c r="AD99" s="330">
        <v>8479</v>
      </c>
      <c r="AE99" s="330">
        <v>39</v>
      </c>
      <c r="AF99" s="330">
        <v>62</v>
      </c>
      <c r="AG99" s="330">
        <v>101</v>
      </c>
    </row>
    <row r="100" spans="1:33" x14ac:dyDescent="0.3">
      <c r="A100" s="329" t="s">
        <v>256</v>
      </c>
      <c r="B100" s="329" t="s">
        <v>257</v>
      </c>
      <c r="C100" s="330">
        <v>1711</v>
      </c>
      <c r="D100" s="330">
        <v>0</v>
      </c>
      <c r="E100" s="330">
        <v>236</v>
      </c>
      <c r="F100" s="330">
        <v>632</v>
      </c>
      <c r="G100" s="330">
        <v>169</v>
      </c>
      <c r="H100" s="330">
        <v>2748</v>
      </c>
      <c r="I100" s="330">
        <v>2579</v>
      </c>
      <c r="J100" s="330">
        <v>7</v>
      </c>
      <c r="K100" s="330">
        <v>97.51</v>
      </c>
      <c r="L100" s="330">
        <v>93.79</v>
      </c>
      <c r="M100" s="330">
        <v>8.61</v>
      </c>
      <c r="N100" s="330">
        <v>104.75</v>
      </c>
      <c r="O100" s="333">
        <v>1469</v>
      </c>
      <c r="P100" s="330">
        <v>83.04</v>
      </c>
      <c r="Q100" s="330">
        <v>74.709999999999994</v>
      </c>
      <c r="R100" s="330">
        <v>45.03</v>
      </c>
      <c r="S100" s="330">
        <v>127.47</v>
      </c>
      <c r="T100" s="333">
        <v>684</v>
      </c>
      <c r="U100" s="330">
        <v>139.51</v>
      </c>
      <c r="V100" s="333">
        <v>219</v>
      </c>
      <c r="W100" s="330">
        <v>142.71</v>
      </c>
      <c r="X100" s="333">
        <v>18</v>
      </c>
      <c r="Y100" s="330">
        <v>0</v>
      </c>
      <c r="Z100" s="330">
        <v>0</v>
      </c>
      <c r="AA100" s="330">
        <v>1</v>
      </c>
      <c r="AB100" s="330">
        <v>0</v>
      </c>
      <c r="AC100" s="330">
        <v>8</v>
      </c>
      <c r="AD100" s="330">
        <v>1710</v>
      </c>
      <c r="AE100" s="330">
        <v>5</v>
      </c>
      <c r="AF100" s="330">
        <v>4</v>
      </c>
      <c r="AG100" s="330">
        <v>9</v>
      </c>
    </row>
    <row r="101" spans="1:33" x14ac:dyDescent="0.3">
      <c r="A101" s="329" t="s">
        <v>258</v>
      </c>
      <c r="B101" s="329" t="s">
        <v>259</v>
      </c>
      <c r="C101" s="330">
        <v>6793</v>
      </c>
      <c r="D101" s="330">
        <v>0</v>
      </c>
      <c r="E101" s="330">
        <v>169</v>
      </c>
      <c r="F101" s="330">
        <v>714</v>
      </c>
      <c r="G101" s="330">
        <v>1229</v>
      </c>
      <c r="H101" s="330">
        <v>8905</v>
      </c>
      <c r="I101" s="330">
        <v>7676</v>
      </c>
      <c r="J101" s="330">
        <v>0</v>
      </c>
      <c r="K101" s="330">
        <v>110.87</v>
      </c>
      <c r="L101" s="330">
        <v>106.38</v>
      </c>
      <c r="M101" s="330">
        <v>5.31</v>
      </c>
      <c r="N101" s="330">
        <v>113.62</v>
      </c>
      <c r="O101" s="333">
        <v>4807</v>
      </c>
      <c r="P101" s="330">
        <v>102.69</v>
      </c>
      <c r="Q101" s="330">
        <v>89.13</v>
      </c>
      <c r="R101" s="330">
        <v>37.68</v>
      </c>
      <c r="S101" s="330">
        <v>140.22999999999999</v>
      </c>
      <c r="T101" s="333">
        <v>755</v>
      </c>
      <c r="U101" s="330">
        <v>156.12</v>
      </c>
      <c r="V101" s="333">
        <v>1838</v>
      </c>
      <c r="W101" s="330">
        <v>179.18</v>
      </c>
      <c r="X101" s="333">
        <v>50</v>
      </c>
      <c r="Y101" s="330">
        <v>0</v>
      </c>
      <c r="Z101" s="330">
        <v>11</v>
      </c>
      <c r="AA101" s="330">
        <v>2</v>
      </c>
      <c r="AB101" s="330">
        <v>117</v>
      </c>
      <c r="AC101" s="330">
        <v>34</v>
      </c>
      <c r="AD101" s="330">
        <v>6793</v>
      </c>
      <c r="AE101" s="330">
        <v>73</v>
      </c>
      <c r="AF101" s="330">
        <v>20</v>
      </c>
      <c r="AG101" s="330">
        <v>93</v>
      </c>
    </row>
    <row r="102" spans="1:33" x14ac:dyDescent="0.3">
      <c r="A102" s="329" t="s">
        <v>260</v>
      </c>
      <c r="B102" s="329" t="s">
        <v>261</v>
      </c>
      <c r="C102" s="330">
        <v>2199</v>
      </c>
      <c r="D102" s="330">
        <v>0</v>
      </c>
      <c r="E102" s="330">
        <v>182</v>
      </c>
      <c r="F102" s="330">
        <v>211</v>
      </c>
      <c r="G102" s="330">
        <v>205</v>
      </c>
      <c r="H102" s="330">
        <v>2797</v>
      </c>
      <c r="I102" s="330">
        <v>2592</v>
      </c>
      <c r="J102" s="330">
        <v>10</v>
      </c>
      <c r="K102" s="330">
        <v>97.9</v>
      </c>
      <c r="L102" s="330">
        <v>99.13</v>
      </c>
      <c r="M102" s="330">
        <v>5.71</v>
      </c>
      <c r="N102" s="330">
        <v>99.83</v>
      </c>
      <c r="O102" s="333">
        <v>1928</v>
      </c>
      <c r="P102" s="330">
        <v>94.46</v>
      </c>
      <c r="Q102" s="330">
        <v>84.73</v>
      </c>
      <c r="R102" s="330">
        <v>41.94</v>
      </c>
      <c r="S102" s="330">
        <v>135.18</v>
      </c>
      <c r="T102" s="333">
        <v>380</v>
      </c>
      <c r="U102" s="330">
        <v>110.38</v>
      </c>
      <c r="V102" s="333">
        <v>235</v>
      </c>
      <c r="W102" s="330">
        <v>0</v>
      </c>
      <c r="X102" s="333">
        <v>0</v>
      </c>
      <c r="Y102" s="330">
        <v>0</v>
      </c>
      <c r="Z102" s="330">
        <v>3</v>
      </c>
      <c r="AA102" s="330">
        <v>0</v>
      </c>
      <c r="AB102" s="330">
        <v>17</v>
      </c>
      <c r="AC102" s="330">
        <v>1</v>
      </c>
      <c r="AD102" s="330">
        <v>2161</v>
      </c>
      <c r="AE102" s="330">
        <v>17</v>
      </c>
      <c r="AF102" s="330">
        <v>4</v>
      </c>
      <c r="AG102" s="330">
        <v>21</v>
      </c>
    </row>
    <row r="103" spans="1:33" x14ac:dyDescent="0.3">
      <c r="A103" s="329" t="s">
        <v>262</v>
      </c>
      <c r="B103" s="329" t="s">
        <v>263</v>
      </c>
      <c r="C103" s="330">
        <v>4598</v>
      </c>
      <c r="D103" s="330">
        <v>6</v>
      </c>
      <c r="E103" s="330">
        <v>124</v>
      </c>
      <c r="F103" s="330">
        <v>884</v>
      </c>
      <c r="G103" s="330">
        <v>525</v>
      </c>
      <c r="H103" s="330">
        <v>6137</v>
      </c>
      <c r="I103" s="330">
        <v>5612</v>
      </c>
      <c r="J103" s="330">
        <v>13</v>
      </c>
      <c r="K103" s="330">
        <v>130.59</v>
      </c>
      <c r="L103" s="330">
        <v>132.05000000000001</v>
      </c>
      <c r="M103" s="330">
        <v>10.73</v>
      </c>
      <c r="N103" s="330">
        <v>135.88</v>
      </c>
      <c r="O103" s="333">
        <v>3658</v>
      </c>
      <c r="P103" s="330">
        <v>123.48</v>
      </c>
      <c r="Q103" s="330">
        <v>110.13</v>
      </c>
      <c r="R103" s="330">
        <v>23.7</v>
      </c>
      <c r="S103" s="330">
        <v>146.80000000000001</v>
      </c>
      <c r="T103" s="333">
        <v>794</v>
      </c>
      <c r="U103" s="330">
        <v>207.05</v>
      </c>
      <c r="V103" s="333">
        <v>675</v>
      </c>
      <c r="W103" s="330">
        <v>169.39</v>
      </c>
      <c r="X103" s="333">
        <v>10</v>
      </c>
      <c r="Y103" s="330">
        <v>249</v>
      </c>
      <c r="Z103" s="330">
        <v>12</v>
      </c>
      <c r="AA103" s="330">
        <v>1</v>
      </c>
      <c r="AB103" s="330">
        <v>9</v>
      </c>
      <c r="AC103" s="330">
        <v>25</v>
      </c>
      <c r="AD103" s="330">
        <v>4424</v>
      </c>
      <c r="AE103" s="330">
        <v>16</v>
      </c>
      <c r="AF103" s="330">
        <v>4</v>
      </c>
      <c r="AG103" s="330">
        <v>20</v>
      </c>
    </row>
    <row r="104" spans="1:33" x14ac:dyDescent="0.3">
      <c r="A104" s="329" t="s">
        <v>264</v>
      </c>
      <c r="B104" s="329" t="s">
        <v>265</v>
      </c>
      <c r="C104" s="330">
        <v>7102</v>
      </c>
      <c r="D104" s="330">
        <v>337</v>
      </c>
      <c r="E104" s="330">
        <v>595</v>
      </c>
      <c r="F104" s="330">
        <v>695</v>
      </c>
      <c r="G104" s="330">
        <v>1449</v>
      </c>
      <c r="H104" s="330">
        <v>10178</v>
      </c>
      <c r="I104" s="330">
        <v>8729</v>
      </c>
      <c r="J104" s="330">
        <v>8</v>
      </c>
      <c r="K104" s="330">
        <v>125.04</v>
      </c>
      <c r="L104" s="330">
        <v>124.01</v>
      </c>
      <c r="M104" s="330">
        <v>15.68</v>
      </c>
      <c r="N104" s="330">
        <v>136.61000000000001</v>
      </c>
      <c r="O104" s="333">
        <v>5775</v>
      </c>
      <c r="P104" s="330">
        <v>115.44</v>
      </c>
      <c r="Q104" s="330">
        <v>107.98</v>
      </c>
      <c r="R104" s="330">
        <v>73.5</v>
      </c>
      <c r="S104" s="330">
        <v>186.92</v>
      </c>
      <c r="T104" s="333">
        <v>1096</v>
      </c>
      <c r="U104" s="330">
        <v>200.47</v>
      </c>
      <c r="V104" s="333">
        <v>782</v>
      </c>
      <c r="W104" s="330">
        <v>196.06</v>
      </c>
      <c r="X104" s="333">
        <v>27</v>
      </c>
      <c r="Y104" s="330">
        <v>43</v>
      </c>
      <c r="Z104" s="330">
        <v>5</v>
      </c>
      <c r="AA104" s="330">
        <v>6</v>
      </c>
      <c r="AB104" s="330">
        <v>107</v>
      </c>
      <c r="AC104" s="330">
        <v>72</v>
      </c>
      <c r="AD104" s="330">
        <v>6655</v>
      </c>
      <c r="AE104" s="330">
        <v>100</v>
      </c>
      <c r="AF104" s="330">
        <v>52</v>
      </c>
      <c r="AG104" s="330">
        <v>152</v>
      </c>
    </row>
    <row r="105" spans="1:33" x14ac:dyDescent="0.3">
      <c r="A105" s="329" t="s">
        <v>266</v>
      </c>
      <c r="B105" s="329" t="s">
        <v>267</v>
      </c>
      <c r="C105" s="330">
        <v>1460</v>
      </c>
      <c r="D105" s="330">
        <v>0</v>
      </c>
      <c r="E105" s="330">
        <v>154</v>
      </c>
      <c r="F105" s="330">
        <v>227</v>
      </c>
      <c r="G105" s="330">
        <v>375</v>
      </c>
      <c r="H105" s="330">
        <v>2216</v>
      </c>
      <c r="I105" s="330">
        <v>1841</v>
      </c>
      <c r="J105" s="330">
        <v>2</v>
      </c>
      <c r="K105" s="330">
        <v>123.21</v>
      </c>
      <c r="L105" s="330">
        <v>120.93</v>
      </c>
      <c r="M105" s="330">
        <v>6.38</v>
      </c>
      <c r="N105" s="330">
        <v>128.81</v>
      </c>
      <c r="O105" s="333">
        <v>1229</v>
      </c>
      <c r="P105" s="330">
        <v>97.91</v>
      </c>
      <c r="Q105" s="330">
        <v>91.53</v>
      </c>
      <c r="R105" s="330">
        <v>59.57</v>
      </c>
      <c r="S105" s="330">
        <v>157.26</v>
      </c>
      <c r="T105" s="333">
        <v>281</v>
      </c>
      <c r="U105" s="330">
        <v>189.33</v>
      </c>
      <c r="V105" s="333">
        <v>214</v>
      </c>
      <c r="W105" s="330">
        <v>0</v>
      </c>
      <c r="X105" s="333">
        <v>0</v>
      </c>
      <c r="Y105" s="330">
        <v>0</v>
      </c>
      <c r="Z105" s="330">
        <v>0</v>
      </c>
      <c r="AA105" s="330">
        <v>0</v>
      </c>
      <c r="AB105" s="330">
        <v>0</v>
      </c>
      <c r="AC105" s="330">
        <v>12</v>
      </c>
      <c r="AD105" s="330">
        <v>1460</v>
      </c>
      <c r="AE105" s="330">
        <v>16</v>
      </c>
      <c r="AF105" s="330">
        <v>4</v>
      </c>
      <c r="AG105" s="330">
        <v>20</v>
      </c>
    </row>
    <row r="106" spans="1:33" x14ac:dyDescent="0.3">
      <c r="A106" s="329" t="s">
        <v>268</v>
      </c>
      <c r="B106" s="329" t="s">
        <v>269</v>
      </c>
      <c r="C106" s="330">
        <v>2238</v>
      </c>
      <c r="D106" s="330">
        <v>0</v>
      </c>
      <c r="E106" s="330">
        <v>139</v>
      </c>
      <c r="F106" s="330">
        <v>416</v>
      </c>
      <c r="G106" s="330">
        <v>348</v>
      </c>
      <c r="H106" s="330">
        <v>3141</v>
      </c>
      <c r="I106" s="330">
        <v>2793</v>
      </c>
      <c r="J106" s="330">
        <v>0</v>
      </c>
      <c r="K106" s="330">
        <v>125.24</v>
      </c>
      <c r="L106" s="330">
        <v>117.59</v>
      </c>
      <c r="M106" s="330">
        <v>10.99</v>
      </c>
      <c r="N106" s="330">
        <v>131.29</v>
      </c>
      <c r="O106" s="333">
        <v>1946</v>
      </c>
      <c r="P106" s="330">
        <v>110.25</v>
      </c>
      <c r="Q106" s="330">
        <v>102.72</v>
      </c>
      <c r="R106" s="330">
        <v>29.13</v>
      </c>
      <c r="S106" s="330">
        <v>135.19</v>
      </c>
      <c r="T106" s="333">
        <v>327</v>
      </c>
      <c r="U106" s="330">
        <v>205.37</v>
      </c>
      <c r="V106" s="333">
        <v>269</v>
      </c>
      <c r="W106" s="330">
        <v>269.39999999999998</v>
      </c>
      <c r="X106" s="333">
        <v>56</v>
      </c>
      <c r="Y106" s="330">
        <v>0</v>
      </c>
      <c r="Z106" s="330">
        <v>0</v>
      </c>
      <c r="AA106" s="330">
        <v>0</v>
      </c>
      <c r="AB106" s="330">
        <v>0</v>
      </c>
      <c r="AC106" s="330">
        <v>11</v>
      </c>
      <c r="AD106" s="330">
        <v>2235</v>
      </c>
      <c r="AE106" s="330">
        <v>6</v>
      </c>
      <c r="AF106" s="330">
        <v>4</v>
      </c>
      <c r="AG106" s="330">
        <v>10</v>
      </c>
    </row>
    <row r="107" spans="1:33" x14ac:dyDescent="0.3">
      <c r="A107" s="329" t="s">
        <v>270</v>
      </c>
      <c r="B107" s="329" t="s">
        <v>271</v>
      </c>
      <c r="C107" s="330">
        <v>4692</v>
      </c>
      <c r="D107" s="330">
        <v>0</v>
      </c>
      <c r="E107" s="330">
        <v>121</v>
      </c>
      <c r="F107" s="330">
        <v>1938</v>
      </c>
      <c r="G107" s="330">
        <v>209</v>
      </c>
      <c r="H107" s="330">
        <v>6960</v>
      </c>
      <c r="I107" s="330">
        <v>6751</v>
      </c>
      <c r="J107" s="330">
        <v>2</v>
      </c>
      <c r="K107" s="330">
        <v>92.53</v>
      </c>
      <c r="L107" s="330">
        <v>92.12</v>
      </c>
      <c r="M107" s="330">
        <v>3.54</v>
      </c>
      <c r="N107" s="330">
        <v>95.3</v>
      </c>
      <c r="O107" s="333">
        <v>4147</v>
      </c>
      <c r="P107" s="330">
        <v>83.31</v>
      </c>
      <c r="Q107" s="330">
        <v>82.07</v>
      </c>
      <c r="R107" s="330">
        <v>11.18</v>
      </c>
      <c r="S107" s="330">
        <v>94.16</v>
      </c>
      <c r="T107" s="333">
        <v>1985</v>
      </c>
      <c r="U107" s="330">
        <v>107.45</v>
      </c>
      <c r="V107" s="333">
        <v>489</v>
      </c>
      <c r="W107" s="330">
        <v>96.53</v>
      </c>
      <c r="X107" s="333">
        <v>37</v>
      </c>
      <c r="Y107" s="330">
        <v>0</v>
      </c>
      <c r="Z107" s="330">
        <v>13</v>
      </c>
      <c r="AA107" s="330">
        <v>1</v>
      </c>
      <c r="AB107" s="330">
        <v>9</v>
      </c>
      <c r="AC107" s="330">
        <v>8</v>
      </c>
      <c r="AD107" s="330">
        <v>4692</v>
      </c>
      <c r="AE107" s="330">
        <v>14</v>
      </c>
      <c r="AF107" s="330">
        <v>26</v>
      </c>
      <c r="AG107" s="330">
        <v>40</v>
      </c>
    </row>
    <row r="108" spans="1:33" x14ac:dyDescent="0.3">
      <c r="A108" s="329" t="s">
        <v>272</v>
      </c>
      <c r="B108" s="329" t="s">
        <v>273</v>
      </c>
      <c r="C108" s="330">
        <v>3690</v>
      </c>
      <c r="D108" s="330">
        <v>2</v>
      </c>
      <c r="E108" s="330">
        <v>570</v>
      </c>
      <c r="F108" s="330">
        <v>395</v>
      </c>
      <c r="G108" s="330">
        <v>514</v>
      </c>
      <c r="H108" s="330">
        <v>5171</v>
      </c>
      <c r="I108" s="330">
        <v>4657</v>
      </c>
      <c r="J108" s="330">
        <v>0</v>
      </c>
      <c r="K108" s="330">
        <v>91.05</v>
      </c>
      <c r="L108" s="330">
        <v>88.38</v>
      </c>
      <c r="M108" s="330">
        <v>7.48</v>
      </c>
      <c r="N108" s="330">
        <v>96.84</v>
      </c>
      <c r="O108" s="333">
        <v>3444</v>
      </c>
      <c r="P108" s="330">
        <v>96.32</v>
      </c>
      <c r="Q108" s="330">
        <v>69.37</v>
      </c>
      <c r="R108" s="330">
        <v>90.53</v>
      </c>
      <c r="S108" s="330">
        <v>184.18</v>
      </c>
      <c r="T108" s="333">
        <v>476</v>
      </c>
      <c r="U108" s="330">
        <v>130.63999999999999</v>
      </c>
      <c r="V108" s="333">
        <v>219</v>
      </c>
      <c r="W108" s="330">
        <v>130.22</v>
      </c>
      <c r="X108" s="333">
        <v>61</v>
      </c>
      <c r="Y108" s="330">
        <v>0</v>
      </c>
      <c r="Z108" s="330">
        <v>0</v>
      </c>
      <c r="AA108" s="330">
        <v>1</v>
      </c>
      <c r="AB108" s="330">
        <v>52</v>
      </c>
      <c r="AC108" s="330">
        <v>15</v>
      </c>
      <c r="AD108" s="330">
        <v>3668</v>
      </c>
      <c r="AE108" s="330">
        <v>13</v>
      </c>
      <c r="AF108" s="330">
        <v>31</v>
      </c>
      <c r="AG108" s="330">
        <v>44</v>
      </c>
    </row>
    <row r="109" spans="1:33" x14ac:dyDescent="0.3">
      <c r="A109" s="329" t="s">
        <v>274</v>
      </c>
      <c r="B109" s="329" t="s">
        <v>275</v>
      </c>
      <c r="C109" s="330">
        <v>1538</v>
      </c>
      <c r="D109" s="330">
        <v>0</v>
      </c>
      <c r="E109" s="330">
        <v>187</v>
      </c>
      <c r="F109" s="330">
        <v>183</v>
      </c>
      <c r="G109" s="330">
        <v>252</v>
      </c>
      <c r="H109" s="330">
        <v>2160</v>
      </c>
      <c r="I109" s="330">
        <v>1908</v>
      </c>
      <c r="J109" s="330">
        <v>3</v>
      </c>
      <c r="K109" s="330">
        <v>108.99</v>
      </c>
      <c r="L109" s="330">
        <v>105.66</v>
      </c>
      <c r="M109" s="330">
        <v>8.7799999999999994</v>
      </c>
      <c r="N109" s="330">
        <v>115.36</v>
      </c>
      <c r="O109" s="333">
        <v>1070</v>
      </c>
      <c r="P109" s="330">
        <v>111.57</v>
      </c>
      <c r="Q109" s="330">
        <v>89.31</v>
      </c>
      <c r="R109" s="330">
        <v>61.1</v>
      </c>
      <c r="S109" s="330">
        <v>171.9</v>
      </c>
      <c r="T109" s="333">
        <v>237</v>
      </c>
      <c r="U109" s="330">
        <v>152.22999999999999</v>
      </c>
      <c r="V109" s="333">
        <v>366</v>
      </c>
      <c r="W109" s="330">
        <v>0</v>
      </c>
      <c r="X109" s="333">
        <v>0</v>
      </c>
      <c r="Y109" s="330">
        <v>25</v>
      </c>
      <c r="Z109" s="330">
        <v>1</v>
      </c>
      <c r="AA109" s="330">
        <v>0</v>
      </c>
      <c r="AB109" s="330">
        <v>16</v>
      </c>
      <c r="AC109" s="330">
        <v>15</v>
      </c>
      <c r="AD109" s="330">
        <v>1526</v>
      </c>
      <c r="AE109" s="330">
        <v>10</v>
      </c>
      <c r="AF109" s="330">
        <v>2</v>
      </c>
      <c r="AG109" s="330">
        <v>12</v>
      </c>
    </row>
    <row r="110" spans="1:33" x14ac:dyDescent="0.3">
      <c r="A110" s="329" t="s">
        <v>276</v>
      </c>
      <c r="B110" s="329" t="s">
        <v>277</v>
      </c>
      <c r="C110" s="330">
        <v>4853</v>
      </c>
      <c r="D110" s="330">
        <v>0</v>
      </c>
      <c r="E110" s="330">
        <v>250</v>
      </c>
      <c r="F110" s="330">
        <v>756</v>
      </c>
      <c r="G110" s="330">
        <v>219</v>
      </c>
      <c r="H110" s="330">
        <v>6078</v>
      </c>
      <c r="I110" s="330">
        <v>5859</v>
      </c>
      <c r="J110" s="330">
        <v>3</v>
      </c>
      <c r="K110" s="330">
        <v>91.53</v>
      </c>
      <c r="L110" s="330">
        <v>88.5</v>
      </c>
      <c r="M110" s="330">
        <v>5.87</v>
      </c>
      <c r="N110" s="330">
        <v>94.32</v>
      </c>
      <c r="O110" s="333">
        <v>4373</v>
      </c>
      <c r="P110" s="330">
        <v>99.89</v>
      </c>
      <c r="Q110" s="330">
        <v>83.22</v>
      </c>
      <c r="R110" s="330">
        <v>50.34</v>
      </c>
      <c r="S110" s="330">
        <v>148.33000000000001</v>
      </c>
      <c r="T110" s="333">
        <v>898</v>
      </c>
      <c r="U110" s="330">
        <v>115.58</v>
      </c>
      <c r="V110" s="333">
        <v>429</v>
      </c>
      <c r="W110" s="330">
        <v>241.75</v>
      </c>
      <c r="X110" s="333">
        <v>60</v>
      </c>
      <c r="Y110" s="330">
        <v>0</v>
      </c>
      <c r="Z110" s="330">
        <v>9</v>
      </c>
      <c r="AA110" s="330">
        <v>0</v>
      </c>
      <c r="AB110" s="330">
        <v>49</v>
      </c>
      <c r="AC110" s="330">
        <v>4</v>
      </c>
      <c r="AD110" s="330">
        <v>4853</v>
      </c>
      <c r="AE110" s="330">
        <v>23</v>
      </c>
      <c r="AF110" s="330">
        <v>30</v>
      </c>
      <c r="AG110" s="330">
        <v>53</v>
      </c>
    </row>
    <row r="111" spans="1:33" x14ac:dyDescent="0.3">
      <c r="A111" s="329" t="s">
        <v>278</v>
      </c>
      <c r="B111" s="329" t="s">
        <v>279</v>
      </c>
      <c r="C111" s="330">
        <v>1610</v>
      </c>
      <c r="D111" s="330">
        <v>0</v>
      </c>
      <c r="E111" s="330">
        <v>168</v>
      </c>
      <c r="F111" s="330">
        <v>264</v>
      </c>
      <c r="G111" s="330">
        <v>302</v>
      </c>
      <c r="H111" s="330">
        <v>2344</v>
      </c>
      <c r="I111" s="330">
        <v>2042</v>
      </c>
      <c r="J111" s="330">
        <v>16</v>
      </c>
      <c r="K111" s="330">
        <v>96.64</v>
      </c>
      <c r="L111" s="330">
        <v>95.04</v>
      </c>
      <c r="M111" s="330">
        <v>8.6199999999999992</v>
      </c>
      <c r="N111" s="330">
        <v>102.84</v>
      </c>
      <c r="O111" s="333">
        <v>1203</v>
      </c>
      <c r="P111" s="330">
        <v>101.69</v>
      </c>
      <c r="Q111" s="330">
        <v>81.05</v>
      </c>
      <c r="R111" s="330">
        <v>51.98</v>
      </c>
      <c r="S111" s="330">
        <v>153.24</v>
      </c>
      <c r="T111" s="333">
        <v>359</v>
      </c>
      <c r="U111" s="330">
        <v>141.49</v>
      </c>
      <c r="V111" s="333">
        <v>223</v>
      </c>
      <c r="W111" s="330">
        <v>76.430000000000007</v>
      </c>
      <c r="X111" s="333">
        <v>7</v>
      </c>
      <c r="Y111" s="330">
        <v>0</v>
      </c>
      <c r="Z111" s="330">
        <v>1</v>
      </c>
      <c r="AA111" s="330">
        <v>0</v>
      </c>
      <c r="AB111" s="330">
        <v>6</v>
      </c>
      <c r="AC111" s="330">
        <v>6</v>
      </c>
      <c r="AD111" s="330">
        <v>1449</v>
      </c>
      <c r="AE111" s="330">
        <v>5</v>
      </c>
      <c r="AF111" s="330">
        <v>6</v>
      </c>
      <c r="AG111" s="330">
        <v>11</v>
      </c>
    </row>
    <row r="112" spans="1:33" x14ac:dyDescent="0.3">
      <c r="A112" s="329" t="s">
        <v>280</v>
      </c>
      <c r="B112" s="329" t="s">
        <v>281</v>
      </c>
      <c r="C112" s="330">
        <v>4342</v>
      </c>
      <c r="D112" s="330">
        <v>0</v>
      </c>
      <c r="E112" s="330">
        <v>73</v>
      </c>
      <c r="F112" s="330">
        <v>786</v>
      </c>
      <c r="G112" s="330">
        <v>332</v>
      </c>
      <c r="H112" s="330">
        <v>5533</v>
      </c>
      <c r="I112" s="330">
        <v>5201</v>
      </c>
      <c r="J112" s="330">
        <v>9</v>
      </c>
      <c r="K112" s="330">
        <v>96.22</v>
      </c>
      <c r="L112" s="330">
        <v>93</v>
      </c>
      <c r="M112" s="330">
        <v>2.0499999999999998</v>
      </c>
      <c r="N112" s="330">
        <v>98.01</v>
      </c>
      <c r="O112" s="333">
        <v>3290</v>
      </c>
      <c r="P112" s="330">
        <v>91.15</v>
      </c>
      <c r="Q112" s="330">
        <v>83.26</v>
      </c>
      <c r="R112" s="330">
        <v>23.27</v>
      </c>
      <c r="S112" s="330">
        <v>113.99</v>
      </c>
      <c r="T112" s="333">
        <v>745</v>
      </c>
      <c r="U112" s="330">
        <v>118.63</v>
      </c>
      <c r="V112" s="333">
        <v>625</v>
      </c>
      <c r="W112" s="330">
        <v>215.09</v>
      </c>
      <c r="X112" s="333">
        <v>79</v>
      </c>
      <c r="Y112" s="330">
        <v>8</v>
      </c>
      <c r="Z112" s="330">
        <v>7</v>
      </c>
      <c r="AA112" s="330">
        <v>3</v>
      </c>
      <c r="AB112" s="330">
        <v>64</v>
      </c>
      <c r="AC112" s="330">
        <v>7</v>
      </c>
      <c r="AD112" s="330">
        <v>3901</v>
      </c>
      <c r="AE112" s="330">
        <v>16</v>
      </c>
      <c r="AF112" s="330">
        <v>29</v>
      </c>
      <c r="AG112" s="330">
        <v>45</v>
      </c>
    </row>
    <row r="113" spans="1:33" x14ac:dyDescent="0.3">
      <c r="A113" s="329" t="s">
        <v>282</v>
      </c>
      <c r="B113" s="329" t="s">
        <v>283</v>
      </c>
      <c r="C113" s="330">
        <v>2533</v>
      </c>
      <c r="D113" s="330">
        <v>0</v>
      </c>
      <c r="E113" s="330">
        <v>152</v>
      </c>
      <c r="F113" s="330">
        <v>504</v>
      </c>
      <c r="G113" s="330">
        <v>249</v>
      </c>
      <c r="H113" s="330">
        <v>3438</v>
      </c>
      <c r="I113" s="330">
        <v>3189</v>
      </c>
      <c r="J113" s="330">
        <v>0</v>
      </c>
      <c r="K113" s="330">
        <v>89.19</v>
      </c>
      <c r="L113" s="330">
        <v>86.65</v>
      </c>
      <c r="M113" s="330">
        <v>3.49</v>
      </c>
      <c r="N113" s="330">
        <v>92.44</v>
      </c>
      <c r="O113" s="333">
        <v>1856</v>
      </c>
      <c r="P113" s="330">
        <v>95.17</v>
      </c>
      <c r="Q113" s="330">
        <v>80.900000000000006</v>
      </c>
      <c r="R113" s="330">
        <v>24.01</v>
      </c>
      <c r="S113" s="330">
        <v>118.54</v>
      </c>
      <c r="T113" s="333">
        <v>603</v>
      </c>
      <c r="U113" s="330">
        <v>113.72</v>
      </c>
      <c r="V113" s="333">
        <v>658</v>
      </c>
      <c r="W113" s="330">
        <v>0</v>
      </c>
      <c r="X113" s="333">
        <v>0</v>
      </c>
      <c r="Y113" s="330">
        <v>39</v>
      </c>
      <c r="Z113" s="330">
        <v>4</v>
      </c>
      <c r="AA113" s="330">
        <v>1</v>
      </c>
      <c r="AB113" s="330">
        <v>37</v>
      </c>
      <c r="AC113" s="330">
        <v>4</v>
      </c>
      <c r="AD113" s="330">
        <v>2514</v>
      </c>
      <c r="AE113" s="330">
        <v>16</v>
      </c>
      <c r="AF113" s="330">
        <v>3</v>
      </c>
      <c r="AG113" s="330">
        <v>19</v>
      </c>
    </row>
    <row r="114" spans="1:33" x14ac:dyDescent="0.3">
      <c r="A114" s="329" t="s">
        <v>284</v>
      </c>
      <c r="B114" s="329" t="s">
        <v>285</v>
      </c>
      <c r="C114" s="330">
        <v>4031</v>
      </c>
      <c r="D114" s="330">
        <v>0</v>
      </c>
      <c r="E114" s="330">
        <v>497</v>
      </c>
      <c r="F114" s="330">
        <v>1036</v>
      </c>
      <c r="G114" s="330">
        <v>303</v>
      </c>
      <c r="H114" s="330">
        <v>5867</v>
      </c>
      <c r="I114" s="330">
        <v>5564</v>
      </c>
      <c r="J114" s="330">
        <v>20</v>
      </c>
      <c r="K114" s="330">
        <v>80.89</v>
      </c>
      <c r="L114" s="330">
        <v>78.010000000000005</v>
      </c>
      <c r="M114" s="330">
        <v>7.36</v>
      </c>
      <c r="N114" s="330">
        <v>85.3</v>
      </c>
      <c r="O114" s="333">
        <v>2858</v>
      </c>
      <c r="P114" s="330">
        <v>97.26</v>
      </c>
      <c r="Q114" s="330">
        <v>79.91</v>
      </c>
      <c r="R114" s="330">
        <v>58.1</v>
      </c>
      <c r="S114" s="330">
        <v>152.83000000000001</v>
      </c>
      <c r="T114" s="333">
        <v>1351</v>
      </c>
      <c r="U114" s="330">
        <v>99.48</v>
      </c>
      <c r="V114" s="333">
        <v>1132</v>
      </c>
      <c r="W114" s="330">
        <v>188.03</v>
      </c>
      <c r="X114" s="333">
        <v>163</v>
      </c>
      <c r="Y114" s="330">
        <v>0</v>
      </c>
      <c r="Z114" s="330">
        <v>2</v>
      </c>
      <c r="AA114" s="330">
        <v>6</v>
      </c>
      <c r="AB114" s="330">
        <v>17</v>
      </c>
      <c r="AC114" s="330">
        <v>4</v>
      </c>
      <c r="AD114" s="330">
        <v>3712</v>
      </c>
      <c r="AE114" s="330">
        <v>27</v>
      </c>
      <c r="AF114" s="330">
        <v>70</v>
      </c>
      <c r="AG114" s="330">
        <v>97</v>
      </c>
    </row>
    <row r="115" spans="1:33" x14ac:dyDescent="0.3">
      <c r="A115" s="329" t="s">
        <v>286</v>
      </c>
      <c r="B115" s="329" t="s">
        <v>287</v>
      </c>
      <c r="C115" s="330">
        <v>3640</v>
      </c>
      <c r="D115" s="330">
        <v>0</v>
      </c>
      <c r="E115" s="330">
        <v>192</v>
      </c>
      <c r="F115" s="330">
        <v>1159</v>
      </c>
      <c r="G115" s="330">
        <v>211</v>
      </c>
      <c r="H115" s="330">
        <v>5202</v>
      </c>
      <c r="I115" s="330">
        <v>4991</v>
      </c>
      <c r="J115" s="330">
        <v>0</v>
      </c>
      <c r="K115" s="330">
        <v>84.62</v>
      </c>
      <c r="L115" s="330">
        <v>83.1</v>
      </c>
      <c r="M115" s="330">
        <v>5.03</v>
      </c>
      <c r="N115" s="330">
        <v>86.51</v>
      </c>
      <c r="O115" s="333">
        <v>3355</v>
      </c>
      <c r="P115" s="330">
        <v>88.29</v>
      </c>
      <c r="Q115" s="330">
        <v>75.099999999999994</v>
      </c>
      <c r="R115" s="330">
        <v>33.25</v>
      </c>
      <c r="S115" s="330">
        <v>121.26</v>
      </c>
      <c r="T115" s="333">
        <v>1323</v>
      </c>
      <c r="U115" s="330">
        <v>112.79</v>
      </c>
      <c r="V115" s="333">
        <v>270</v>
      </c>
      <c r="W115" s="330">
        <v>174.7</v>
      </c>
      <c r="X115" s="333">
        <v>19</v>
      </c>
      <c r="Y115" s="330">
        <v>0</v>
      </c>
      <c r="Z115" s="330">
        <v>23</v>
      </c>
      <c r="AA115" s="330">
        <v>13</v>
      </c>
      <c r="AB115" s="330">
        <v>17</v>
      </c>
      <c r="AC115" s="330">
        <v>9</v>
      </c>
      <c r="AD115" s="330">
        <v>3640</v>
      </c>
      <c r="AE115" s="330">
        <v>14</v>
      </c>
      <c r="AF115" s="330">
        <v>10</v>
      </c>
      <c r="AG115" s="330">
        <v>24</v>
      </c>
    </row>
    <row r="116" spans="1:33" x14ac:dyDescent="0.3">
      <c r="A116" s="329" t="s">
        <v>288</v>
      </c>
      <c r="B116" s="329" t="s">
        <v>289</v>
      </c>
      <c r="C116" s="330">
        <v>7051</v>
      </c>
      <c r="D116" s="330">
        <v>0</v>
      </c>
      <c r="E116" s="330">
        <v>589</v>
      </c>
      <c r="F116" s="330">
        <v>793</v>
      </c>
      <c r="G116" s="330">
        <v>637</v>
      </c>
      <c r="H116" s="330">
        <v>9070</v>
      </c>
      <c r="I116" s="330">
        <v>8433</v>
      </c>
      <c r="J116" s="330">
        <v>12</v>
      </c>
      <c r="K116" s="330">
        <v>87.93</v>
      </c>
      <c r="L116" s="330">
        <v>86.76</v>
      </c>
      <c r="M116" s="330">
        <v>9.0299999999999994</v>
      </c>
      <c r="N116" s="330">
        <v>92.04</v>
      </c>
      <c r="O116" s="333">
        <v>6263</v>
      </c>
      <c r="P116" s="330">
        <v>88.77</v>
      </c>
      <c r="Q116" s="330">
        <v>83.92</v>
      </c>
      <c r="R116" s="330">
        <v>55.17</v>
      </c>
      <c r="S116" s="330">
        <v>143.22999999999999</v>
      </c>
      <c r="T116" s="333">
        <v>1007</v>
      </c>
      <c r="U116" s="330">
        <v>124.41</v>
      </c>
      <c r="V116" s="333">
        <v>684</v>
      </c>
      <c r="W116" s="330">
        <v>230.71</v>
      </c>
      <c r="X116" s="333">
        <v>90</v>
      </c>
      <c r="Y116" s="330">
        <v>1</v>
      </c>
      <c r="Z116" s="330">
        <v>16</v>
      </c>
      <c r="AA116" s="330">
        <v>0</v>
      </c>
      <c r="AB116" s="330">
        <v>75</v>
      </c>
      <c r="AC116" s="330">
        <v>10</v>
      </c>
      <c r="AD116" s="330">
        <v>6992</v>
      </c>
      <c r="AE116" s="330">
        <v>71</v>
      </c>
      <c r="AF116" s="330">
        <v>8</v>
      </c>
      <c r="AG116" s="330">
        <v>79</v>
      </c>
    </row>
    <row r="117" spans="1:33" x14ac:dyDescent="0.3">
      <c r="A117" s="329" t="s">
        <v>290</v>
      </c>
      <c r="B117" s="329" t="s">
        <v>291</v>
      </c>
      <c r="C117" s="330">
        <v>2345</v>
      </c>
      <c r="D117" s="330">
        <v>0</v>
      </c>
      <c r="E117" s="330">
        <v>86</v>
      </c>
      <c r="F117" s="330">
        <v>584</v>
      </c>
      <c r="G117" s="330">
        <v>494</v>
      </c>
      <c r="H117" s="330">
        <v>3509</v>
      </c>
      <c r="I117" s="330">
        <v>3015</v>
      </c>
      <c r="J117" s="330">
        <v>39</v>
      </c>
      <c r="K117" s="330">
        <v>101.16</v>
      </c>
      <c r="L117" s="330">
        <v>96.74</v>
      </c>
      <c r="M117" s="330">
        <v>10.28</v>
      </c>
      <c r="N117" s="330">
        <v>110.06</v>
      </c>
      <c r="O117" s="333">
        <v>1915</v>
      </c>
      <c r="P117" s="330">
        <v>97.47</v>
      </c>
      <c r="Q117" s="330">
        <v>87.78</v>
      </c>
      <c r="R117" s="330">
        <v>39.6</v>
      </c>
      <c r="S117" s="330">
        <v>133.91999999999999</v>
      </c>
      <c r="T117" s="333">
        <v>389</v>
      </c>
      <c r="U117" s="330">
        <v>132.13999999999999</v>
      </c>
      <c r="V117" s="333">
        <v>298</v>
      </c>
      <c r="W117" s="330">
        <v>140.82</v>
      </c>
      <c r="X117" s="333">
        <v>26</v>
      </c>
      <c r="Y117" s="330">
        <v>0</v>
      </c>
      <c r="Z117" s="330">
        <v>1</v>
      </c>
      <c r="AA117" s="330">
        <v>0</v>
      </c>
      <c r="AB117" s="330">
        <v>56</v>
      </c>
      <c r="AC117" s="330">
        <v>9</v>
      </c>
      <c r="AD117" s="330">
        <v>2345</v>
      </c>
      <c r="AE117" s="330">
        <v>10</v>
      </c>
      <c r="AF117" s="330">
        <v>4</v>
      </c>
      <c r="AG117" s="330">
        <v>14</v>
      </c>
    </row>
    <row r="118" spans="1:33" x14ac:dyDescent="0.3">
      <c r="A118" s="329" t="s">
        <v>292</v>
      </c>
      <c r="B118" s="329" t="s">
        <v>293</v>
      </c>
      <c r="C118" s="330">
        <v>1576</v>
      </c>
      <c r="D118" s="330">
        <v>0</v>
      </c>
      <c r="E118" s="330">
        <v>90</v>
      </c>
      <c r="F118" s="330">
        <v>178</v>
      </c>
      <c r="G118" s="330">
        <v>634</v>
      </c>
      <c r="H118" s="330">
        <v>2478</v>
      </c>
      <c r="I118" s="330">
        <v>1844</v>
      </c>
      <c r="J118" s="330">
        <v>12</v>
      </c>
      <c r="K118" s="330">
        <v>108.56</v>
      </c>
      <c r="L118" s="330">
        <v>108.63</v>
      </c>
      <c r="M118" s="330">
        <v>6.58</v>
      </c>
      <c r="N118" s="330">
        <v>113.81</v>
      </c>
      <c r="O118" s="333">
        <v>744</v>
      </c>
      <c r="P118" s="330">
        <v>101.98</v>
      </c>
      <c r="Q118" s="330">
        <v>87.52</v>
      </c>
      <c r="R118" s="330">
        <v>82.34</v>
      </c>
      <c r="S118" s="330">
        <v>171.38</v>
      </c>
      <c r="T118" s="333">
        <v>70</v>
      </c>
      <c r="U118" s="330">
        <v>153.34</v>
      </c>
      <c r="V118" s="333">
        <v>435</v>
      </c>
      <c r="W118" s="330">
        <v>231.99</v>
      </c>
      <c r="X118" s="333">
        <v>57</v>
      </c>
      <c r="Y118" s="330">
        <v>20</v>
      </c>
      <c r="Z118" s="330">
        <v>1</v>
      </c>
      <c r="AA118" s="330">
        <v>0</v>
      </c>
      <c r="AB118" s="330">
        <v>173</v>
      </c>
      <c r="AC118" s="330">
        <v>11</v>
      </c>
      <c r="AD118" s="330">
        <v>1184</v>
      </c>
      <c r="AE118" s="330">
        <v>6</v>
      </c>
      <c r="AF118" s="330">
        <v>12</v>
      </c>
      <c r="AG118" s="330">
        <v>18</v>
      </c>
    </row>
    <row r="119" spans="1:33" x14ac:dyDescent="0.3">
      <c r="A119" s="329" t="s">
        <v>294</v>
      </c>
      <c r="B119" s="329" t="s">
        <v>295</v>
      </c>
      <c r="C119" s="330">
        <v>1459</v>
      </c>
      <c r="D119" s="330">
        <v>0</v>
      </c>
      <c r="E119" s="330">
        <v>259</v>
      </c>
      <c r="F119" s="330">
        <v>149</v>
      </c>
      <c r="G119" s="330">
        <v>97</v>
      </c>
      <c r="H119" s="330">
        <v>1964</v>
      </c>
      <c r="I119" s="330">
        <v>1867</v>
      </c>
      <c r="J119" s="330">
        <v>0</v>
      </c>
      <c r="K119" s="330">
        <v>89.26</v>
      </c>
      <c r="L119" s="330">
        <v>87.02</v>
      </c>
      <c r="M119" s="330">
        <v>5.85</v>
      </c>
      <c r="N119" s="330">
        <v>93.18</v>
      </c>
      <c r="O119" s="333">
        <v>1174</v>
      </c>
      <c r="P119" s="330">
        <v>100.43</v>
      </c>
      <c r="Q119" s="330">
        <v>84.25</v>
      </c>
      <c r="R119" s="330">
        <v>69.75</v>
      </c>
      <c r="S119" s="330">
        <v>169.92</v>
      </c>
      <c r="T119" s="333">
        <v>276</v>
      </c>
      <c r="U119" s="330">
        <v>106.74</v>
      </c>
      <c r="V119" s="333">
        <v>250</v>
      </c>
      <c r="W119" s="330">
        <v>0</v>
      </c>
      <c r="X119" s="333">
        <v>0</v>
      </c>
      <c r="Y119" s="330">
        <v>9</v>
      </c>
      <c r="Z119" s="330">
        <v>0</v>
      </c>
      <c r="AA119" s="330">
        <v>31</v>
      </c>
      <c r="AB119" s="330">
        <v>0</v>
      </c>
      <c r="AC119" s="330">
        <v>3</v>
      </c>
      <c r="AD119" s="330">
        <v>1459</v>
      </c>
      <c r="AE119" s="330">
        <v>24</v>
      </c>
      <c r="AF119" s="330">
        <v>19</v>
      </c>
      <c r="AG119" s="330">
        <v>43</v>
      </c>
    </row>
    <row r="120" spans="1:33" x14ac:dyDescent="0.3">
      <c r="A120" s="329" t="s">
        <v>296</v>
      </c>
      <c r="B120" s="329" t="s">
        <v>297</v>
      </c>
      <c r="C120" s="330">
        <v>13286</v>
      </c>
      <c r="D120" s="330">
        <v>160</v>
      </c>
      <c r="E120" s="330">
        <v>419</v>
      </c>
      <c r="F120" s="330">
        <v>980</v>
      </c>
      <c r="G120" s="330">
        <v>2879</v>
      </c>
      <c r="H120" s="330">
        <v>17724</v>
      </c>
      <c r="I120" s="330">
        <v>14845</v>
      </c>
      <c r="J120" s="330">
        <v>85</v>
      </c>
      <c r="K120" s="330">
        <v>122.34</v>
      </c>
      <c r="L120" s="330">
        <v>121.44</v>
      </c>
      <c r="M120" s="330">
        <v>16.64</v>
      </c>
      <c r="N120" s="330">
        <v>135.30000000000001</v>
      </c>
      <c r="O120" s="333">
        <v>10020</v>
      </c>
      <c r="P120" s="330">
        <v>117.82</v>
      </c>
      <c r="Q120" s="330">
        <v>106.48</v>
      </c>
      <c r="R120" s="330">
        <v>56.92</v>
      </c>
      <c r="S120" s="330">
        <v>173.51</v>
      </c>
      <c r="T120" s="333">
        <v>1210</v>
      </c>
      <c r="U120" s="330">
        <v>182.39</v>
      </c>
      <c r="V120" s="333">
        <v>1534</v>
      </c>
      <c r="W120" s="330">
        <v>0</v>
      </c>
      <c r="X120" s="333">
        <v>0</v>
      </c>
      <c r="Y120" s="330">
        <v>3</v>
      </c>
      <c r="Z120" s="330">
        <v>6</v>
      </c>
      <c r="AA120" s="330">
        <v>20</v>
      </c>
      <c r="AB120" s="330">
        <v>113</v>
      </c>
      <c r="AC120" s="330">
        <v>108</v>
      </c>
      <c r="AD120" s="330">
        <v>11979</v>
      </c>
      <c r="AE120" s="330">
        <v>148</v>
      </c>
      <c r="AF120" s="330">
        <v>47</v>
      </c>
      <c r="AG120" s="330">
        <v>195</v>
      </c>
    </row>
    <row r="121" spans="1:33" x14ac:dyDescent="0.3">
      <c r="A121" s="329" t="s">
        <v>298</v>
      </c>
      <c r="B121" s="329" t="s">
        <v>299</v>
      </c>
      <c r="C121" s="330">
        <v>1894</v>
      </c>
      <c r="D121" s="330">
        <v>0</v>
      </c>
      <c r="E121" s="330">
        <v>272</v>
      </c>
      <c r="F121" s="330">
        <v>215</v>
      </c>
      <c r="G121" s="330">
        <v>505</v>
      </c>
      <c r="H121" s="330">
        <v>2886</v>
      </c>
      <c r="I121" s="330">
        <v>2381</v>
      </c>
      <c r="J121" s="330">
        <v>2</v>
      </c>
      <c r="K121" s="330">
        <v>128.30000000000001</v>
      </c>
      <c r="L121" s="330">
        <v>125.8</v>
      </c>
      <c r="M121" s="330">
        <v>8.67</v>
      </c>
      <c r="N121" s="330">
        <v>135.35</v>
      </c>
      <c r="O121" s="333">
        <v>1368</v>
      </c>
      <c r="P121" s="330">
        <v>98.25</v>
      </c>
      <c r="Q121" s="330">
        <v>87.78</v>
      </c>
      <c r="R121" s="330">
        <v>85.65</v>
      </c>
      <c r="S121" s="330">
        <v>180.79</v>
      </c>
      <c r="T121" s="333">
        <v>220</v>
      </c>
      <c r="U121" s="330">
        <v>179.23</v>
      </c>
      <c r="V121" s="333">
        <v>367</v>
      </c>
      <c r="W121" s="330">
        <v>264.19</v>
      </c>
      <c r="X121" s="333">
        <v>43</v>
      </c>
      <c r="Y121" s="330">
        <v>0</v>
      </c>
      <c r="Z121" s="330">
        <v>0</v>
      </c>
      <c r="AA121" s="330">
        <v>0</v>
      </c>
      <c r="AB121" s="330">
        <v>67</v>
      </c>
      <c r="AC121" s="330">
        <v>13</v>
      </c>
      <c r="AD121" s="330">
        <v>1729</v>
      </c>
      <c r="AE121" s="330">
        <v>12</v>
      </c>
      <c r="AF121" s="330">
        <v>1</v>
      </c>
      <c r="AG121" s="330">
        <v>13</v>
      </c>
    </row>
    <row r="122" spans="1:33" x14ac:dyDescent="0.3">
      <c r="A122" s="329" t="s">
        <v>300</v>
      </c>
      <c r="B122" s="329" t="s">
        <v>301</v>
      </c>
      <c r="C122" s="330">
        <v>19910</v>
      </c>
      <c r="D122" s="330">
        <v>596</v>
      </c>
      <c r="E122" s="330">
        <v>1550</v>
      </c>
      <c r="F122" s="330">
        <v>1786</v>
      </c>
      <c r="G122" s="330">
        <v>2519</v>
      </c>
      <c r="H122" s="330">
        <v>26361</v>
      </c>
      <c r="I122" s="330">
        <v>23842</v>
      </c>
      <c r="J122" s="330">
        <v>114</v>
      </c>
      <c r="K122" s="330">
        <v>123.4</v>
      </c>
      <c r="L122" s="330">
        <v>129.11000000000001</v>
      </c>
      <c r="M122" s="330">
        <v>14.35</v>
      </c>
      <c r="N122" s="330">
        <v>134.35</v>
      </c>
      <c r="O122" s="333">
        <v>17298</v>
      </c>
      <c r="P122" s="330">
        <v>109.32</v>
      </c>
      <c r="Q122" s="330">
        <v>108.86</v>
      </c>
      <c r="R122" s="330">
        <v>63.03</v>
      </c>
      <c r="S122" s="330">
        <v>168.3</v>
      </c>
      <c r="T122" s="333">
        <v>2768</v>
      </c>
      <c r="U122" s="330">
        <v>221.6</v>
      </c>
      <c r="V122" s="333">
        <v>1079</v>
      </c>
      <c r="W122" s="330">
        <v>264.95999999999998</v>
      </c>
      <c r="X122" s="333">
        <v>53</v>
      </c>
      <c r="Y122" s="330">
        <v>54</v>
      </c>
      <c r="Z122" s="330">
        <v>31</v>
      </c>
      <c r="AA122" s="330">
        <v>13</v>
      </c>
      <c r="AB122" s="330">
        <v>88</v>
      </c>
      <c r="AC122" s="330">
        <v>70</v>
      </c>
      <c r="AD122" s="330">
        <v>18740</v>
      </c>
      <c r="AE122" s="330">
        <v>95</v>
      </c>
      <c r="AF122" s="330">
        <v>92</v>
      </c>
      <c r="AG122" s="330">
        <v>187</v>
      </c>
    </row>
    <row r="123" spans="1:33" x14ac:dyDescent="0.3">
      <c r="A123" s="329" t="s">
        <v>302</v>
      </c>
      <c r="B123" s="329" t="s">
        <v>303</v>
      </c>
      <c r="C123" s="330">
        <v>13360</v>
      </c>
      <c r="D123" s="330">
        <v>0</v>
      </c>
      <c r="E123" s="330">
        <v>494</v>
      </c>
      <c r="F123" s="330">
        <v>467</v>
      </c>
      <c r="G123" s="330">
        <v>357</v>
      </c>
      <c r="H123" s="330">
        <v>14678</v>
      </c>
      <c r="I123" s="330">
        <v>14321</v>
      </c>
      <c r="J123" s="330">
        <v>15</v>
      </c>
      <c r="K123" s="330">
        <v>85.34</v>
      </c>
      <c r="L123" s="330">
        <v>84.84</v>
      </c>
      <c r="M123" s="330">
        <v>4.63</v>
      </c>
      <c r="N123" s="330">
        <v>89.79</v>
      </c>
      <c r="O123" s="333">
        <v>11238</v>
      </c>
      <c r="P123" s="330">
        <v>91.19</v>
      </c>
      <c r="Q123" s="330">
        <v>75.8</v>
      </c>
      <c r="R123" s="330">
        <v>39.06</v>
      </c>
      <c r="S123" s="330">
        <v>129.19999999999999</v>
      </c>
      <c r="T123" s="333">
        <v>788</v>
      </c>
      <c r="U123" s="330">
        <v>102.79</v>
      </c>
      <c r="V123" s="333">
        <v>2098</v>
      </c>
      <c r="W123" s="330">
        <v>158.41</v>
      </c>
      <c r="X123" s="333">
        <v>78</v>
      </c>
      <c r="Y123" s="330">
        <v>101</v>
      </c>
      <c r="Z123" s="330">
        <v>47</v>
      </c>
      <c r="AA123" s="330">
        <v>2</v>
      </c>
      <c r="AB123" s="330">
        <v>10</v>
      </c>
      <c r="AC123" s="330">
        <v>11</v>
      </c>
      <c r="AD123" s="330">
        <v>13360</v>
      </c>
      <c r="AE123" s="330">
        <v>78</v>
      </c>
      <c r="AF123" s="330">
        <v>23</v>
      </c>
      <c r="AG123" s="330">
        <v>101</v>
      </c>
    </row>
    <row r="124" spans="1:33" x14ac:dyDescent="0.3">
      <c r="A124" s="329" t="s">
        <v>304</v>
      </c>
      <c r="B124" s="329" t="s">
        <v>305</v>
      </c>
      <c r="C124" s="330">
        <v>5296</v>
      </c>
      <c r="D124" s="330">
        <v>5</v>
      </c>
      <c r="E124" s="330">
        <v>355</v>
      </c>
      <c r="F124" s="330">
        <v>181</v>
      </c>
      <c r="G124" s="330">
        <v>373</v>
      </c>
      <c r="H124" s="330">
        <v>6210</v>
      </c>
      <c r="I124" s="330">
        <v>5837</v>
      </c>
      <c r="J124" s="330">
        <v>37</v>
      </c>
      <c r="K124" s="330">
        <v>93.79</v>
      </c>
      <c r="L124" s="330">
        <v>90.75</v>
      </c>
      <c r="M124" s="330">
        <v>1.99</v>
      </c>
      <c r="N124" s="330">
        <v>95.55</v>
      </c>
      <c r="O124" s="333">
        <v>4807</v>
      </c>
      <c r="P124" s="330">
        <v>114.11</v>
      </c>
      <c r="Q124" s="330">
        <v>87.27</v>
      </c>
      <c r="R124" s="330">
        <v>72.59</v>
      </c>
      <c r="S124" s="330">
        <v>186.7</v>
      </c>
      <c r="T124" s="333">
        <v>421</v>
      </c>
      <c r="U124" s="330">
        <v>117.32</v>
      </c>
      <c r="V124" s="333">
        <v>403</v>
      </c>
      <c r="W124" s="330">
        <v>191.96</v>
      </c>
      <c r="X124" s="333">
        <v>87</v>
      </c>
      <c r="Y124" s="330">
        <v>0</v>
      </c>
      <c r="Z124" s="330">
        <v>0</v>
      </c>
      <c r="AA124" s="330">
        <v>0</v>
      </c>
      <c r="AB124" s="330">
        <v>67</v>
      </c>
      <c r="AC124" s="330">
        <v>4</v>
      </c>
      <c r="AD124" s="330">
        <v>5282</v>
      </c>
      <c r="AE124" s="330">
        <v>29</v>
      </c>
      <c r="AF124" s="330">
        <v>101</v>
      </c>
      <c r="AG124" s="330">
        <v>130</v>
      </c>
    </row>
    <row r="125" spans="1:33" x14ac:dyDescent="0.3">
      <c r="A125" s="329" t="s">
        <v>306</v>
      </c>
      <c r="B125" s="329" t="s">
        <v>307</v>
      </c>
      <c r="C125" s="330">
        <v>11940</v>
      </c>
      <c r="D125" s="330">
        <v>78</v>
      </c>
      <c r="E125" s="330">
        <v>1158</v>
      </c>
      <c r="F125" s="330">
        <v>559</v>
      </c>
      <c r="G125" s="330">
        <v>1022</v>
      </c>
      <c r="H125" s="330">
        <v>14757</v>
      </c>
      <c r="I125" s="330">
        <v>13735</v>
      </c>
      <c r="J125" s="330">
        <v>265</v>
      </c>
      <c r="K125" s="330">
        <v>132.27000000000001</v>
      </c>
      <c r="L125" s="330">
        <v>145.35</v>
      </c>
      <c r="M125" s="330">
        <v>13.32</v>
      </c>
      <c r="N125" s="330">
        <v>139.27000000000001</v>
      </c>
      <c r="O125" s="333">
        <v>9443</v>
      </c>
      <c r="P125" s="330">
        <v>125.53</v>
      </c>
      <c r="Q125" s="330">
        <v>120.38</v>
      </c>
      <c r="R125" s="330">
        <v>62.26</v>
      </c>
      <c r="S125" s="330">
        <v>173.96</v>
      </c>
      <c r="T125" s="333">
        <v>1148</v>
      </c>
      <c r="U125" s="330">
        <v>213.14</v>
      </c>
      <c r="V125" s="333">
        <v>1290</v>
      </c>
      <c r="W125" s="330">
        <v>219.4</v>
      </c>
      <c r="X125" s="333">
        <v>84</v>
      </c>
      <c r="Y125" s="330">
        <v>14</v>
      </c>
      <c r="Z125" s="330">
        <v>0</v>
      </c>
      <c r="AA125" s="330">
        <v>16</v>
      </c>
      <c r="AB125" s="330">
        <v>49</v>
      </c>
      <c r="AC125" s="330">
        <v>40</v>
      </c>
      <c r="AD125" s="330">
        <v>11544</v>
      </c>
      <c r="AE125" s="330">
        <v>156</v>
      </c>
      <c r="AF125" s="330">
        <v>95</v>
      </c>
      <c r="AG125" s="330">
        <v>251</v>
      </c>
    </row>
    <row r="126" spans="1:33" x14ac:dyDescent="0.3">
      <c r="A126" s="329" t="s">
        <v>308</v>
      </c>
      <c r="B126" s="329" t="s">
        <v>309</v>
      </c>
      <c r="C126" s="330">
        <v>3292</v>
      </c>
      <c r="D126" s="330">
        <v>0</v>
      </c>
      <c r="E126" s="330">
        <v>109</v>
      </c>
      <c r="F126" s="330">
        <v>292</v>
      </c>
      <c r="G126" s="330">
        <v>885</v>
      </c>
      <c r="H126" s="330">
        <v>4578</v>
      </c>
      <c r="I126" s="330">
        <v>3693</v>
      </c>
      <c r="J126" s="330">
        <v>0</v>
      </c>
      <c r="K126" s="330">
        <v>92.41</v>
      </c>
      <c r="L126" s="330">
        <v>92.18</v>
      </c>
      <c r="M126" s="330">
        <v>4.4400000000000004</v>
      </c>
      <c r="N126" s="330">
        <v>95.22</v>
      </c>
      <c r="O126" s="333">
        <v>2404</v>
      </c>
      <c r="P126" s="330">
        <v>83.68</v>
      </c>
      <c r="Q126" s="330">
        <v>78.709999999999994</v>
      </c>
      <c r="R126" s="330">
        <v>45.84</v>
      </c>
      <c r="S126" s="330">
        <v>127.03</v>
      </c>
      <c r="T126" s="333">
        <v>368</v>
      </c>
      <c r="U126" s="330">
        <v>119.88</v>
      </c>
      <c r="V126" s="333">
        <v>784</v>
      </c>
      <c r="W126" s="330">
        <v>124.85</v>
      </c>
      <c r="X126" s="333">
        <v>17</v>
      </c>
      <c r="Y126" s="330">
        <v>29</v>
      </c>
      <c r="Z126" s="330">
        <v>10</v>
      </c>
      <c r="AA126" s="330">
        <v>17</v>
      </c>
      <c r="AB126" s="330">
        <v>139</v>
      </c>
      <c r="AC126" s="330">
        <v>12</v>
      </c>
      <c r="AD126" s="330">
        <v>3292</v>
      </c>
      <c r="AE126" s="330">
        <v>27</v>
      </c>
      <c r="AF126" s="330">
        <v>18</v>
      </c>
      <c r="AG126" s="330">
        <v>45</v>
      </c>
    </row>
    <row r="127" spans="1:33" x14ac:dyDescent="0.3">
      <c r="A127" s="329" t="s">
        <v>310</v>
      </c>
      <c r="B127" s="329" t="s">
        <v>311</v>
      </c>
      <c r="C127" s="330">
        <v>10050</v>
      </c>
      <c r="D127" s="330">
        <v>117</v>
      </c>
      <c r="E127" s="330">
        <v>1011</v>
      </c>
      <c r="F127" s="330">
        <v>854</v>
      </c>
      <c r="G127" s="330">
        <v>1667</v>
      </c>
      <c r="H127" s="330">
        <v>13699</v>
      </c>
      <c r="I127" s="330">
        <v>12032</v>
      </c>
      <c r="J127" s="330">
        <v>30</v>
      </c>
      <c r="K127" s="330">
        <v>121.13</v>
      </c>
      <c r="L127" s="330">
        <v>121.44</v>
      </c>
      <c r="M127" s="330">
        <v>12.04</v>
      </c>
      <c r="N127" s="330">
        <v>129.13</v>
      </c>
      <c r="O127" s="333">
        <v>8027</v>
      </c>
      <c r="P127" s="330">
        <v>116.21</v>
      </c>
      <c r="Q127" s="330">
        <v>106.46</v>
      </c>
      <c r="R127" s="330">
        <v>68.459999999999994</v>
      </c>
      <c r="S127" s="330">
        <v>181.8</v>
      </c>
      <c r="T127" s="333">
        <v>1144</v>
      </c>
      <c r="U127" s="330">
        <v>193.93</v>
      </c>
      <c r="V127" s="333">
        <v>720</v>
      </c>
      <c r="W127" s="330">
        <v>266.77</v>
      </c>
      <c r="X127" s="333">
        <v>135</v>
      </c>
      <c r="Y127" s="330">
        <v>0</v>
      </c>
      <c r="Z127" s="330">
        <v>6</v>
      </c>
      <c r="AA127" s="330">
        <v>15</v>
      </c>
      <c r="AB127" s="330">
        <v>19</v>
      </c>
      <c r="AC127" s="330">
        <v>55</v>
      </c>
      <c r="AD127" s="330">
        <v>9051</v>
      </c>
      <c r="AE127" s="330">
        <v>128</v>
      </c>
      <c r="AF127" s="330">
        <v>54</v>
      </c>
      <c r="AG127" s="330">
        <v>182</v>
      </c>
    </row>
    <row r="128" spans="1:33" x14ac:dyDescent="0.3">
      <c r="A128" s="329" t="s">
        <v>312</v>
      </c>
      <c r="B128" s="329" t="s">
        <v>313</v>
      </c>
      <c r="C128" s="330">
        <v>1720</v>
      </c>
      <c r="D128" s="330">
        <v>280</v>
      </c>
      <c r="E128" s="330">
        <v>115</v>
      </c>
      <c r="F128" s="330">
        <v>261</v>
      </c>
      <c r="G128" s="330">
        <v>524</v>
      </c>
      <c r="H128" s="330">
        <v>2900</v>
      </c>
      <c r="I128" s="330">
        <v>2376</v>
      </c>
      <c r="J128" s="330">
        <v>3</v>
      </c>
      <c r="K128" s="330">
        <v>104.07</v>
      </c>
      <c r="L128" s="330">
        <v>101.56</v>
      </c>
      <c r="M128" s="330">
        <v>8.51</v>
      </c>
      <c r="N128" s="330">
        <v>111.26</v>
      </c>
      <c r="O128" s="333">
        <v>1242</v>
      </c>
      <c r="P128" s="330">
        <v>94.58</v>
      </c>
      <c r="Q128" s="330">
        <v>87.39</v>
      </c>
      <c r="R128" s="330">
        <v>50.68</v>
      </c>
      <c r="S128" s="330">
        <v>142.01</v>
      </c>
      <c r="T128" s="333">
        <v>359</v>
      </c>
      <c r="U128" s="330">
        <v>170.06</v>
      </c>
      <c r="V128" s="333">
        <v>465</v>
      </c>
      <c r="W128" s="330">
        <v>0</v>
      </c>
      <c r="X128" s="333">
        <v>0</v>
      </c>
      <c r="Y128" s="330">
        <v>129</v>
      </c>
      <c r="Z128" s="330">
        <v>0</v>
      </c>
      <c r="AA128" s="330">
        <v>28</v>
      </c>
      <c r="AB128" s="330">
        <v>69</v>
      </c>
      <c r="AC128" s="330">
        <v>14</v>
      </c>
      <c r="AD128" s="330">
        <v>1709</v>
      </c>
      <c r="AE128" s="330">
        <v>47</v>
      </c>
      <c r="AF128" s="330">
        <v>121</v>
      </c>
      <c r="AG128" s="330">
        <v>168</v>
      </c>
    </row>
    <row r="129" spans="1:33" x14ac:dyDescent="0.3">
      <c r="A129" s="329" t="s">
        <v>314</v>
      </c>
      <c r="B129" s="329" t="s">
        <v>315</v>
      </c>
      <c r="C129" s="330">
        <v>2978</v>
      </c>
      <c r="D129" s="330">
        <v>0</v>
      </c>
      <c r="E129" s="330">
        <v>236</v>
      </c>
      <c r="F129" s="330">
        <v>392</v>
      </c>
      <c r="G129" s="330">
        <v>662</v>
      </c>
      <c r="H129" s="330">
        <v>4268</v>
      </c>
      <c r="I129" s="330">
        <v>3606</v>
      </c>
      <c r="J129" s="330">
        <v>6</v>
      </c>
      <c r="K129" s="330">
        <v>97.46</v>
      </c>
      <c r="L129" s="330">
        <v>94.11</v>
      </c>
      <c r="M129" s="330">
        <v>6.77</v>
      </c>
      <c r="N129" s="330">
        <v>101.8</v>
      </c>
      <c r="O129" s="333">
        <v>1690</v>
      </c>
      <c r="P129" s="330">
        <v>109.91</v>
      </c>
      <c r="Q129" s="330">
        <v>84.98</v>
      </c>
      <c r="R129" s="330">
        <v>56.88</v>
      </c>
      <c r="S129" s="330">
        <v>166.67</v>
      </c>
      <c r="T129" s="333">
        <v>490</v>
      </c>
      <c r="U129" s="330">
        <v>129.66</v>
      </c>
      <c r="V129" s="333">
        <v>1126</v>
      </c>
      <c r="W129" s="330">
        <v>199.77</v>
      </c>
      <c r="X129" s="333">
        <v>11</v>
      </c>
      <c r="Y129" s="330">
        <v>0</v>
      </c>
      <c r="Z129" s="330">
        <v>1</v>
      </c>
      <c r="AA129" s="330">
        <v>1</v>
      </c>
      <c r="AB129" s="330">
        <v>100</v>
      </c>
      <c r="AC129" s="330">
        <v>2</v>
      </c>
      <c r="AD129" s="330">
        <v>2722</v>
      </c>
      <c r="AE129" s="330">
        <v>22</v>
      </c>
      <c r="AF129" s="330">
        <v>13</v>
      </c>
      <c r="AG129" s="330">
        <v>35</v>
      </c>
    </row>
    <row r="130" spans="1:33" x14ac:dyDescent="0.3">
      <c r="A130" s="329" t="s">
        <v>316</v>
      </c>
      <c r="B130" s="329" t="s">
        <v>317</v>
      </c>
      <c r="C130" s="330">
        <v>3597</v>
      </c>
      <c r="D130" s="330">
        <v>0</v>
      </c>
      <c r="E130" s="330">
        <v>256</v>
      </c>
      <c r="F130" s="330">
        <v>609</v>
      </c>
      <c r="G130" s="330">
        <v>1007</v>
      </c>
      <c r="H130" s="330">
        <v>5469</v>
      </c>
      <c r="I130" s="330">
        <v>4462</v>
      </c>
      <c r="J130" s="330">
        <v>32</v>
      </c>
      <c r="K130" s="330">
        <v>135.08000000000001</v>
      </c>
      <c r="L130" s="330">
        <v>129.62</v>
      </c>
      <c r="M130" s="330">
        <v>11.46</v>
      </c>
      <c r="N130" s="330">
        <v>142.91</v>
      </c>
      <c r="O130" s="333">
        <v>2729</v>
      </c>
      <c r="P130" s="330">
        <v>110.76</v>
      </c>
      <c r="Q130" s="330">
        <v>94.57</v>
      </c>
      <c r="R130" s="330">
        <v>37.99</v>
      </c>
      <c r="S130" s="330">
        <v>146.18</v>
      </c>
      <c r="T130" s="333">
        <v>473</v>
      </c>
      <c r="U130" s="330">
        <v>192.86</v>
      </c>
      <c r="V130" s="333">
        <v>609</v>
      </c>
      <c r="W130" s="330">
        <v>200.51</v>
      </c>
      <c r="X130" s="333">
        <v>28</v>
      </c>
      <c r="Y130" s="330">
        <v>37</v>
      </c>
      <c r="Z130" s="330">
        <v>5</v>
      </c>
      <c r="AA130" s="330">
        <v>0</v>
      </c>
      <c r="AB130" s="330">
        <v>67</v>
      </c>
      <c r="AC130" s="330">
        <v>28</v>
      </c>
      <c r="AD130" s="330">
        <v>3526</v>
      </c>
      <c r="AE130" s="330">
        <v>43</v>
      </c>
      <c r="AF130" s="330">
        <v>7</v>
      </c>
      <c r="AG130" s="330">
        <v>50</v>
      </c>
    </row>
    <row r="131" spans="1:33" x14ac:dyDescent="0.3">
      <c r="A131" s="329" t="s">
        <v>318</v>
      </c>
      <c r="B131" s="329" t="s">
        <v>319</v>
      </c>
      <c r="C131" s="330">
        <v>3190</v>
      </c>
      <c r="D131" s="330">
        <v>0</v>
      </c>
      <c r="E131" s="330">
        <v>45</v>
      </c>
      <c r="F131" s="330">
        <v>322</v>
      </c>
      <c r="G131" s="330">
        <v>764</v>
      </c>
      <c r="H131" s="330">
        <v>4321</v>
      </c>
      <c r="I131" s="330">
        <v>3557</v>
      </c>
      <c r="J131" s="330">
        <v>0</v>
      </c>
      <c r="K131" s="330">
        <v>119.61</v>
      </c>
      <c r="L131" s="330">
        <v>116.18</v>
      </c>
      <c r="M131" s="330">
        <v>6.7</v>
      </c>
      <c r="N131" s="330">
        <v>122.32</v>
      </c>
      <c r="O131" s="333">
        <v>2389</v>
      </c>
      <c r="P131" s="330">
        <v>105.44</v>
      </c>
      <c r="Q131" s="330">
        <v>99.74</v>
      </c>
      <c r="R131" s="330">
        <v>38.909999999999997</v>
      </c>
      <c r="S131" s="330">
        <v>144.1</v>
      </c>
      <c r="T131" s="333">
        <v>313</v>
      </c>
      <c r="U131" s="330">
        <v>180.48</v>
      </c>
      <c r="V131" s="333">
        <v>767</v>
      </c>
      <c r="W131" s="330">
        <v>145.63999999999999</v>
      </c>
      <c r="X131" s="333">
        <v>1</v>
      </c>
      <c r="Y131" s="330">
        <v>0</v>
      </c>
      <c r="Z131" s="330">
        <v>1</v>
      </c>
      <c r="AA131" s="330">
        <v>0</v>
      </c>
      <c r="AB131" s="330">
        <v>16</v>
      </c>
      <c r="AC131" s="330">
        <v>18</v>
      </c>
      <c r="AD131" s="330">
        <v>3190</v>
      </c>
      <c r="AE131" s="330">
        <v>29</v>
      </c>
      <c r="AF131" s="330">
        <v>11</v>
      </c>
      <c r="AG131" s="330">
        <v>40</v>
      </c>
    </row>
    <row r="132" spans="1:33" x14ac:dyDescent="0.3">
      <c r="A132" s="329" t="s">
        <v>320</v>
      </c>
      <c r="B132" s="329" t="s">
        <v>321</v>
      </c>
      <c r="C132" s="330">
        <v>7645</v>
      </c>
      <c r="D132" s="330">
        <v>0</v>
      </c>
      <c r="E132" s="330">
        <v>209</v>
      </c>
      <c r="F132" s="330">
        <v>1984</v>
      </c>
      <c r="G132" s="330">
        <v>259</v>
      </c>
      <c r="H132" s="330">
        <v>10097</v>
      </c>
      <c r="I132" s="330">
        <v>9838</v>
      </c>
      <c r="J132" s="330">
        <v>1</v>
      </c>
      <c r="K132" s="330">
        <v>84.03</v>
      </c>
      <c r="L132" s="330">
        <v>85.58</v>
      </c>
      <c r="M132" s="330">
        <v>5.69</v>
      </c>
      <c r="N132" s="330">
        <v>86.34</v>
      </c>
      <c r="O132" s="333">
        <v>6459</v>
      </c>
      <c r="P132" s="330">
        <v>84.17</v>
      </c>
      <c r="Q132" s="330">
        <v>85.01</v>
      </c>
      <c r="R132" s="330">
        <v>45.09</v>
      </c>
      <c r="S132" s="330">
        <v>110.92</v>
      </c>
      <c r="T132" s="333">
        <v>2088</v>
      </c>
      <c r="U132" s="330">
        <v>97.44</v>
      </c>
      <c r="V132" s="333">
        <v>1093</v>
      </c>
      <c r="W132" s="330">
        <v>107.89</v>
      </c>
      <c r="X132" s="333">
        <v>67</v>
      </c>
      <c r="Y132" s="330">
        <v>0</v>
      </c>
      <c r="Z132" s="330">
        <v>33</v>
      </c>
      <c r="AA132" s="330">
        <v>1</v>
      </c>
      <c r="AB132" s="330">
        <v>17</v>
      </c>
      <c r="AC132" s="330">
        <v>7</v>
      </c>
      <c r="AD132" s="330">
        <v>7614</v>
      </c>
      <c r="AE132" s="330">
        <v>41</v>
      </c>
      <c r="AF132" s="330">
        <v>46</v>
      </c>
      <c r="AG132" s="330">
        <v>87</v>
      </c>
    </row>
    <row r="133" spans="1:33" x14ac:dyDescent="0.3">
      <c r="A133" s="329" t="s">
        <v>322</v>
      </c>
      <c r="B133" s="329" t="s">
        <v>323</v>
      </c>
      <c r="C133" s="330">
        <v>5126</v>
      </c>
      <c r="D133" s="330">
        <v>0</v>
      </c>
      <c r="E133" s="330">
        <v>252</v>
      </c>
      <c r="F133" s="330">
        <v>713</v>
      </c>
      <c r="G133" s="330">
        <v>206</v>
      </c>
      <c r="H133" s="330">
        <v>6297</v>
      </c>
      <c r="I133" s="330">
        <v>6091</v>
      </c>
      <c r="J133" s="330">
        <v>17</v>
      </c>
      <c r="K133" s="330">
        <v>88.19</v>
      </c>
      <c r="L133" s="330">
        <v>86.07</v>
      </c>
      <c r="M133" s="330">
        <v>6.88</v>
      </c>
      <c r="N133" s="330">
        <v>94.12</v>
      </c>
      <c r="O133" s="333">
        <v>4167</v>
      </c>
      <c r="P133" s="330">
        <v>74.3</v>
      </c>
      <c r="Q133" s="330">
        <v>69.56</v>
      </c>
      <c r="R133" s="330">
        <v>46.61</v>
      </c>
      <c r="S133" s="330">
        <v>120.91</v>
      </c>
      <c r="T133" s="333">
        <v>809</v>
      </c>
      <c r="U133" s="330">
        <v>117.3</v>
      </c>
      <c r="V133" s="333">
        <v>764</v>
      </c>
      <c r="W133" s="330">
        <v>109.65</v>
      </c>
      <c r="X133" s="333">
        <v>22</v>
      </c>
      <c r="Y133" s="330">
        <v>0</v>
      </c>
      <c r="Z133" s="330">
        <v>3</v>
      </c>
      <c r="AA133" s="330">
        <v>9</v>
      </c>
      <c r="AB133" s="330">
        <v>19</v>
      </c>
      <c r="AC133" s="330">
        <v>0</v>
      </c>
      <c r="AD133" s="330">
        <v>5057</v>
      </c>
      <c r="AE133" s="330">
        <v>13</v>
      </c>
      <c r="AF133" s="330">
        <v>57</v>
      </c>
      <c r="AG133" s="330">
        <v>70</v>
      </c>
    </row>
    <row r="134" spans="1:33" x14ac:dyDescent="0.3">
      <c r="A134" s="329" t="s">
        <v>324</v>
      </c>
      <c r="B134" s="329" t="s">
        <v>325</v>
      </c>
      <c r="C134" s="330">
        <v>4470</v>
      </c>
      <c r="D134" s="330">
        <v>0</v>
      </c>
      <c r="E134" s="330">
        <v>216</v>
      </c>
      <c r="F134" s="330">
        <v>1074</v>
      </c>
      <c r="G134" s="330">
        <v>472</v>
      </c>
      <c r="H134" s="330">
        <v>6232</v>
      </c>
      <c r="I134" s="330">
        <v>5760</v>
      </c>
      <c r="J134" s="330">
        <v>5</v>
      </c>
      <c r="K134" s="330">
        <v>108.66</v>
      </c>
      <c r="L134" s="330">
        <v>103.47</v>
      </c>
      <c r="M134" s="330">
        <v>9.74</v>
      </c>
      <c r="N134" s="330">
        <v>113.17</v>
      </c>
      <c r="O134" s="333">
        <v>3509</v>
      </c>
      <c r="P134" s="330">
        <v>100.36</v>
      </c>
      <c r="Q134" s="330">
        <v>89.86</v>
      </c>
      <c r="R134" s="330">
        <v>23.37</v>
      </c>
      <c r="S134" s="330">
        <v>121.72</v>
      </c>
      <c r="T134" s="333">
        <v>1141</v>
      </c>
      <c r="U134" s="330">
        <v>151.66999999999999</v>
      </c>
      <c r="V134" s="333">
        <v>826</v>
      </c>
      <c r="W134" s="330">
        <v>164.94</v>
      </c>
      <c r="X134" s="333">
        <v>14</v>
      </c>
      <c r="Y134" s="330">
        <v>32</v>
      </c>
      <c r="Z134" s="330">
        <v>3</v>
      </c>
      <c r="AA134" s="330">
        <v>0</v>
      </c>
      <c r="AB134" s="330">
        <v>44</v>
      </c>
      <c r="AC134" s="330">
        <v>12</v>
      </c>
      <c r="AD134" s="330">
        <v>4419</v>
      </c>
      <c r="AE134" s="330">
        <v>28</v>
      </c>
      <c r="AF134" s="330">
        <v>8</v>
      </c>
      <c r="AG134" s="330">
        <v>36</v>
      </c>
    </row>
    <row r="135" spans="1:33" x14ac:dyDescent="0.3">
      <c r="A135" s="329" t="s">
        <v>326</v>
      </c>
      <c r="B135" s="329" t="s">
        <v>327</v>
      </c>
      <c r="C135" s="330">
        <v>3679</v>
      </c>
      <c r="D135" s="330">
        <v>354</v>
      </c>
      <c r="E135" s="330">
        <v>216</v>
      </c>
      <c r="F135" s="330">
        <v>497</v>
      </c>
      <c r="G135" s="330">
        <v>960</v>
      </c>
      <c r="H135" s="330">
        <v>5706</v>
      </c>
      <c r="I135" s="330">
        <v>4746</v>
      </c>
      <c r="J135" s="330">
        <v>15</v>
      </c>
      <c r="K135" s="330">
        <v>119.55</v>
      </c>
      <c r="L135" s="330">
        <v>119.94</v>
      </c>
      <c r="M135" s="330">
        <v>12.79</v>
      </c>
      <c r="N135" s="330">
        <v>129.51</v>
      </c>
      <c r="O135" s="333">
        <v>2385</v>
      </c>
      <c r="P135" s="330">
        <v>110.89</v>
      </c>
      <c r="Q135" s="330">
        <v>100.33</v>
      </c>
      <c r="R135" s="330">
        <v>46.72</v>
      </c>
      <c r="S135" s="330">
        <v>157.18</v>
      </c>
      <c r="T135" s="333">
        <v>659</v>
      </c>
      <c r="U135" s="330">
        <v>186.79</v>
      </c>
      <c r="V135" s="333">
        <v>1080</v>
      </c>
      <c r="W135" s="330">
        <v>210.95</v>
      </c>
      <c r="X135" s="333">
        <v>3</v>
      </c>
      <c r="Y135" s="330">
        <v>0</v>
      </c>
      <c r="Z135" s="330">
        <v>2</v>
      </c>
      <c r="AA135" s="330">
        <v>3</v>
      </c>
      <c r="AB135" s="330">
        <v>54</v>
      </c>
      <c r="AC135" s="330">
        <v>31</v>
      </c>
      <c r="AD135" s="330">
        <v>3633</v>
      </c>
      <c r="AE135" s="330">
        <v>38</v>
      </c>
      <c r="AF135" s="330">
        <v>13</v>
      </c>
      <c r="AG135" s="330">
        <v>51</v>
      </c>
    </row>
    <row r="136" spans="1:33" x14ac:dyDescent="0.3">
      <c r="A136" s="329" t="s">
        <v>328</v>
      </c>
      <c r="B136" s="329" t="s">
        <v>329</v>
      </c>
      <c r="C136" s="330">
        <v>9454</v>
      </c>
      <c r="D136" s="330">
        <v>0</v>
      </c>
      <c r="E136" s="330">
        <v>316</v>
      </c>
      <c r="F136" s="330">
        <v>1631</v>
      </c>
      <c r="G136" s="330">
        <v>978</v>
      </c>
      <c r="H136" s="330">
        <v>12379</v>
      </c>
      <c r="I136" s="330">
        <v>11401</v>
      </c>
      <c r="J136" s="330">
        <v>1</v>
      </c>
      <c r="K136" s="330">
        <v>92.02</v>
      </c>
      <c r="L136" s="330">
        <v>90.93</v>
      </c>
      <c r="M136" s="330">
        <v>4.1100000000000003</v>
      </c>
      <c r="N136" s="330">
        <v>94.24</v>
      </c>
      <c r="O136" s="333">
        <v>8390</v>
      </c>
      <c r="P136" s="330">
        <v>86.17</v>
      </c>
      <c r="Q136" s="330">
        <v>83.37</v>
      </c>
      <c r="R136" s="330">
        <v>39.68</v>
      </c>
      <c r="S136" s="330">
        <v>117.25</v>
      </c>
      <c r="T136" s="333">
        <v>1909</v>
      </c>
      <c r="U136" s="330">
        <v>112.58</v>
      </c>
      <c r="V136" s="333">
        <v>980</v>
      </c>
      <c r="W136" s="330">
        <v>142.81</v>
      </c>
      <c r="X136" s="333">
        <v>10</v>
      </c>
      <c r="Y136" s="330">
        <v>11</v>
      </c>
      <c r="Z136" s="330">
        <v>27</v>
      </c>
      <c r="AA136" s="330">
        <v>5</v>
      </c>
      <c r="AB136" s="330">
        <v>122</v>
      </c>
      <c r="AC136" s="330">
        <v>14</v>
      </c>
      <c r="AD136" s="330">
        <v>9403</v>
      </c>
      <c r="AE136" s="330">
        <v>49</v>
      </c>
      <c r="AF136" s="330">
        <v>59</v>
      </c>
      <c r="AG136" s="330">
        <v>108</v>
      </c>
    </row>
    <row r="137" spans="1:33" x14ac:dyDescent="0.3">
      <c r="A137" s="329" t="s">
        <v>330</v>
      </c>
      <c r="B137" s="329" t="s">
        <v>331</v>
      </c>
      <c r="C137" s="330">
        <v>6485</v>
      </c>
      <c r="D137" s="330">
        <v>4</v>
      </c>
      <c r="E137" s="330">
        <v>190</v>
      </c>
      <c r="F137" s="330">
        <v>802</v>
      </c>
      <c r="G137" s="330">
        <v>544</v>
      </c>
      <c r="H137" s="330">
        <v>8025</v>
      </c>
      <c r="I137" s="330">
        <v>7481</v>
      </c>
      <c r="J137" s="330">
        <v>1</v>
      </c>
      <c r="K137" s="330">
        <v>123.59</v>
      </c>
      <c r="L137" s="330">
        <v>123.48</v>
      </c>
      <c r="M137" s="330">
        <v>7.56</v>
      </c>
      <c r="N137" s="330">
        <v>127.36</v>
      </c>
      <c r="O137" s="333">
        <v>5417</v>
      </c>
      <c r="P137" s="330">
        <v>113.05</v>
      </c>
      <c r="Q137" s="330">
        <v>104.88</v>
      </c>
      <c r="R137" s="330">
        <v>30.57</v>
      </c>
      <c r="S137" s="330">
        <v>142.74</v>
      </c>
      <c r="T137" s="333">
        <v>933</v>
      </c>
      <c r="U137" s="330">
        <v>190.67</v>
      </c>
      <c r="V137" s="333">
        <v>861</v>
      </c>
      <c r="W137" s="330">
        <v>217.12</v>
      </c>
      <c r="X137" s="333">
        <v>4</v>
      </c>
      <c r="Y137" s="330">
        <v>24</v>
      </c>
      <c r="Z137" s="330">
        <v>3</v>
      </c>
      <c r="AA137" s="330">
        <v>6</v>
      </c>
      <c r="AB137" s="330">
        <v>52</v>
      </c>
      <c r="AC137" s="330">
        <v>23</v>
      </c>
      <c r="AD137" s="330">
        <v>6310</v>
      </c>
      <c r="AE137" s="330">
        <v>63</v>
      </c>
      <c r="AF137" s="330">
        <v>62</v>
      </c>
      <c r="AG137" s="330">
        <v>125</v>
      </c>
    </row>
    <row r="138" spans="1:33" x14ac:dyDescent="0.3">
      <c r="A138" s="329" t="s">
        <v>332</v>
      </c>
      <c r="B138" s="329" t="s">
        <v>333</v>
      </c>
      <c r="C138" s="330">
        <v>1100</v>
      </c>
      <c r="D138" s="330">
        <v>1</v>
      </c>
      <c r="E138" s="330">
        <v>66</v>
      </c>
      <c r="F138" s="330">
        <v>318</v>
      </c>
      <c r="G138" s="330">
        <v>257</v>
      </c>
      <c r="H138" s="330">
        <v>1742</v>
      </c>
      <c r="I138" s="330">
        <v>1485</v>
      </c>
      <c r="J138" s="330">
        <v>0</v>
      </c>
      <c r="K138" s="330">
        <v>97.98</v>
      </c>
      <c r="L138" s="330">
        <v>94.89</v>
      </c>
      <c r="M138" s="330">
        <v>7.82</v>
      </c>
      <c r="N138" s="330">
        <v>102.22</v>
      </c>
      <c r="O138" s="333">
        <v>789</v>
      </c>
      <c r="P138" s="330">
        <v>93.23</v>
      </c>
      <c r="Q138" s="330">
        <v>80.650000000000006</v>
      </c>
      <c r="R138" s="330">
        <v>47.62</v>
      </c>
      <c r="S138" s="330">
        <v>139.94</v>
      </c>
      <c r="T138" s="333">
        <v>368</v>
      </c>
      <c r="U138" s="330">
        <v>117.37</v>
      </c>
      <c r="V138" s="333">
        <v>284</v>
      </c>
      <c r="W138" s="330">
        <v>0</v>
      </c>
      <c r="X138" s="333">
        <v>0</v>
      </c>
      <c r="Y138" s="330">
        <v>35</v>
      </c>
      <c r="Z138" s="330">
        <v>2</v>
      </c>
      <c r="AA138" s="330">
        <v>3</v>
      </c>
      <c r="AB138" s="330">
        <v>37</v>
      </c>
      <c r="AC138" s="330">
        <v>9</v>
      </c>
      <c r="AD138" s="330">
        <v>1082</v>
      </c>
      <c r="AE138" s="330">
        <v>10</v>
      </c>
      <c r="AF138" s="330">
        <v>3</v>
      </c>
      <c r="AG138" s="330">
        <v>13</v>
      </c>
    </row>
    <row r="139" spans="1:33" x14ac:dyDescent="0.3">
      <c r="A139" s="329" t="s">
        <v>334</v>
      </c>
      <c r="B139" s="329" t="s">
        <v>335</v>
      </c>
      <c r="C139" s="330">
        <v>6765</v>
      </c>
      <c r="D139" s="330">
        <v>0</v>
      </c>
      <c r="E139" s="330">
        <v>537</v>
      </c>
      <c r="F139" s="330">
        <v>569</v>
      </c>
      <c r="G139" s="330">
        <v>1354</v>
      </c>
      <c r="H139" s="330">
        <v>9225</v>
      </c>
      <c r="I139" s="330">
        <v>7871</v>
      </c>
      <c r="J139" s="330">
        <v>41</v>
      </c>
      <c r="K139" s="330">
        <v>126.75</v>
      </c>
      <c r="L139" s="330">
        <v>124.25</v>
      </c>
      <c r="M139" s="330">
        <v>11.11</v>
      </c>
      <c r="N139" s="330">
        <v>134.66</v>
      </c>
      <c r="O139" s="333">
        <v>5126</v>
      </c>
      <c r="P139" s="330">
        <v>105.86</v>
      </c>
      <c r="Q139" s="330">
        <v>102.35</v>
      </c>
      <c r="R139" s="330">
        <v>42.75</v>
      </c>
      <c r="S139" s="330">
        <v>139.69999999999999</v>
      </c>
      <c r="T139" s="333">
        <v>853</v>
      </c>
      <c r="U139" s="330">
        <v>193.38</v>
      </c>
      <c r="V139" s="333">
        <v>990</v>
      </c>
      <c r="W139" s="330">
        <v>168.64</v>
      </c>
      <c r="X139" s="333">
        <v>58</v>
      </c>
      <c r="Y139" s="330">
        <v>26</v>
      </c>
      <c r="Z139" s="330">
        <v>4</v>
      </c>
      <c r="AA139" s="330">
        <v>1</v>
      </c>
      <c r="AB139" s="330">
        <v>109</v>
      </c>
      <c r="AC139" s="330">
        <v>43</v>
      </c>
      <c r="AD139" s="330">
        <v>6512</v>
      </c>
      <c r="AE139" s="330">
        <v>101</v>
      </c>
      <c r="AF139" s="330">
        <v>25</v>
      </c>
      <c r="AG139" s="330">
        <v>126</v>
      </c>
    </row>
    <row r="140" spans="1:33" x14ac:dyDescent="0.3">
      <c r="A140" s="329" t="s">
        <v>336</v>
      </c>
      <c r="B140" s="329" t="s">
        <v>337</v>
      </c>
      <c r="C140" s="330">
        <v>1995</v>
      </c>
      <c r="D140" s="330">
        <v>1</v>
      </c>
      <c r="E140" s="330">
        <v>150</v>
      </c>
      <c r="F140" s="330">
        <v>125</v>
      </c>
      <c r="G140" s="330">
        <v>437</v>
      </c>
      <c r="H140" s="330">
        <v>2708</v>
      </c>
      <c r="I140" s="330">
        <v>2271</v>
      </c>
      <c r="J140" s="330">
        <v>0</v>
      </c>
      <c r="K140" s="330">
        <v>93.45</v>
      </c>
      <c r="L140" s="330">
        <v>90.48</v>
      </c>
      <c r="M140" s="330">
        <v>6.29</v>
      </c>
      <c r="N140" s="330">
        <v>96.83</v>
      </c>
      <c r="O140" s="333">
        <v>1397</v>
      </c>
      <c r="P140" s="330">
        <v>107.89</v>
      </c>
      <c r="Q140" s="330">
        <v>75.67</v>
      </c>
      <c r="R140" s="330">
        <v>61.1</v>
      </c>
      <c r="S140" s="330">
        <v>164.72</v>
      </c>
      <c r="T140" s="333">
        <v>229</v>
      </c>
      <c r="U140" s="330">
        <v>113.78</v>
      </c>
      <c r="V140" s="333">
        <v>561</v>
      </c>
      <c r="W140" s="330">
        <v>0</v>
      </c>
      <c r="X140" s="333">
        <v>0</v>
      </c>
      <c r="Y140" s="330">
        <v>0</v>
      </c>
      <c r="Z140" s="330">
        <v>0</v>
      </c>
      <c r="AA140" s="330">
        <v>7</v>
      </c>
      <c r="AB140" s="330">
        <v>30</v>
      </c>
      <c r="AC140" s="330">
        <v>10</v>
      </c>
      <c r="AD140" s="330">
        <v>1995</v>
      </c>
      <c r="AE140" s="330">
        <v>18</v>
      </c>
      <c r="AF140" s="330">
        <v>7</v>
      </c>
      <c r="AG140" s="330">
        <v>25</v>
      </c>
    </row>
    <row r="141" spans="1:33" x14ac:dyDescent="0.3">
      <c r="A141" s="329" t="s">
        <v>338</v>
      </c>
      <c r="B141" s="329" t="s">
        <v>339</v>
      </c>
      <c r="C141" s="330">
        <v>6151</v>
      </c>
      <c r="D141" s="330">
        <v>0</v>
      </c>
      <c r="E141" s="330">
        <v>104</v>
      </c>
      <c r="F141" s="330">
        <v>1067</v>
      </c>
      <c r="G141" s="330">
        <v>1098</v>
      </c>
      <c r="H141" s="330">
        <v>8420</v>
      </c>
      <c r="I141" s="330">
        <v>7322</v>
      </c>
      <c r="J141" s="330">
        <v>17</v>
      </c>
      <c r="K141" s="330">
        <v>113.7</v>
      </c>
      <c r="L141" s="330">
        <v>112.83</v>
      </c>
      <c r="M141" s="330">
        <v>5.39</v>
      </c>
      <c r="N141" s="330">
        <v>116.94</v>
      </c>
      <c r="O141" s="333">
        <v>4649</v>
      </c>
      <c r="P141" s="330">
        <v>99.55</v>
      </c>
      <c r="Q141" s="330">
        <v>96.73</v>
      </c>
      <c r="R141" s="330">
        <v>28.07</v>
      </c>
      <c r="S141" s="330">
        <v>125.84</v>
      </c>
      <c r="T141" s="333">
        <v>930</v>
      </c>
      <c r="U141" s="330">
        <v>174.63</v>
      </c>
      <c r="V141" s="333">
        <v>1469</v>
      </c>
      <c r="W141" s="330">
        <v>227.77</v>
      </c>
      <c r="X141" s="333">
        <v>117</v>
      </c>
      <c r="Y141" s="330">
        <v>556</v>
      </c>
      <c r="Z141" s="330">
        <v>5</v>
      </c>
      <c r="AA141" s="330">
        <v>9</v>
      </c>
      <c r="AB141" s="330">
        <v>59</v>
      </c>
      <c r="AC141" s="330">
        <v>19</v>
      </c>
      <c r="AD141" s="330">
        <v>6137</v>
      </c>
      <c r="AE141" s="330">
        <v>72</v>
      </c>
      <c r="AF141" s="330">
        <v>31</v>
      </c>
      <c r="AG141" s="330">
        <v>103</v>
      </c>
    </row>
    <row r="142" spans="1:33" x14ac:dyDescent="0.3">
      <c r="A142" s="329" t="s">
        <v>340</v>
      </c>
      <c r="B142" s="329" t="s">
        <v>341</v>
      </c>
      <c r="C142" s="330">
        <v>8126</v>
      </c>
      <c r="D142" s="330">
        <v>37</v>
      </c>
      <c r="E142" s="330">
        <v>392</v>
      </c>
      <c r="F142" s="330">
        <v>192</v>
      </c>
      <c r="G142" s="330">
        <v>2238</v>
      </c>
      <c r="H142" s="330">
        <v>10985</v>
      </c>
      <c r="I142" s="330">
        <v>8747</v>
      </c>
      <c r="J142" s="330">
        <v>77</v>
      </c>
      <c r="K142" s="330">
        <v>127.53</v>
      </c>
      <c r="L142" s="330">
        <v>127.31</v>
      </c>
      <c r="M142" s="330">
        <v>11.67</v>
      </c>
      <c r="N142" s="330">
        <v>136.66999999999999</v>
      </c>
      <c r="O142" s="333">
        <v>5890</v>
      </c>
      <c r="P142" s="330">
        <v>118.65</v>
      </c>
      <c r="Q142" s="330">
        <v>108.89</v>
      </c>
      <c r="R142" s="330">
        <v>120.78</v>
      </c>
      <c r="S142" s="330">
        <v>207.82</v>
      </c>
      <c r="T142" s="333">
        <v>321</v>
      </c>
      <c r="U142" s="330">
        <v>202.91</v>
      </c>
      <c r="V142" s="333">
        <v>1294</v>
      </c>
      <c r="W142" s="330">
        <v>220.12</v>
      </c>
      <c r="X142" s="333">
        <v>76</v>
      </c>
      <c r="Y142" s="330">
        <v>0</v>
      </c>
      <c r="Z142" s="330">
        <v>6</v>
      </c>
      <c r="AA142" s="330">
        <v>1</v>
      </c>
      <c r="AB142" s="330">
        <v>85</v>
      </c>
      <c r="AC142" s="330">
        <v>84</v>
      </c>
      <c r="AD142" s="330">
        <v>7576</v>
      </c>
      <c r="AE142" s="330">
        <v>55</v>
      </c>
      <c r="AF142" s="330">
        <v>45</v>
      </c>
      <c r="AG142" s="330">
        <v>100</v>
      </c>
    </row>
    <row r="143" spans="1:33" x14ac:dyDescent="0.3">
      <c r="A143" s="329" t="s">
        <v>342</v>
      </c>
      <c r="B143" s="329" t="s">
        <v>343</v>
      </c>
      <c r="C143" s="330">
        <v>8945</v>
      </c>
      <c r="D143" s="330">
        <v>0</v>
      </c>
      <c r="E143" s="330">
        <v>459</v>
      </c>
      <c r="F143" s="330">
        <v>980</v>
      </c>
      <c r="G143" s="330">
        <v>1104</v>
      </c>
      <c r="H143" s="330">
        <v>11488</v>
      </c>
      <c r="I143" s="330">
        <v>10384</v>
      </c>
      <c r="J143" s="330">
        <v>0</v>
      </c>
      <c r="K143" s="330">
        <v>97.76</v>
      </c>
      <c r="L143" s="330">
        <v>97.42</v>
      </c>
      <c r="M143" s="330">
        <v>3.52</v>
      </c>
      <c r="N143" s="330">
        <v>101.06</v>
      </c>
      <c r="O143" s="333">
        <v>7831</v>
      </c>
      <c r="P143" s="330">
        <v>97.64</v>
      </c>
      <c r="Q143" s="330">
        <v>85.19</v>
      </c>
      <c r="R143" s="330">
        <v>44.98</v>
      </c>
      <c r="S143" s="330">
        <v>140.06</v>
      </c>
      <c r="T143" s="333">
        <v>1298</v>
      </c>
      <c r="U143" s="330">
        <v>139.58000000000001</v>
      </c>
      <c r="V143" s="333">
        <v>945</v>
      </c>
      <c r="W143" s="330">
        <v>201.01</v>
      </c>
      <c r="X143" s="333">
        <v>55</v>
      </c>
      <c r="Y143" s="330">
        <v>50</v>
      </c>
      <c r="Z143" s="330">
        <v>9</v>
      </c>
      <c r="AA143" s="330">
        <v>0</v>
      </c>
      <c r="AB143" s="330">
        <v>106</v>
      </c>
      <c r="AC143" s="330">
        <v>45</v>
      </c>
      <c r="AD143" s="330">
        <v>8945</v>
      </c>
      <c r="AE143" s="330">
        <v>66</v>
      </c>
      <c r="AF143" s="330">
        <v>53</v>
      </c>
      <c r="AG143" s="330">
        <v>119</v>
      </c>
    </row>
    <row r="144" spans="1:33" x14ac:dyDescent="0.3">
      <c r="A144" s="329" t="s">
        <v>344</v>
      </c>
      <c r="B144" s="329" t="s">
        <v>345</v>
      </c>
      <c r="C144" s="330">
        <v>3063</v>
      </c>
      <c r="D144" s="330">
        <v>0</v>
      </c>
      <c r="E144" s="330">
        <v>314</v>
      </c>
      <c r="F144" s="330">
        <v>1549</v>
      </c>
      <c r="G144" s="330">
        <v>71</v>
      </c>
      <c r="H144" s="330">
        <v>4997</v>
      </c>
      <c r="I144" s="330">
        <v>4926</v>
      </c>
      <c r="J144" s="330">
        <v>92</v>
      </c>
      <c r="K144" s="330">
        <v>78.91</v>
      </c>
      <c r="L144" s="330">
        <v>78.67</v>
      </c>
      <c r="M144" s="330">
        <v>2.58</v>
      </c>
      <c r="N144" s="330">
        <v>80.239999999999995</v>
      </c>
      <c r="O144" s="333">
        <v>2889</v>
      </c>
      <c r="P144" s="330">
        <v>79.430000000000007</v>
      </c>
      <c r="Q144" s="330">
        <v>71.430000000000007</v>
      </c>
      <c r="R144" s="330">
        <v>25.94</v>
      </c>
      <c r="S144" s="330">
        <v>104.77</v>
      </c>
      <c r="T144" s="333">
        <v>1750</v>
      </c>
      <c r="U144" s="330">
        <v>99.83</v>
      </c>
      <c r="V144" s="333">
        <v>174</v>
      </c>
      <c r="W144" s="330">
        <v>252.16</v>
      </c>
      <c r="X144" s="333">
        <v>14</v>
      </c>
      <c r="Y144" s="330">
        <v>5</v>
      </c>
      <c r="Z144" s="330">
        <v>18</v>
      </c>
      <c r="AA144" s="330">
        <v>16</v>
      </c>
      <c r="AB144" s="330">
        <v>0</v>
      </c>
      <c r="AC144" s="330">
        <v>0</v>
      </c>
      <c r="AD144" s="330">
        <v>3063</v>
      </c>
      <c r="AE144" s="330">
        <v>22</v>
      </c>
      <c r="AF144" s="330">
        <v>4</v>
      </c>
      <c r="AG144" s="330">
        <v>26</v>
      </c>
    </row>
    <row r="145" spans="1:33" x14ac:dyDescent="0.3">
      <c r="A145" s="329" t="s">
        <v>346</v>
      </c>
      <c r="B145" s="329" t="s">
        <v>347</v>
      </c>
      <c r="C145" s="330">
        <v>3732</v>
      </c>
      <c r="D145" s="330">
        <v>0</v>
      </c>
      <c r="E145" s="330">
        <v>599</v>
      </c>
      <c r="F145" s="330">
        <v>711</v>
      </c>
      <c r="G145" s="330">
        <v>298</v>
      </c>
      <c r="H145" s="330">
        <v>5340</v>
      </c>
      <c r="I145" s="330">
        <v>5042</v>
      </c>
      <c r="J145" s="330">
        <v>0</v>
      </c>
      <c r="K145" s="330">
        <v>91.44</v>
      </c>
      <c r="L145" s="330">
        <v>90.55</v>
      </c>
      <c r="M145" s="330">
        <v>6.6</v>
      </c>
      <c r="N145" s="330">
        <v>96.57</v>
      </c>
      <c r="O145" s="333">
        <v>2989</v>
      </c>
      <c r="P145" s="330">
        <v>83.21</v>
      </c>
      <c r="Q145" s="330">
        <v>75.099999999999994</v>
      </c>
      <c r="R145" s="330">
        <v>65.58</v>
      </c>
      <c r="S145" s="330">
        <v>148.79</v>
      </c>
      <c r="T145" s="333">
        <v>1037</v>
      </c>
      <c r="U145" s="330">
        <v>106.53</v>
      </c>
      <c r="V145" s="333">
        <v>553</v>
      </c>
      <c r="W145" s="330">
        <v>104.67</v>
      </c>
      <c r="X145" s="333">
        <v>2</v>
      </c>
      <c r="Y145" s="330">
        <v>0</v>
      </c>
      <c r="Z145" s="330">
        <v>1</v>
      </c>
      <c r="AA145" s="330">
        <v>8</v>
      </c>
      <c r="AB145" s="330">
        <v>12</v>
      </c>
      <c r="AC145" s="330">
        <v>7</v>
      </c>
      <c r="AD145" s="330">
        <v>3603</v>
      </c>
      <c r="AE145" s="330">
        <v>12</v>
      </c>
      <c r="AF145" s="330">
        <v>71</v>
      </c>
      <c r="AG145" s="330">
        <v>83</v>
      </c>
    </row>
    <row r="146" spans="1:33" x14ac:dyDescent="0.3">
      <c r="A146" s="329" t="s">
        <v>348</v>
      </c>
      <c r="B146" s="329" t="s">
        <v>349</v>
      </c>
      <c r="C146" s="330">
        <v>6278</v>
      </c>
      <c r="D146" s="330">
        <v>0</v>
      </c>
      <c r="E146" s="330">
        <v>470</v>
      </c>
      <c r="F146" s="330">
        <v>637</v>
      </c>
      <c r="G146" s="330">
        <v>351</v>
      </c>
      <c r="H146" s="330">
        <v>7736</v>
      </c>
      <c r="I146" s="330">
        <v>7385</v>
      </c>
      <c r="J146" s="330">
        <v>102</v>
      </c>
      <c r="K146" s="330">
        <v>91.04</v>
      </c>
      <c r="L146" s="330">
        <v>90.57</v>
      </c>
      <c r="M146" s="330">
        <v>5.6</v>
      </c>
      <c r="N146" s="330">
        <v>94.45</v>
      </c>
      <c r="O146" s="333">
        <v>5445</v>
      </c>
      <c r="P146" s="330">
        <v>87.25</v>
      </c>
      <c r="Q146" s="330">
        <v>78.239999999999995</v>
      </c>
      <c r="R146" s="330">
        <v>46.34</v>
      </c>
      <c r="S146" s="330">
        <v>132.22999999999999</v>
      </c>
      <c r="T146" s="333">
        <v>1054</v>
      </c>
      <c r="U146" s="330">
        <v>125.55</v>
      </c>
      <c r="V146" s="333">
        <v>324</v>
      </c>
      <c r="W146" s="330">
        <v>96.11</v>
      </c>
      <c r="X146" s="333">
        <v>12</v>
      </c>
      <c r="Y146" s="330">
        <v>0</v>
      </c>
      <c r="Z146" s="330">
        <v>2</v>
      </c>
      <c r="AA146" s="330">
        <v>3</v>
      </c>
      <c r="AB146" s="330">
        <v>0</v>
      </c>
      <c r="AC146" s="330">
        <v>11</v>
      </c>
      <c r="AD146" s="330">
        <v>5830</v>
      </c>
      <c r="AE146" s="330">
        <v>21</v>
      </c>
      <c r="AF146" s="330">
        <v>11</v>
      </c>
      <c r="AG146" s="330">
        <v>32</v>
      </c>
    </row>
    <row r="147" spans="1:33" x14ac:dyDescent="0.3">
      <c r="A147" s="329" t="s">
        <v>350</v>
      </c>
      <c r="B147" s="329" t="s">
        <v>351</v>
      </c>
      <c r="C147" s="330">
        <v>152</v>
      </c>
      <c r="D147" s="330">
        <v>0</v>
      </c>
      <c r="E147" s="330">
        <v>0</v>
      </c>
      <c r="F147" s="330">
        <v>7</v>
      </c>
      <c r="G147" s="330">
        <v>6</v>
      </c>
      <c r="H147" s="330">
        <v>165</v>
      </c>
      <c r="I147" s="330">
        <v>159</v>
      </c>
      <c r="J147" s="330">
        <v>0</v>
      </c>
      <c r="K147" s="330">
        <v>96.06</v>
      </c>
      <c r="L147" s="330">
        <v>95.88</v>
      </c>
      <c r="M147" s="330">
        <v>7.87</v>
      </c>
      <c r="N147" s="330">
        <v>101.37</v>
      </c>
      <c r="O147" s="333">
        <v>117</v>
      </c>
      <c r="P147" s="330">
        <v>98.44</v>
      </c>
      <c r="Q147" s="330">
        <v>89.49</v>
      </c>
      <c r="R147" s="330">
        <v>26.05</v>
      </c>
      <c r="S147" s="330">
        <v>124.49</v>
      </c>
      <c r="T147" s="333">
        <v>7</v>
      </c>
      <c r="U147" s="330">
        <v>118.76</v>
      </c>
      <c r="V147" s="333">
        <v>2</v>
      </c>
      <c r="W147" s="330">
        <v>0</v>
      </c>
      <c r="X147" s="333">
        <v>0</v>
      </c>
      <c r="Y147" s="330">
        <v>0</v>
      </c>
      <c r="Z147" s="330">
        <v>0</v>
      </c>
      <c r="AA147" s="330">
        <v>0</v>
      </c>
      <c r="AB147" s="330">
        <v>0</v>
      </c>
      <c r="AC147" s="330">
        <v>1</v>
      </c>
      <c r="AD147" s="330">
        <v>125</v>
      </c>
      <c r="AE147" s="330">
        <v>0</v>
      </c>
      <c r="AF147" s="330">
        <v>0</v>
      </c>
      <c r="AG147" s="330">
        <v>0</v>
      </c>
    </row>
    <row r="148" spans="1:33" x14ac:dyDescent="0.3">
      <c r="A148" s="329" t="s">
        <v>352</v>
      </c>
      <c r="B148" s="329" t="s">
        <v>353</v>
      </c>
      <c r="C148" s="330">
        <v>13805</v>
      </c>
      <c r="D148" s="330">
        <v>165</v>
      </c>
      <c r="E148" s="330">
        <v>1485</v>
      </c>
      <c r="F148" s="330">
        <v>742</v>
      </c>
      <c r="G148" s="330">
        <v>1439</v>
      </c>
      <c r="H148" s="330">
        <v>17636</v>
      </c>
      <c r="I148" s="330">
        <v>16197</v>
      </c>
      <c r="J148" s="330">
        <v>153</v>
      </c>
      <c r="K148" s="330">
        <v>128.5</v>
      </c>
      <c r="L148" s="330">
        <v>138.32</v>
      </c>
      <c r="M148" s="330">
        <v>13.61</v>
      </c>
      <c r="N148" s="330">
        <v>139.47999999999999</v>
      </c>
      <c r="O148" s="333">
        <v>11962</v>
      </c>
      <c r="P148" s="330">
        <v>118.3</v>
      </c>
      <c r="Q148" s="330">
        <v>117.47</v>
      </c>
      <c r="R148" s="330">
        <v>85.15</v>
      </c>
      <c r="S148" s="330">
        <v>194.67</v>
      </c>
      <c r="T148" s="333">
        <v>1716</v>
      </c>
      <c r="U148" s="330">
        <v>190.81</v>
      </c>
      <c r="V148" s="333">
        <v>534</v>
      </c>
      <c r="W148" s="330">
        <v>198.12</v>
      </c>
      <c r="X148" s="333">
        <v>13</v>
      </c>
      <c r="Y148" s="330">
        <v>59</v>
      </c>
      <c r="Z148" s="330">
        <v>20</v>
      </c>
      <c r="AA148" s="330">
        <v>4</v>
      </c>
      <c r="AB148" s="330">
        <v>5</v>
      </c>
      <c r="AC148" s="330">
        <v>23</v>
      </c>
      <c r="AD148" s="330">
        <v>12795</v>
      </c>
      <c r="AE148" s="330">
        <v>84</v>
      </c>
      <c r="AF148" s="330">
        <v>86</v>
      </c>
      <c r="AG148" s="330">
        <v>170</v>
      </c>
    </row>
    <row r="149" spans="1:33" x14ac:dyDescent="0.3">
      <c r="A149" s="329" t="s">
        <v>354</v>
      </c>
      <c r="B149" s="329" t="s">
        <v>355</v>
      </c>
      <c r="C149" s="330">
        <v>10884</v>
      </c>
      <c r="D149" s="330">
        <v>142</v>
      </c>
      <c r="E149" s="330">
        <v>1032</v>
      </c>
      <c r="F149" s="330">
        <v>913</v>
      </c>
      <c r="G149" s="330">
        <v>541</v>
      </c>
      <c r="H149" s="330">
        <v>13512</v>
      </c>
      <c r="I149" s="330">
        <v>12971</v>
      </c>
      <c r="J149" s="330">
        <v>133</v>
      </c>
      <c r="K149" s="330">
        <v>130.47</v>
      </c>
      <c r="L149" s="330">
        <v>152.22</v>
      </c>
      <c r="M149" s="330">
        <v>11.93</v>
      </c>
      <c r="N149" s="330">
        <v>138.56</v>
      </c>
      <c r="O149" s="333">
        <v>9433</v>
      </c>
      <c r="P149" s="330">
        <v>117.58</v>
      </c>
      <c r="Q149" s="330">
        <v>129.34</v>
      </c>
      <c r="R149" s="330">
        <v>71.81</v>
      </c>
      <c r="S149" s="330">
        <v>173.77</v>
      </c>
      <c r="T149" s="333">
        <v>1522</v>
      </c>
      <c r="U149" s="330">
        <v>215.39</v>
      </c>
      <c r="V149" s="333">
        <v>626</v>
      </c>
      <c r="W149" s="330">
        <v>191.52</v>
      </c>
      <c r="X149" s="333">
        <v>31</v>
      </c>
      <c r="Y149" s="330">
        <v>0</v>
      </c>
      <c r="Z149" s="330">
        <v>3</v>
      </c>
      <c r="AA149" s="330">
        <v>2</v>
      </c>
      <c r="AB149" s="330">
        <v>0</v>
      </c>
      <c r="AC149" s="330">
        <v>18</v>
      </c>
      <c r="AD149" s="330">
        <v>10073</v>
      </c>
      <c r="AE149" s="330">
        <v>69</v>
      </c>
      <c r="AF149" s="330">
        <v>287</v>
      </c>
      <c r="AG149" s="330">
        <v>356</v>
      </c>
    </row>
    <row r="150" spans="1:33" x14ac:dyDescent="0.3">
      <c r="A150" s="329" t="s">
        <v>356</v>
      </c>
      <c r="B150" s="329" t="s">
        <v>357</v>
      </c>
      <c r="C150" s="330">
        <v>8488</v>
      </c>
      <c r="D150" s="330">
        <v>18</v>
      </c>
      <c r="E150" s="330">
        <v>284</v>
      </c>
      <c r="F150" s="330">
        <v>912</v>
      </c>
      <c r="G150" s="330">
        <v>219</v>
      </c>
      <c r="H150" s="330">
        <v>9921</v>
      </c>
      <c r="I150" s="330">
        <v>9702</v>
      </c>
      <c r="J150" s="330">
        <v>105</v>
      </c>
      <c r="K150" s="330">
        <v>85.81</v>
      </c>
      <c r="L150" s="330">
        <v>82.63</v>
      </c>
      <c r="M150" s="330">
        <v>6.22</v>
      </c>
      <c r="N150" s="330">
        <v>88.07</v>
      </c>
      <c r="O150" s="333">
        <v>7730</v>
      </c>
      <c r="P150" s="330">
        <v>91.68</v>
      </c>
      <c r="Q150" s="330">
        <v>78.98</v>
      </c>
      <c r="R150" s="330">
        <v>26.43</v>
      </c>
      <c r="S150" s="330">
        <v>117.95</v>
      </c>
      <c r="T150" s="333">
        <v>1129</v>
      </c>
      <c r="U150" s="330">
        <v>109.56</v>
      </c>
      <c r="V150" s="333">
        <v>733</v>
      </c>
      <c r="W150" s="330">
        <v>98.61</v>
      </c>
      <c r="X150" s="333">
        <v>17</v>
      </c>
      <c r="Y150" s="330">
        <v>0</v>
      </c>
      <c r="Z150" s="330">
        <v>31</v>
      </c>
      <c r="AA150" s="330">
        <v>2</v>
      </c>
      <c r="AB150" s="330">
        <v>7</v>
      </c>
      <c r="AC150" s="330">
        <v>6</v>
      </c>
      <c r="AD150" s="330">
        <v>8473</v>
      </c>
      <c r="AE150" s="330">
        <v>79</v>
      </c>
      <c r="AF150" s="330">
        <v>147</v>
      </c>
      <c r="AG150" s="330">
        <v>226</v>
      </c>
    </row>
    <row r="151" spans="1:33" x14ac:dyDescent="0.3">
      <c r="A151" s="329" t="s">
        <v>358</v>
      </c>
      <c r="B151" s="329" t="s">
        <v>359</v>
      </c>
      <c r="C151" s="330">
        <v>7274</v>
      </c>
      <c r="D151" s="330">
        <v>0</v>
      </c>
      <c r="E151" s="330">
        <v>983</v>
      </c>
      <c r="F151" s="330">
        <v>1261</v>
      </c>
      <c r="G151" s="330">
        <v>341</v>
      </c>
      <c r="H151" s="330">
        <v>9859</v>
      </c>
      <c r="I151" s="330">
        <v>9518</v>
      </c>
      <c r="J151" s="330">
        <v>1</v>
      </c>
      <c r="K151" s="330">
        <v>84.2</v>
      </c>
      <c r="L151" s="330">
        <v>83.84</v>
      </c>
      <c r="M151" s="330">
        <v>5.96</v>
      </c>
      <c r="N151" s="330">
        <v>88.89</v>
      </c>
      <c r="O151" s="333">
        <v>6090</v>
      </c>
      <c r="P151" s="330">
        <v>82.04</v>
      </c>
      <c r="Q151" s="330">
        <v>76.349999999999994</v>
      </c>
      <c r="R151" s="330">
        <v>57.97</v>
      </c>
      <c r="S151" s="330">
        <v>136.05000000000001</v>
      </c>
      <c r="T151" s="333">
        <v>1670</v>
      </c>
      <c r="U151" s="330">
        <v>98.69</v>
      </c>
      <c r="V151" s="333">
        <v>981</v>
      </c>
      <c r="W151" s="330">
        <v>231.92</v>
      </c>
      <c r="X151" s="333">
        <v>30</v>
      </c>
      <c r="Y151" s="330">
        <v>683</v>
      </c>
      <c r="Z151" s="330">
        <v>5</v>
      </c>
      <c r="AA151" s="330">
        <v>0</v>
      </c>
      <c r="AB151" s="330">
        <v>1</v>
      </c>
      <c r="AC151" s="330">
        <v>4</v>
      </c>
      <c r="AD151" s="330">
        <v>7032</v>
      </c>
      <c r="AE151" s="330">
        <v>39</v>
      </c>
      <c r="AF151" s="330">
        <v>58</v>
      </c>
      <c r="AG151" s="330">
        <v>97</v>
      </c>
    </row>
    <row r="152" spans="1:33" x14ac:dyDescent="0.3">
      <c r="A152" s="329" t="s">
        <v>360</v>
      </c>
      <c r="B152" s="329" t="s">
        <v>361</v>
      </c>
      <c r="C152" s="330">
        <v>2131</v>
      </c>
      <c r="D152" s="330">
        <v>93</v>
      </c>
      <c r="E152" s="330">
        <v>292</v>
      </c>
      <c r="F152" s="330">
        <v>214</v>
      </c>
      <c r="G152" s="330">
        <v>400</v>
      </c>
      <c r="H152" s="330">
        <v>3130</v>
      </c>
      <c r="I152" s="330">
        <v>2730</v>
      </c>
      <c r="J152" s="330">
        <v>6</v>
      </c>
      <c r="K152" s="330">
        <v>132.33000000000001</v>
      </c>
      <c r="L152" s="330">
        <v>133.08000000000001</v>
      </c>
      <c r="M152" s="330">
        <v>10.85</v>
      </c>
      <c r="N152" s="330">
        <v>141.79</v>
      </c>
      <c r="O152" s="333">
        <v>1516</v>
      </c>
      <c r="P152" s="330">
        <v>136.69999999999999</v>
      </c>
      <c r="Q152" s="330">
        <v>105.16</v>
      </c>
      <c r="R152" s="330">
        <v>42.59</v>
      </c>
      <c r="S152" s="330">
        <v>179.29</v>
      </c>
      <c r="T152" s="333">
        <v>319</v>
      </c>
      <c r="U152" s="330">
        <v>229.19</v>
      </c>
      <c r="V152" s="333">
        <v>351</v>
      </c>
      <c r="W152" s="330">
        <v>0</v>
      </c>
      <c r="X152" s="333">
        <v>0</v>
      </c>
      <c r="Y152" s="330">
        <v>33</v>
      </c>
      <c r="Z152" s="330">
        <v>1</v>
      </c>
      <c r="AA152" s="330">
        <v>5</v>
      </c>
      <c r="AB152" s="330">
        <v>9</v>
      </c>
      <c r="AC152" s="330">
        <v>15</v>
      </c>
      <c r="AD152" s="330">
        <v>1856</v>
      </c>
      <c r="AE152" s="330">
        <v>13</v>
      </c>
      <c r="AF152" s="330">
        <v>13</v>
      </c>
      <c r="AG152" s="330">
        <v>26</v>
      </c>
    </row>
    <row r="153" spans="1:33" x14ac:dyDescent="0.3">
      <c r="A153" s="329" t="s">
        <v>362</v>
      </c>
      <c r="B153" s="329" t="s">
        <v>363</v>
      </c>
      <c r="C153" s="330">
        <v>4282</v>
      </c>
      <c r="D153" s="330">
        <v>6</v>
      </c>
      <c r="E153" s="330">
        <v>493</v>
      </c>
      <c r="F153" s="330">
        <v>1267</v>
      </c>
      <c r="G153" s="330">
        <v>508</v>
      </c>
      <c r="H153" s="330">
        <v>6556</v>
      </c>
      <c r="I153" s="330">
        <v>6048</v>
      </c>
      <c r="J153" s="330">
        <v>6</v>
      </c>
      <c r="K153" s="330">
        <v>86.85</v>
      </c>
      <c r="L153" s="330">
        <v>84.57</v>
      </c>
      <c r="M153" s="330">
        <v>4.62</v>
      </c>
      <c r="N153" s="330">
        <v>90.37</v>
      </c>
      <c r="O153" s="333">
        <v>3557</v>
      </c>
      <c r="P153" s="330">
        <v>83.37</v>
      </c>
      <c r="Q153" s="330">
        <v>76.05</v>
      </c>
      <c r="R153" s="330">
        <v>43.79</v>
      </c>
      <c r="S153" s="330">
        <v>126.6</v>
      </c>
      <c r="T153" s="333">
        <v>1493</v>
      </c>
      <c r="U153" s="330">
        <v>99.49</v>
      </c>
      <c r="V153" s="333">
        <v>608</v>
      </c>
      <c r="W153" s="330">
        <v>110.51</v>
      </c>
      <c r="X153" s="333">
        <v>51</v>
      </c>
      <c r="Y153" s="330">
        <v>0</v>
      </c>
      <c r="Z153" s="330">
        <v>12</v>
      </c>
      <c r="AA153" s="330">
        <v>6</v>
      </c>
      <c r="AB153" s="330">
        <v>22</v>
      </c>
      <c r="AC153" s="330">
        <v>16</v>
      </c>
      <c r="AD153" s="330">
        <v>4270</v>
      </c>
      <c r="AE153" s="330">
        <v>32</v>
      </c>
      <c r="AF153" s="330">
        <v>9</v>
      </c>
      <c r="AG153" s="330">
        <v>41</v>
      </c>
    </row>
    <row r="154" spans="1:33" x14ac:dyDescent="0.3">
      <c r="A154" s="329" t="s">
        <v>364</v>
      </c>
      <c r="B154" s="329" t="s">
        <v>365</v>
      </c>
      <c r="C154" s="330">
        <v>16080</v>
      </c>
      <c r="D154" s="330">
        <v>4</v>
      </c>
      <c r="E154" s="330">
        <v>753</v>
      </c>
      <c r="F154" s="330">
        <v>1329</v>
      </c>
      <c r="G154" s="330">
        <v>528</v>
      </c>
      <c r="H154" s="330">
        <v>18694</v>
      </c>
      <c r="I154" s="330">
        <v>18166</v>
      </c>
      <c r="J154" s="330">
        <v>14</v>
      </c>
      <c r="K154" s="330">
        <v>86.15</v>
      </c>
      <c r="L154" s="330">
        <v>86.21</v>
      </c>
      <c r="M154" s="330">
        <v>11.67</v>
      </c>
      <c r="N154" s="330">
        <v>89.01</v>
      </c>
      <c r="O154" s="333">
        <v>14413</v>
      </c>
      <c r="P154" s="330">
        <v>88.14</v>
      </c>
      <c r="Q154" s="330">
        <v>76.260000000000005</v>
      </c>
      <c r="R154" s="330">
        <v>32.53</v>
      </c>
      <c r="S154" s="330">
        <v>118.96</v>
      </c>
      <c r="T154" s="333">
        <v>1518</v>
      </c>
      <c r="U154" s="330">
        <v>110.49</v>
      </c>
      <c r="V154" s="333">
        <v>1365</v>
      </c>
      <c r="W154" s="330">
        <v>156.72999999999999</v>
      </c>
      <c r="X154" s="333">
        <v>412</v>
      </c>
      <c r="Y154" s="330">
        <v>0</v>
      </c>
      <c r="Z154" s="330">
        <v>124</v>
      </c>
      <c r="AA154" s="330">
        <v>6</v>
      </c>
      <c r="AB154" s="330">
        <v>26</v>
      </c>
      <c r="AC154" s="330">
        <v>11</v>
      </c>
      <c r="AD154" s="330">
        <v>15918</v>
      </c>
      <c r="AE154" s="330">
        <v>64</v>
      </c>
      <c r="AF154" s="330">
        <v>273</v>
      </c>
      <c r="AG154" s="330">
        <v>337</v>
      </c>
    </row>
    <row r="155" spans="1:33" x14ac:dyDescent="0.3">
      <c r="A155" s="329" t="s">
        <v>366</v>
      </c>
      <c r="B155" s="329" t="s">
        <v>367</v>
      </c>
      <c r="C155" s="330">
        <v>21231</v>
      </c>
      <c r="D155" s="330">
        <v>183</v>
      </c>
      <c r="E155" s="330">
        <v>1937</v>
      </c>
      <c r="F155" s="330">
        <v>1460</v>
      </c>
      <c r="G155" s="330">
        <v>2169</v>
      </c>
      <c r="H155" s="330">
        <v>26980</v>
      </c>
      <c r="I155" s="330">
        <v>24811</v>
      </c>
      <c r="J155" s="330">
        <v>130</v>
      </c>
      <c r="K155" s="330">
        <v>121.57</v>
      </c>
      <c r="L155" s="330">
        <v>127.09</v>
      </c>
      <c r="M155" s="330">
        <v>15.64</v>
      </c>
      <c r="N155" s="330">
        <v>134.63999999999999</v>
      </c>
      <c r="O155" s="333">
        <v>18508</v>
      </c>
      <c r="P155" s="330">
        <v>113.18</v>
      </c>
      <c r="Q155" s="330">
        <v>110.23</v>
      </c>
      <c r="R155" s="330">
        <v>54.5</v>
      </c>
      <c r="S155" s="330">
        <v>162.43</v>
      </c>
      <c r="T155" s="333">
        <v>2868</v>
      </c>
      <c r="U155" s="330">
        <v>199.81</v>
      </c>
      <c r="V155" s="333">
        <v>1321</v>
      </c>
      <c r="W155" s="330">
        <v>276.57</v>
      </c>
      <c r="X155" s="333">
        <v>82</v>
      </c>
      <c r="Y155" s="330">
        <v>0</v>
      </c>
      <c r="Z155" s="330">
        <v>27</v>
      </c>
      <c r="AA155" s="330">
        <v>17</v>
      </c>
      <c r="AB155" s="330">
        <v>44</v>
      </c>
      <c r="AC155" s="330">
        <v>107</v>
      </c>
      <c r="AD155" s="330">
        <v>20042</v>
      </c>
      <c r="AE155" s="330">
        <v>166</v>
      </c>
      <c r="AF155" s="330">
        <v>89</v>
      </c>
      <c r="AG155" s="330">
        <v>255</v>
      </c>
    </row>
    <row r="156" spans="1:33" x14ac:dyDescent="0.3">
      <c r="A156" s="329" t="s">
        <v>368</v>
      </c>
      <c r="B156" s="329" t="s">
        <v>369</v>
      </c>
      <c r="C156" s="330">
        <v>2004</v>
      </c>
      <c r="D156" s="330">
        <v>0</v>
      </c>
      <c r="E156" s="330">
        <v>401</v>
      </c>
      <c r="F156" s="330">
        <v>526</v>
      </c>
      <c r="G156" s="330">
        <v>365</v>
      </c>
      <c r="H156" s="330">
        <v>3296</v>
      </c>
      <c r="I156" s="330">
        <v>2931</v>
      </c>
      <c r="J156" s="330">
        <v>3</v>
      </c>
      <c r="K156" s="330">
        <v>85.75</v>
      </c>
      <c r="L156" s="330">
        <v>82.41</v>
      </c>
      <c r="M156" s="330">
        <v>5.91</v>
      </c>
      <c r="N156" s="330">
        <v>90.76</v>
      </c>
      <c r="O156" s="333">
        <v>1269</v>
      </c>
      <c r="P156" s="330">
        <v>91.89</v>
      </c>
      <c r="Q156" s="330">
        <v>73.150000000000006</v>
      </c>
      <c r="R156" s="330">
        <v>70.58</v>
      </c>
      <c r="S156" s="330">
        <v>159.41999999999999</v>
      </c>
      <c r="T156" s="333">
        <v>764</v>
      </c>
      <c r="U156" s="330">
        <v>107.3</v>
      </c>
      <c r="V156" s="333">
        <v>664</v>
      </c>
      <c r="W156" s="330">
        <v>286.7</v>
      </c>
      <c r="X156" s="333">
        <v>32</v>
      </c>
      <c r="Y156" s="330">
        <v>17</v>
      </c>
      <c r="Z156" s="330">
        <v>3</v>
      </c>
      <c r="AA156" s="330">
        <v>0</v>
      </c>
      <c r="AB156" s="330">
        <v>10</v>
      </c>
      <c r="AC156" s="330">
        <v>11</v>
      </c>
      <c r="AD156" s="330">
        <v>1956</v>
      </c>
      <c r="AE156" s="330">
        <v>25</v>
      </c>
      <c r="AF156" s="330">
        <v>12</v>
      </c>
      <c r="AG156" s="330">
        <v>37</v>
      </c>
    </row>
    <row r="157" spans="1:33" x14ac:dyDescent="0.3">
      <c r="A157" s="329" t="s">
        <v>370</v>
      </c>
      <c r="B157" s="329" t="s">
        <v>371</v>
      </c>
      <c r="C157" s="330">
        <v>13480</v>
      </c>
      <c r="D157" s="330">
        <v>8</v>
      </c>
      <c r="E157" s="330">
        <v>1536</v>
      </c>
      <c r="F157" s="330">
        <v>2906</v>
      </c>
      <c r="G157" s="330">
        <v>1652</v>
      </c>
      <c r="H157" s="330">
        <v>19582</v>
      </c>
      <c r="I157" s="330">
        <v>17930</v>
      </c>
      <c r="J157" s="330">
        <v>45</v>
      </c>
      <c r="K157" s="330">
        <v>86.28</v>
      </c>
      <c r="L157" s="330">
        <v>84.62</v>
      </c>
      <c r="M157" s="330">
        <v>6.99</v>
      </c>
      <c r="N157" s="330">
        <v>90.7</v>
      </c>
      <c r="O157" s="333">
        <v>11134</v>
      </c>
      <c r="P157" s="330">
        <v>98.46</v>
      </c>
      <c r="Q157" s="330">
        <v>75.17</v>
      </c>
      <c r="R157" s="330">
        <v>51.71</v>
      </c>
      <c r="S157" s="330">
        <v>148.56</v>
      </c>
      <c r="T157" s="333">
        <v>3472</v>
      </c>
      <c r="U157" s="330">
        <v>110.72</v>
      </c>
      <c r="V157" s="333">
        <v>1472</v>
      </c>
      <c r="W157" s="330">
        <v>198.61</v>
      </c>
      <c r="X157" s="333">
        <v>99</v>
      </c>
      <c r="Y157" s="330">
        <v>2</v>
      </c>
      <c r="Z157" s="330">
        <v>8</v>
      </c>
      <c r="AA157" s="330">
        <v>32</v>
      </c>
      <c r="AB157" s="330">
        <v>113</v>
      </c>
      <c r="AC157" s="330">
        <v>49</v>
      </c>
      <c r="AD157" s="330">
        <v>13088</v>
      </c>
      <c r="AE157" s="330">
        <v>108</v>
      </c>
      <c r="AF157" s="330">
        <v>49</v>
      </c>
      <c r="AG157" s="330">
        <v>157</v>
      </c>
    </row>
    <row r="158" spans="1:33" x14ac:dyDescent="0.3">
      <c r="A158" s="329" t="s">
        <v>372</v>
      </c>
      <c r="B158" s="329" t="s">
        <v>373</v>
      </c>
      <c r="C158" s="330">
        <v>8984</v>
      </c>
      <c r="D158" s="330">
        <v>0</v>
      </c>
      <c r="E158" s="330">
        <v>987</v>
      </c>
      <c r="F158" s="330">
        <v>919</v>
      </c>
      <c r="G158" s="330">
        <v>561</v>
      </c>
      <c r="H158" s="330">
        <v>11451</v>
      </c>
      <c r="I158" s="330">
        <v>10890</v>
      </c>
      <c r="J158" s="330">
        <v>63</v>
      </c>
      <c r="K158" s="330">
        <v>85.95</v>
      </c>
      <c r="L158" s="330">
        <v>83.33</v>
      </c>
      <c r="M158" s="330">
        <v>8.77</v>
      </c>
      <c r="N158" s="330">
        <v>92.13</v>
      </c>
      <c r="O158" s="333">
        <v>6971</v>
      </c>
      <c r="P158" s="330">
        <v>90.13</v>
      </c>
      <c r="Q158" s="330">
        <v>76.900000000000006</v>
      </c>
      <c r="R158" s="330">
        <v>62.81</v>
      </c>
      <c r="S158" s="330">
        <v>148.22999999999999</v>
      </c>
      <c r="T158" s="333">
        <v>1535</v>
      </c>
      <c r="U158" s="330">
        <v>115.48</v>
      </c>
      <c r="V158" s="333">
        <v>1128</v>
      </c>
      <c r="W158" s="330">
        <v>137.34</v>
      </c>
      <c r="X158" s="333">
        <v>86</v>
      </c>
      <c r="Y158" s="330">
        <v>0</v>
      </c>
      <c r="Z158" s="330">
        <v>12</v>
      </c>
      <c r="AA158" s="330">
        <v>16</v>
      </c>
      <c r="AB158" s="330">
        <v>22</v>
      </c>
      <c r="AC158" s="330">
        <v>34</v>
      </c>
      <c r="AD158" s="330">
        <v>8265</v>
      </c>
      <c r="AE158" s="330">
        <v>93</v>
      </c>
      <c r="AF158" s="330">
        <v>49</v>
      </c>
      <c r="AG158" s="330">
        <v>142</v>
      </c>
    </row>
    <row r="159" spans="1:33" x14ac:dyDescent="0.3">
      <c r="A159" s="329" t="s">
        <v>374</v>
      </c>
      <c r="B159" s="329" t="s">
        <v>375</v>
      </c>
      <c r="C159" s="330">
        <v>1157</v>
      </c>
      <c r="D159" s="330">
        <v>0</v>
      </c>
      <c r="E159" s="330">
        <v>154</v>
      </c>
      <c r="F159" s="330">
        <v>442</v>
      </c>
      <c r="G159" s="330">
        <v>403</v>
      </c>
      <c r="H159" s="330">
        <v>2156</v>
      </c>
      <c r="I159" s="330">
        <v>1753</v>
      </c>
      <c r="J159" s="330">
        <v>11</v>
      </c>
      <c r="K159" s="330">
        <v>96.53</v>
      </c>
      <c r="L159" s="330">
        <v>94.99</v>
      </c>
      <c r="M159" s="330">
        <v>7.3</v>
      </c>
      <c r="N159" s="330">
        <v>102.9</v>
      </c>
      <c r="O159" s="333">
        <v>868</v>
      </c>
      <c r="P159" s="330">
        <v>85.37</v>
      </c>
      <c r="Q159" s="330">
        <v>78.88</v>
      </c>
      <c r="R159" s="330">
        <v>50.94</v>
      </c>
      <c r="S159" s="330">
        <v>135</v>
      </c>
      <c r="T159" s="333">
        <v>312</v>
      </c>
      <c r="U159" s="330">
        <v>175.58</v>
      </c>
      <c r="V159" s="333">
        <v>276</v>
      </c>
      <c r="W159" s="330">
        <v>153.1</v>
      </c>
      <c r="X159" s="333">
        <v>9</v>
      </c>
      <c r="Y159" s="330">
        <v>6</v>
      </c>
      <c r="Z159" s="330">
        <v>0</v>
      </c>
      <c r="AA159" s="330">
        <v>0</v>
      </c>
      <c r="AB159" s="330">
        <v>48</v>
      </c>
      <c r="AC159" s="330">
        <v>11</v>
      </c>
      <c r="AD159" s="330">
        <v>1157</v>
      </c>
      <c r="AE159" s="330">
        <v>15</v>
      </c>
      <c r="AF159" s="330">
        <v>11</v>
      </c>
      <c r="AG159" s="330">
        <v>26</v>
      </c>
    </row>
    <row r="160" spans="1:33" x14ac:dyDescent="0.3">
      <c r="A160" s="329" t="s">
        <v>376</v>
      </c>
      <c r="B160" s="329" t="s">
        <v>377</v>
      </c>
      <c r="C160" s="330">
        <v>20921</v>
      </c>
      <c r="D160" s="330">
        <v>149</v>
      </c>
      <c r="E160" s="330">
        <v>1518</v>
      </c>
      <c r="F160" s="330">
        <v>684</v>
      </c>
      <c r="G160" s="330">
        <v>1976</v>
      </c>
      <c r="H160" s="330">
        <v>25248</v>
      </c>
      <c r="I160" s="330">
        <v>23272</v>
      </c>
      <c r="J160" s="330">
        <v>215</v>
      </c>
      <c r="K160" s="330">
        <v>112.71</v>
      </c>
      <c r="L160" s="330">
        <v>115.03</v>
      </c>
      <c r="M160" s="330">
        <v>12.14</v>
      </c>
      <c r="N160" s="330">
        <v>119.59</v>
      </c>
      <c r="O160" s="333">
        <v>18303</v>
      </c>
      <c r="P160" s="330">
        <v>108.45</v>
      </c>
      <c r="Q160" s="330">
        <v>102.84</v>
      </c>
      <c r="R160" s="330">
        <v>86.09</v>
      </c>
      <c r="S160" s="330">
        <v>188.76</v>
      </c>
      <c r="T160" s="333">
        <v>1771</v>
      </c>
      <c r="U160" s="330">
        <v>183.29</v>
      </c>
      <c r="V160" s="333">
        <v>1671</v>
      </c>
      <c r="W160" s="330">
        <v>283.99</v>
      </c>
      <c r="X160" s="333">
        <v>119</v>
      </c>
      <c r="Y160" s="330">
        <v>1098</v>
      </c>
      <c r="Z160" s="330">
        <v>25</v>
      </c>
      <c r="AA160" s="330">
        <v>42</v>
      </c>
      <c r="AB160" s="330">
        <v>40</v>
      </c>
      <c r="AC160" s="330">
        <v>59</v>
      </c>
      <c r="AD160" s="330">
        <v>20053</v>
      </c>
      <c r="AE160" s="330">
        <v>218</v>
      </c>
      <c r="AF160" s="330">
        <v>115</v>
      </c>
      <c r="AG160" s="330">
        <v>333</v>
      </c>
    </row>
    <row r="161" spans="1:33" x14ac:dyDescent="0.3">
      <c r="A161" s="329" t="s">
        <v>378</v>
      </c>
      <c r="B161" s="329" t="s">
        <v>379</v>
      </c>
      <c r="C161" s="330">
        <v>5688</v>
      </c>
      <c r="D161" s="330">
        <v>14</v>
      </c>
      <c r="E161" s="330">
        <v>119</v>
      </c>
      <c r="F161" s="330">
        <v>298</v>
      </c>
      <c r="G161" s="330">
        <v>564</v>
      </c>
      <c r="H161" s="330">
        <v>6683</v>
      </c>
      <c r="I161" s="330">
        <v>6119</v>
      </c>
      <c r="J161" s="330">
        <v>1</v>
      </c>
      <c r="K161" s="330">
        <v>91.46</v>
      </c>
      <c r="L161" s="330">
        <v>87.79</v>
      </c>
      <c r="M161" s="330">
        <v>3.31</v>
      </c>
      <c r="N161" s="330">
        <v>93.94</v>
      </c>
      <c r="O161" s="333">
        <v>5104</v>
      </c>
      <c r="P161" s="330">
        <v>102.92</v>
      </c>
      <c r="Q161" s="330">
        <v>92.5</v>
      </c>
      <c r="R161" s="330">
        <v>35.82</v>
      </c>
      <c r="S161" s="330">
        <v>138.72999999999999</v>
      </c>
      <c r="T161" s="333">
        <v>407</v>
      </c>
      <c r="U161" s="330">
        <v>114.94</v>
      </c>
      <c r="V161" s="333">
        <v>539</v>
      </c>
      <c r="W161" s="330">
        <v>0</v>
      </c>
      <c r="X161" s="333">
        <v>0</v>
      </c>
      <c r="Y161" s="330">
        <v>0</v>
      </c>
      <c r="Z161" s="330">
        <v>7</v>
      </c>
      <c r="AA161" s="330">
        <v>8</v>
      </c>
      <c r="AB161" s="330">
        <v>114</v>
      </c>
      <c r="AC161" s="330">
        <v>10</v>
      </c>
      <c r="AD161" s="330">
        <v>5650</v>
      </c>
      <c r="AE161" s="330">
        <v>56</v>
      </c>
      <c r="AF161" s="330">
        <v>27</v>
      </c>
      <c r="AG161" s="330">
        <v>83</v>
      </c>
    </row>
    <row r="162" spans="1:33" x14ac:dyDescent="0.3">
      <c r="A162" s="329" t="s">
        <v>380</v>
      </c>
      <c r="B162" s="329" t="s">
        <v>381</v>
      </c>
      <c r="C162" s="330">
        <v>1353</v>
      </c>
      <c r="D162" s="330">
        <v>0</v>
      </c>
      <c r="E162" s="330">
        <v>457</v>
      </c>
      <c r="F162" s="330">
        <v>148</v>
      </c>
      <c r="G162" s="330">
        <v>297</v>
      </c>
      <c r="H162" s="330">
        <v>2255</v>
      </c>
      <c r="I162" s="330">
        <v>1958</v>
      </c>
      <c r="J162" s="330">
        <v>8</v>
      </c>
      <c r="K162" s="330">
        <v>82.69</v>
      </c>
      <c r="L162" s="330">
        <v>79.84</v>
      </c>
      <c r="M162" s="330">
        <v>9</v>
      </c>
      <c r="N162" s="330">
        <v>90.03</v>
      </c>
      <c r="O162" s="333">
        <v>1019</v>
      </c>
      <c r="P162" s="330">
        <v>94.25</v>
      </c>
      <c r="Q162" s="330">
        <v>81.61</v>
      </c>
      <c r="R162" s="330">
        <v>112.48</v>
      </c>
      <c r="S162" s="330">
        <v>206.74</v>
      </c>
      <c r="T162" s="333">
        <v>282</v>
      </c>
      <c r="U162" s="330">
        <v>104.01</v>
      </c>
      <c r="V162" s="333">
        <v>230</v>
      </c>
      <c r="W162" s="330">
        <v>303.62</v>
      </c>
      <c r="X162" s="333">
        <v>31</v>
      </c>
      <c r="Y162" s="330">
        <v>63</v>
      </c>
      <c r="Z162" s="330">
        <v>0</v>
      </c>
      <c r="AA162" s="330">
        <v>0</v>
      </c>
      <c r="AB162" s="330">
        <v>0</v>
      </c>
      <c r="AC162" s="330">
        <v>8</v>
      </c>
      <c r="AD162" s="330">
        <v>1320</v>
      </c>
      <c r="AE162" s="330">
        <v>7</v>
      </c>
      <c r="AF162" s="330">
        <v>24</v>
      </c>
      <c r="AG162" s="330">
        <v>31</v>
      </c>
    </row>
    <row r="163" spans="1:33" x14ac:dyDescent="0.3">
      <c r="A163" s="329" t="s">
        <v>382</v>
      </c>
      <c r="B163" s="329" t="s">
        <v>383</v>
      </c>
      <c r="C163" s="330">
        <v>52171</v>
      </c>
      <c r="D163" s="330">
        <v>10</v>
      </c>
      <c r="E163" s="330">
        <v>2518</v>
      </c>
      <c r="F163" s="330">
        <v>3744</v>
      </c>
      <c r="G163" s="330">
        <v>969</v>
      </c>
      <c r="H163" s="330">
        <v>59412</v>
      </c>
      <c r="I163" s="330">
        <v>58443</v>
      </c>
      <c r="J163" s="330">
        <v>210</v>
      </c>
      <c r="K163" s="330">
        <v>85.78</v>
      </c>
      <c r="L163" s="330">
        <v>85.06</v>
      </c>
      <c r="M163" s="330">
        <v>9.9499999999999993</v>
      </c>
      <c r="N163" s="330">
        <v>88.49</v>
      </c>
      <c r="O163" s="333">
        <v>43185</v>
      </c>
      <c r="P163" s="330">
        <v>88.83</v>
      </c>
      <c r="Q163" s="330">
        <v>79.61</v>
      </c>
      <c r="R163" s="330">
        <v>51.6</v>
      </c>
      <c r="S163" s="330">
        <v>139.24</v>
      </c>
      <c r="T163" s="333">
        <v>4986</v>
      </c>
      <c r="U163" s="330">
        <v>105.84</v>
      </c>
      <c r="V163" s="333">
        <v>6049</v>
      </c>
      <c r="W163" s="330">
        <v>128.22</v>
      </c>
      <c r="X163" s="333">
        <v>119</v>
      </c>
      <c r="Y163" s="330">
        <v>327</v>
      </c>
      <c r="Z163" s="330">
        <v>240</v>
      </c>
      <c r="AA163" s="330">
        <v>32</v>
      </c>
      <c r="AB163" s="330">
        <v>59</v>
      </c>
      <c r="AC163" s="330">
        <v>30</v>
      </c>
      <c r="AD163" s="330">
        <v>49548</v>
      </c>
      <c r="AE163" s="330">
        <v>445</v>
      </c>
      <c r="AF163" s="330">
        <v>346</v>
      </c>
      <c r="AG163" s="330">
        <v>791</v>
      </c>
    </row>
    <row r="164" spans="1:33" x14ac:dyDescent="0.3">
      <c r="A164" s="329" t="s">
        <v>384</v>
      </c>
      <c r="B164" s="329" t="s">
        <v>385</v>
      </c>
      <c r="C164" s="330">
        <v>3870</v>
      </c>
      <c r="D164" s="330">
        <v>175</v>
      </c>
      <c r="E164" s="330">
        <v>409</v>
      </c>
      <c r="F164" s="330">
        <v>392</v>
      </c>
      <c r="G164" s="330">
        <v>324</v>
      </c>
      <c r="H164" s="330">
        <v>5170</v>
      </c>
      <c r="I164" s="330">
        <v>4846</v>
      </c>
      <c r="J164" s="330">
        <v>1</v>
      </c>
      <c r="K164" s="330">
        <v>103.38</v>
      </c>
      <c r="L164" s="330">
        <v>100.6</v>
      </c>
      <c r="M164" s="330">
        <v>6.06</v>
      </c>
      <c r="N164" s="330">
        <v>107.9</v>
      </c>
      <c r="O164" s="333">
        <v>2787</v>
      </c>
      <c r="P164" s="330">
        <v>103.45</v>
      </c>
      <c r="Q164" s="330">
        <v>97.48</v>
      </c>
      <c r="R164" s="330">
        <v>45.27</v>
      </c>
      <c r="S164" s="330">
        <v>144.96</v>
      </c>
      <c r="T164" s="333">
        <v>434</v>
      </c>
      <c r="U164" s="330">
        <v>146.97999999999999</v>
      </c>
      <c r="V164" s="333">
        <v>622</v>
      </c>
      <c r="W164" s="330">
        <v>141.76</v>
      </c>
      <c r="X164" s="333">
        <v>13</v>
      </c>
      <c r="Y164" s="330">
        <v>0</v>
      </c>
      <c r="Z164" s="330">
        <v>3</v>
      </c>
      <c r="AA164" s="330">
        <v>5</v>
      </c>
      <c r="AB164" s="330">
        <v>9</v>
      </c>
      <c r="AC164" s="330">
        <v>11</v>
      </c>
      <c r="AD164" s="330">
        <v>3542</v>
      </c>
      <c r="AE164" s="330">
        <v>34</v>
      </c>
      <c r="AF164" s="330">
        <v>7</v>
      </c>
      <c r="AG164" s="330">
        <v>41</v>
      </c>
    </row>
    <row r="165" spans="1:33" x14ac:dyDescent="0.3">
      <c r="A165" s="329" t="s">
        <v>386</v>
      </c>
      <c r="B165" s="329" t="s">
        <v>387</v>
      </c>
      <c r="C165" s="330">
        <v>8398</v>
      </c>
      <c r="D165" s="330">
        <v>0</v>
      </c>
      <c r="E165" s="330">
        <v>359</v>
      </c>
      <c r="F165" s="330">
        <v>1144</v>
      </c>
      <c r="G165" s="330">
        <v>1259</v>
      </c>
      <c r="H165" s="330">
        <v>11160</v>
      </c>
      <c r="I165" s="330">
        <v>9901</v>
      </c>
      <c r="J165" s="330">
        <v>144</v>
      </c>
      <c r="K165" s="330">
        <v>99.02</v>
      </c>
      <c r="L165" s="330">
        <v>97.79</v>
      </c>
      <c r="M165" s="330">
        <v>6.79</v>
      </c>
      <c r="N165" s="330">
        <v>104.2</v>
      </c>
      <c r="O165" s="333">
        <v>6059</v>
      </c>
      <c r="P165" s="330">
        <v>93.74</v>
      </c>
      <c r="Q165" s="330">
        <v>89.03</v>
      </c>
      <c r="R165" s="330">
        <v>27.67</v>
      </c>
      <c r="S165" s="330">
        <v>120.09</v>
      </c>
      <c r="T165" s="333">
        <v>1325</v>
      </c>
      <c r="U165" s="330">
        <v>165.26</v>
      </c>
      <c r="V165" s="333">
        <v>1978</v>
      </c>
      <c r="W165" s="330">
        <v>119.18</v>
      </c>
      <c r="X165" s="333">
        <v>13</v>
      </c>
      <c r="Y165" s="330">
        <v>25</v>
      </c>
      <c r="Z165" s="330">
        <v>7</v>
      </c>
      <c r="AA165" s="330">
        <v>3</v>
      </c>
      <c r="AB165" s="330">
        <v>163</v>
      </c>
      <c r="AC165" s="330">
        <v>19</v>
      </c>
      <c r="AD165" s="330">
        <v>7924</v>
      </c>
      <c r="AE165" s="330">
        <v>78</v>
      </c>
      <c r="AF165" s="330">
        <v>9</v>
      </c>
      <c r="AG165" s="330">
        <v>87</v>
      </c>
    </row>
    <row r="166" spans="1:33" x14ac:dyDescent="0.3">
      <c r="A166" s="329" t="s">
        <v>388</v>
      </c>
      <c r="B166" s="329" t="s">
        <v>389</v>
      </c>
      <c r="C166" s="330">
        <v>2479</v>
      </c>
      <c r="D166" s="330">
        <v>0</v>
      </c>
      <c r="E166" s="330">
        <v>35</v>
      </c>
      <c r="F166" s="330">
        <v>795</v>
      </c>
      <c r="G166" s="330">
        <v>192</v>
      </c>
      <c r="H166" s="330">
        <v>3501</v>
      </c>
      <c r="I166" s="330">
        <v>3309</v>
      </c>
      <c r="J166" s="330">
        <v>0</v>
      </c>
      <c r="K166" s="330">
        <v>105.9</v>
      </c>
      <c r="L166" s="330">
        <v>104.8</v>
      </c>
      <c r="M166" s="330">
        <v>4.5</v>
      </c>
      <c r="N166" s="330">
        <v>108.71</v>
      </c>
      <c r="O166" s="333">
        <v>1967</v>
      </c>
      <c r="P166" s="330">
        <v>90.39</v>
      </c>
      <c r="Q166" s="330">
        <v>88.7</v>
      </c>
      <c r="R166" s="330">
        <v>16.350000000000001</v>
      </c>
      <c r="S166" s="330">
        <v>106.18</v>
      </c>
      <c r="T166" s="333">
        <v>768</v>
      </c>
      <c r="U166" s="330">
        <v>147.21</v>
      </c>
      <c r="V166" s="333">
        <v>483</v>
      </c>
      <c r="W166" s="330">
        <v>116.48</v>
      </c>
      <c r="X166" s="333">
        <v>1</v>
      </c>
      <c r="Y166" s="330">
        <v>20</v>
      </c>
      <c r="Z166" s="330">
        <v>1</v>
      </c>
      <c r="AA166" s="330">
        <v>0</v>
      </c>
      <c r="AB166" s="330">
        <v>14</v>
      </c>
      <c r="AC166" s="330">
        <v>1</v>
      </c>
      <c r="AD166" s="330">
        <v>2443</v>
      </c>
      <c r="AE166" s="330">
        <v>24</v>
      </c>
      <c r="AF166" s="330">
        <v>7</v>
      </c>
      <c r="AG166" s="330">
        <v>31</v>
      </c>
    </row>
    <row r="167" spans="1:33" x14ac:dyDescent="0.3">
      <c r="A167" s="329" t="s">
        <v>390</v>
      </c>
      <c r="B167" s="329" t="s">
        <v>391</v>
      </c>
      <c r="C167" s="330">
        <v>4646</v>
      </c>
      <c r="D167" s="330">
        <v>0</v>
      </c>
      <c r="E167" s="330">
        <v>74</v>
      </c>
      <c r="F167" s="330">
        <v>594</v>
      </c>
      <c r="G167" s="330">
        <v>488</v>
      </c>
      <c r="H167" s="330">
        <v>5802</v>
      </c>
      <c r="I167" s="330">
        <v>5314</v>
      </c>
      <c r="J167" s="330">
        <v>0</v>
      </c>
      <c r="K167" s="330">
        <v>98.92</v>
      </c>
      <c r="L167" s="330">
        <v>98.6</v>
      </c>
      <c r="M167" s="330">
        <v>4.03</v>
      </c>
      <c r="N167" s="330">
        <v>102.62</v>
      </c>
      <c r="O167" s="333">
        <v>4148</v>
      </c>
      <c r="P167" s="330">
        <v>93.92</v>
      </c>
      <c r="Q167" s="330">
        <v>93.27</v>
      </c>
      <c r="R167" s="330">
        <v>30.45</v>
      </c>
      <c r="S167" s="330">
        <v>124.22</v>
      </c>
      <c r="T167" s="333">
        <v>608</v>
      </c>
      <c r="U167" s="330">
        <v>122.67</v>
      </c>
      <c r="V167" s="333">
        <v>416</v>
      </c>
      <c r="W167" s="330">
        <v>194.18</v>
      </c>
      <c r="X167" s="333">
        <v>60</v>
      </c>
      <c r="Y167" s="330">
        <v>0</v>
      </c>
      <c r="Z167" s="330">
        <v>4</v>
      </c>
      <c r="AA167" s="330">
        <v>3</v>
      </c>
      <c r="AB167" s="330">
        <v>66</v>
      </c>
      <c r="AC167" s="330">
        <v>9</v>
      </c>
      <c r="AD167" s="330">
        <v>4634</v>
      </c>
      <c r="AE167" s="330">
        <v>32</v>
      </c>
      <c r="AF167" s="330">
        <v>27</v>
      </c>
      <c r="AG167" s="330">
        <v>59</v>
      </c>
    </row>
    <row r="168" spans="1:33" x14ac:dyDescent="0.3">
      <c r="A168" s="329" t="s">
        <v>392</v>
      </c>
      <c r="B168" s="329" t="s">
        <v>393</v>
      </c>
      <c r="C168" s="330">
        <v>46261</v>
      </c>
      <c r="D168" s="330">
        <v>72</v>
      </c>
      <c r="E168" s="330">
        <v>1729</v>
      </c>
      <c r="F168" s="330">
        <v>3348</v>
      </c>
      <c r="G168" s="330">
        <v>1608</v>
      </c>
      <c r="H168" s="330">
        <v>53018</v>
      </c>
      <c r="I168" s="330">
        <v>51410</v>
      </c>
      <c r="J168" s="330">
        <v>41</v>
      </c>
      <c r="K168" s="330">
        <v>83.43</v>
      </c>
      <c r="L168" s="330">
        <v>84.09</v>
      </c>
      <c r="M168" s="330">
        <v>5.13</v>
      </c>
      <c r="N168" s="330">
        <v>85.43</v>
      </c>
      <c r="O168" s="333">
        <v>42135</v>
      </c>
      <c r="P168" s="330">
        <v>81.760000000000005</v>
      </c>
      <c r="Q168" s="330">
        <v>76.94</v>
      </c>
      <c r="R168" s="330">
        <v>46.44</v>
      </c>
      <c r="S168" s="330">
        <v>124.91</v>
      </c>
      <c r="T168" s="333">
        <v>4662</v>
      </c>
      <c r="U168" s="330">
        <v>114.93</v>
      </c>
      <c r="V168" s="333">
        <v>3244</v>
      </c>
      <c r="W168" s="330">
        <v>149.91999999999999</v>
      </c>
      <c r="X168" s="333">
        <v>144</v>
      </c>
      <c r="Y168" s="330">
        <v>0</v>
      </c>
      <c r="Z168" s="330">
        <v>202</v>
      </c>
      <c r="AA168" s="330">
        <v>7</v>
      </c>
      <c r="AB168" s="330">
        <v>88</v>
      </c>
      <c r="AC168" s="330">
        <v>50</v>
      </c>
      <c r="AD168" s="330">
        <v>45757</v>
      </c>
      <c r="AE168" s="330">
        <v>143</v>
      </c>
      <c r="AF168" s="330">
        <v>231</v>
      </c>
      <c r="AG168" s="330">
        <v>374</v>
      </c>
    </row>
    <row r="169" spans="1:33" x14ac:dyDescent="0.3">
      <c r="A169" s="329" t="s">
        <v>394</v>
      </c>
      <c r="B169" s="329" t="s">
        <v>395</v>
      </c>
      <c r="C169" s="330">
        <v>1730</v>
      </c>
      <c r="D169" s="330">
        <v>0</v>
      </c>
      <c r="E169" s="330">
        <v>360</v>
      </c>
      <c r="F169" s="330">
        <v>232</v>
      </c>
      <c r="G169" s="330">
        <v>129</v>
      </c>
      <c r="H169" s="330">
        <v>2451</v>
      </c>
      <c r="I169" s="330">
        <v>2322</v>
      </c>
      <c r="J169" s="330">
        <v>0</v>
      </c>
      <c r="K169" s="330">
        <v>83.89</v>
      </c>
      <c r="L169" s="330">
        <v>81.31</v>
      </c>
      <c r="M169" s="330">
        <v>6.06</v>
      </c>
      <c r="N169" s="330">
        <v>86.84</v>
      </c>
      <c r="O169" s="333">
        <v>1626</v>
      </c>
      <c r="P169" s="330">
        <v>113.65</v>
      </c>
      <c r="Q169" s="330">
        <v>78.599999999999994</v>
      </c>
      <c r="R169" s="330">
        <v>90.91</v>
      </c>
      <c r="S169" s="330">
        <v>201.79</v>
      </c>
      <c r="T169" s="333">
        <v>393</v>
      </c>
      <c r="U169" s="330">
        <v>100.24</v>
      </c>
      <c r="V169" s="333">
        <v>99</v>
      </c>
      <c r="W169" s="330">
        <v>0</v>
      </c>
      <c r="X169" s="333">
        <v>0</v>
      </c>
      <c r="Y169" s="330">
        <v>0</v>
      </c>
      <c r="Z169" s="330">
        <v>1</v>
      </c>
      <c r="AA169" s="330">
        <v>5</v>
      </c>
      <c r="AB169" s="330">
        <v>4</v>
      </c>
      <c r="AC169" s="330">
        <v>3</v>
      </c>
      <c r="AD169" s="330">
        <v>1717</v>
      </c>
      <c r="AE169" s="330">
        <v>5</v>
      </c>
      <c r="AF169" s="330">
        <v>3</v>
      </c>
      <c r="AG169" s="330">
        <v>8</v>
      </c>
    </row>
    <row r="170" spans="1:33" x14ac:dyDescent="0.3">
      <c r="A170" s="329" t="s">
        <v>396</v>
      </c>
      <c r="B170" s="329" t="s">
        <v>397</v>
      </c>
      <c r="C170" s="330">
        <v>4038</v>
      </c>
      <c r="D170" s="330">
        <v>0</v>
      </c>
      <c r="E170" s="330">
        <v>365</v>
      </c>
      <c r="F170" s="330">
        <v>951</v>
      </c>
      <c r="G170" s="330">
        <v>1549</v>
      </c>
      <c r="H170" s="330">
        <v>6903</v>
      </c>
      <c r="I170" s="330">
        <v>5354</v>
      </c>
      <c r="J170" s="330">
        <v>28</v>
      </c>
      <c r="K170" s="330">
        <v>102.64</v>
      </c>
      <c r="L170" s="330">
        <v>99.46</v>
      </c>
      <c r="M170" s="330">
        <v>7.92</v>
      </c>
      <c r="N170" s="330">
        <v>109.13</v>
      </c>
      <c r="O170" s="333">
        <v>2843</v>
      </c>
      <c r="P170" s="330">
        <v>98.82</v>
      </c>
      <c r="Q170" s="330">
        <v>87.23</v>
      </c>
      <c r="R170" s="330">
        <v>40.659999999999997</v>
      </c>
      <c r="S170" s="330">
        <v>138.35</v>
      </c>
      <c r="T170" s="333">
        <v>1085</v>
      </c>
      <c r="U170" s="330">
        <v>137.93</v>
      </c>
      <c r="V170" s="333">
        <v>841</v>
      </c>
      <c r="W170" s="330">
        <v>145.62</v>
      </c>
      <c r="X170" s="333">
        <v>55</v>
      </c>
      <c r="Y170" s="330">
        <v>0</v>
      </c>
      <c r="Z170" s="330">
        <v>1</v>
      </c>
      <c r="AA170" s="330">
        <v>7</v>
      </c>
      <c r="AB170" s="330">
        <v>97</v>
      </c>
      <c r="AC170" s="330">
        <v>37</v>
      </c>
      <c r="AD170" s="330">
        <v>3651</v>
      </c>
      <c r="AE170" s="330">
        <v>51</v>
      </c>
      <c r="AF170" s="330">
        <v>11</v>
      </c>
      <c r="AG170" s="330">
        <v>62</v>
      </c>
    </row>
    <row r="171" spans="1:33" x14ac:dyDescent="0.3">
      <c r="A171" s="329" t="s">
        <v>398</v>
      </c>
      <c r="B171" s="329" t="s">
        <v>399</v>
      </c>
      <c r="C171" s="330">
        <v>662</v>
      </c>
      <c r="D171" s="330">
        <v>0</v>
      </c>
      <c r="E171" s="330">
        <v>39</v>
      </c>
      <c r="F171" s="330">
        <v>77</v>
      </c>
      <c r="G171" s="330">
        <v>230</v>
      </c>
      <c r="H171" s="330">
        <v>1008</v>
      </c>
      <c r="I171" s="330">
        <v>778</v>
      </c>
      <c r="J171" s="330">
        <v>0</v>
      </c>
      <c r="K171" s="330">
        <v>94.77</v>
      </c>
      <c r="L171" s="330">
        <v>91.5</v>
      </c>
      <c r="M171" s="330">
        <v>2.66</v>
      </c>
      <c r="N171" s="330">
        <v>96.85</v>
      </c>
      <c r="O171" s="333">
        <v>399</v>
      </c>
      <c r="P171" s="330">
        <v>93.76</v>
      </c>
      <c r="Q171" s="330">
        <v>81.790000000000006</v>
      </c>
      <c r="R171" s="330">
        <v>73.84</v>
      </c>
      <c r="S171" s="330">
        <v>166.32</v>
      </c>
      <c r="T171" s="333">
        <v>116</v>
      </c>
      <c r="U171" s="330">
        <v>117.8</v>
      </c>
      <c r="V171" s="333">
        <v>242</v>
      </c>
      <c r="W171" s="330">
        <v>0</v>
      </c>
      <c r="X171" s="333">
        <v>0</v>
      </c>
      <c r="Y171" s="330">
        <v>0</v>
      </c>
      <c r="Z171" s="330">
        <v>0</v>
      </c>
      <c r="AA171" s="330">
        <v>0</v>
      </c>
      <c r="AB171" s="330">
        <v>13</v>
      </c>
      <c r="AC171" s="330">
        <v>6</v>
      </c>
      <c r="AD171" s="330">
        <v>661</v>
      </c>
      <c r="AE171" s="330">
        <v>2</v>
      </c>
      <c r="AF171" s="330">
        <v>5</v>
      </c>
      <c r="AG171" s="330">
        <v>7</v>
      </c>
    </row>
    <row r="172" spans="1:33" x14ac:dyDescent="0.3">
      <c r="A172" s="329" t="s">
        <v>400</v>
      </c>
      <c r="B172" s="329" t="s">
        <v>401</v>
      </c>
      <c r="C172" s="330">
        <v>5180</v>
      </c>
      <c r="D172" s="330">
        <v>0</v>
      </c>
      <c r="E172" s="330">
        <v>289</v>
      </c>
      <c r="F172" s="330">
        <v>1011</v>
      </c>
      <c r="G172" s="330">
        <v>598</v>
      </c>
      <c r="H172" s="330">
        <v>7078</v>
      </c>
      <c r="I172" s="330">
        <v>6480</v>
      </c>
      <c r="J172" s="330">
        <v>0</v>
      </c>
      <c r="K172" s="330">
        <v>95.73</v>
      </c>
      <c r="L172" s="330">
        <v>94.8</v>
      </c>
      <c r="M172" s="330">
        <v>4.4000000000000004</v>
      </c>
      <c r="N172" s="330">
        <v>98.2</v>
      </c>
      <c r="O172" s="333">
        <v>4320</v>
      </c>
      <c r="P172" s="330">
        <v>88.59</v>
      </c>
      <c r="Q172" s="330">
        <v>85.2</v>
      </c>
      <c r="R172" s="330">
        <v>33.92</v>
      </c>
      <c r="S172" s="330">
        <v>122.11</v>
      </c>
      <c r="T172" s="333">
        <v>1096</v>
      </c>
      <c r="U172" s="330">
        <v>121.11</v>
      </c>
      <c r="V172" s="333">
        <v>763</v>
      </c>
      <c r="W172" s="330">
        <v>110</v>
      </c>
      <c r="X172" s="333">
        <v>48</v>
      </c>
      <c r="Y172" s="330">
        <v>0</v>
      </c>
      <c r="Z172" s="330">
        <v>7</v>
      </c>
      <c r="AA172" s="330">
        <v>23</v>
      </c>
      <c r="AB172" s="330">
        <v>31</v>
      </c>
      <c r="AC172" s="330">
        <v>17</v>
      </c>
      <c r="AD172" s="330">
        <v>5086</v>
      </c>
      <c r="AE172" s="330">
        <v>23</v>
      </c>
      <c r="AF172" s="330">
        <v>19</v>
      </c>
      <c r="AG172" s="330">
        <v>42</v>
      </c>
    </row>
    <row r="173" spans="1:33" x14ac:dyDescent="0.3">
      <c r="A173" s="329" t="s">
        <v>402</v>
      </c>
      <c r="B173" s="329" t="s">
        <v>403</v>
      </c>
      <c r="C173" s="330">
        <v>10371</v>
      </c>
      <c r="D173" s="330">
        <v>12</v>
      </c>
      <c r="E173" s="330">
        <v>401</v>
      </c>
      <c r="F173" s="330">
        <v>788</v>
      </c>
      <c r="G173" s="330">
        <v>1081</v>
      </c>
      <c r="H173" s="330">
        <v>12653</v>
      </c>
      <c r="I173" s="330">
        <v>11572</v>
      </c>
      <c r="J173" s="330">
        <v>33</v>
      </c>
      <c r="K173" s="330">
        <v>118.85</v>
      </c>
      <c r="L173" s="330">
        <v>117.38</v>
      </c>
      <c r="M173" s="330">
        <v>8.98</v>
      </c>
      <c r="N173" s="330">
        <v>124.9</v>
      </c>
      <c r="O173" s="333">
        <v>9082</v>
      </c>
      <c r="P173" s="330">
        <v>110.19</v>
      </c>
      <c r="Q173" s="330">
        <v>105.14</v>
      </c>
      <c r="R173" s="330">
        <v>39.42</v>
      </c>
      <c r="S173" s="330">
        <v>148.81</v>
      </c>
      <c r="T173" s="333">
        <v>895</v>
      </c>
      <c r="U173" s="330">
        <v>165.93</v>
      </c>
      <c r="V173" s="333">
        <v>1087</v>
      </c>
      <c r="W173" s="330">
        <v>175.28</v>
      </c>
      <c r="X173" s="333">
        <v>16</v>
      </c>
      <c r="Y173" s="330">
        <v>0</v>
      </c>
      <c r="Z173" s="330">
        <v>18</v>
      </c>
      <c r="AA173" s="330">
        <v>5</v>
      </c>
      <c r="AB173" s="330">
        <v>151</v>
      </c>
      <c r="AC173" s="330">
        <v>29</v>
      </c>
      <c r="AD173" s="330">
        <v>10254</v>
      </c>
      <c r="AE173" s="330">
        <v>112</v>
      </c>
      <c r="AF173" s="330">
        <v>178</v>
      </c>
      <c r="AG173" s="330">
        <v>290</v>
      </c>
    </row>
    <row r="174" spans="1:33" x14ac:dyDescent="0.3">
      <c r="A174" s="329" t="s">
        <v>404</v>
      </c>
      <c r="B174" s="329" t="s">
        <v>405</v>
      </c>
      <c r="C174" s="330">
        <v>1214</v>
      </c>
      <c r="D174" s="330">
        <v>0</v>
      </c>
      <c r="E174" s="330">
        <v>28</v>
      </c>
      <c r="F174" s="330">
        <v>280</v>
      </c>
      <c r="G174" s="330">
        <v>279</v>
      </c>
      <c r="H174" s="330">
        <v>1801</v>
      </c>
      <c r="I174" s="330">
        <v>1522</v>
      </c>
      <c r="J174" s="330">
        <v>0</v>
      </c>
      <c r="K174" s="330">
        <v>89.93</v>
      </c>
      <c r="L174" s="330">
        <v>86.83</v>
      </c>
      <c r="M174" s="330">
        <v>5.32</v>
      </c>
      <c r="N174" s="330">
        <v>94.6</v>
      </c>
      <c r="O174" s="333">
        <v>796</v>
      </c>
      <c r="P174" s="330">
        <v>80.38</v>
      </c>
      <c r="Q174" s="330">
        <v>76.760000000000005</v>
      </c>
      <c r="R174" s="330">
        <v>16.39</v>
      </c>
      <c r="S174" s="330">
        <v>96.77</v>
      </c>
      <c r="T174" s="333">
        <v>138</v>
      </c>
      <c r="U174" s="330">
        <v>129.80000000000001</v>
      </c>
      <c r="V174" s="333">
        <v>306</v>
      </c>
      <c r="W174" s="330">
        <v>0</v>
      </c>
      <c r="X174" s="333">
        <v>0</v>
      </c>
      <c r="Y174" s="330">
        <v>0</v>
      </c>
      <c r="Z174" s="330">
        <v>0</v>
      </c>
      <c r="AA174" s="330">
        <v>12</v>
      </c>
      <c r="AB174" s="330">
        <v>6</v>
      </c>
      <c r="AC174" s="330">
        <v>9</v>
      </c>
      <c r="AD174" s="330">
        <v>1096</v>
      </c>
      <c r="AE174" s="330">
        <v>4</v>
      </c>
      <c r="AF174" s="330">
        <v>3</v>
      </c>
      <c r="AG174" s="330">
        <v>7</v>
      </c>
    </row>
    <row r="175" spans="1:33" x14ac:dyDescent="0.3">
      <c r="A175" s="329" t="s">
        <v>406</v>
      </c>
      <c r="B175" s="329" t="s">
        <v>407</v>
      </c>
      <c r="C175" s="330">
        <v>1766</v>
      </c>
      <c r="D175" s="330">
        <v>0</v>
      </c>
      <c r="E175" s="330">
        <v>134</v>
      </c>
      <c r="F175" s="330">
        <v>210</v>
      </c>
      <c r="G175" s="330">
        <v>569</v>
      </c>
      <c r="H175" s="330">
        <v>2679</v>
      </c>
      <c r="I175" s="330">
        <v>2110</v>
      </c>
      <c r="J175" s="330">
        <v>2</v>
      </c>
      <c r="K175" s="330">
        <v>95.27</v>
      </c>
      <c r="L175" s="330">
        <v>93.44</v>
      </c>
      <c r="M175" s="330">
        <v>4.6500000000000004</v>
      </c>
      <c r="N175" s="330">
        <v>98.77</v>
      </c>
      <c r="O175" s="333">
        <v>944</v>
      </c>
      <c r="P175" s="330">
        <v>85.07</v>
      </c>
      <c r="Q175" s="330">
        <v>80.3</v>
      </c>
      <c r="R175" s="330">
        <v>43.57</v>
      </c>
      <c r="S175" s="330">
        <v>128.35</v>
      </c>
      <c r="T175" s="333">
        <v>303</v>
      </c>
      <c r="U175" s="330">
        <v>123.24</v>
      </c>
      <c r="V175" s="333">
        <v>758</v>
      </c>
      <c r="W175" s="330">
        <v>118.14</v>
      </c>
      <c r="X175" s="333">
        <v>1</v>
      </c>
      <c r="Y175" s="330">
        <v>14</v>
      </c>
      <c r="Z175" s="330">
        <v>0</v>
      </c>
      <c r="AA175" s="330">
        <v>0</v>
      </c>
      <c r="AB175" s="330">
        <v>87</v>
      </c>
      <c r="AC175" s="330">
        <v>6</v>
      </c>
      <c r="AD175" s="330">
        <v>1763</v>
      </c>
      <c r="AE175" s="330">
        <v>38</v>
      </c>
      <c r="AF175" s="330">
        <v>5</v>
      </c>
      <c r="AG175" s="330">
        <v>43</v>
      </c>
    </row>
    <row r="176" spans="1:33" x14ac:dyDescent="0.3">
      <c r="A176" s="329" t="s">
        <v>408</v>
      </c>
      <c r="B176" s="329" t="s">
        <v>409</v>
      </c>
      <c r="C176" s="330">
        <v>6487</v>
      </c>
      <c r="D176" s="330">
        <v>3</v>
      </c>
      <c r="E176" s="330">
        <v>203</v>
      </c>
      <c r="F176" s="330">
        <v>777</v>
      </c>
      <c r="G176" s="330">
        <v>817</v>
      </c>
      <c r="H176" s="330">
        <v>8287</v>
      </c>
      <c r="I176" s="330">
        <v>7470</v>
      </c>
      <c r="J176" s="330">
        <v>16</v>
      </c>
      <c r="K176" s="330">
        <v>118.83</v>
      </c>
      <c r="L176" s="330">
        <v>112.86</v>
      </c>
      <c r="M176" s="330">
        <v>6.22</v>
      </c>
      <c r="N176" s="330">
        <v>123.54</v>
      </c>
      <c r="O176" s="333">
        <v>4185</v>
      </c>
      <c r="P176" s="330">
        <v>103.23</v>
      </c>
      <c r="Q176" s="330">
        <v>95.57</v>
      </c>
      <c r="R176" s="330">
        <v>44.85</v>
      </c>
      <c r="S176" s="330">
        <v>146.72999999999999</v>
      </c>
      <c r="T176" s="333">
        <v>765</v>
      </c>
      <c r="U176" s="330">
        <v>177.3</v>
      </c>
      <c r="V176" s="333">
        <v>1885</v>
      </c>
      <c r="W176" s="330">
        <v>234.63</v>
      </c>
      <c r="X176" s="333">
        <v>6</v>
      </c>
      <c r="Y176" s="330">
        <v>52</v>
      </c>
      <c r="Z176" s="330">
        <v>2</v>
      </c>
      <c r="AA176" s="330">
        <v>2</v>
      </c>
      <c r="AB176" s="330">
        <v>71</v>
      </c>
      <c r="AC176" s="330">
        <v>14</v>
      </c>
      <c r="AD176" s="330">
        <v>6165</v>
      </c>
      <c r="AE176" s="330">
        <v>95</v>
      </c>
      <c r="AF176" s="330">
        <v>3</v>
      </c>
      <c r="AG176" s="330">
        <v>98</v>
      </c>
    </row>
    <row r="177" spans="1:33" x14ac:dyDescent="0.3">
      <c r="A177" s="329" t="s">
        <v>410</v>
      </c>
      <c r="B177" s="329" t="s">
        <v>411</v>
      </c>
      <c r="C177" s="330">
        <v>13106</v>
      </c>
      <c r="D177" s="330">
        <v>2</v>
      </c>
      <c r="E177" s="330">
        <v>619</v>
      </c>
      <c r="F177" s="330">
        <v>1364</v>
      </c>
      <c r="G177" s="330">
        <v>304</v>
      </c>
      <c r="H177" s="330">
        <v>15395</v>
      </c>
      <c r="I177" s="330">
        <v>15091</v>
      </c>
      <c r="J177" s="330">
        <v>9</v>
      </c>
      <c r="K177" s="330">
        <v>87.99</v>
      </c>
      <c r="L177" s="330">
        <v>87.86</v>
      </c>
      <c r="M177" s="330">
        <v>8.51</v>
      </c>
      <c r="N177" s="330">
        <v>90.72</v>
      </c>
      <c r="O177" s="333">
        <v>12163</v>
      </c>
      <c r="P177" s="330">
        <v>91.27</v>
      </c>
      <c r="Q177" s="330">
        <v>83.99</v>
      </c>
      <c r="R177" s="330">
        <v>66.58</v>
      </c>
      <c r="S177" s="330">
        <v>142.94</v>
      </c>
      <c r="T177" s="333">
        <v>1800</v>
      </c>
      <c r="U177" s="330">
        <v>102.53</v>
      </c>
      <c r="V177" s="333">
        <v>849</v>
      </c>
      <c r="W177" s="330">
        <v>161.54</v>
      </c>
      <c r="X177" s="333">
        <v>101</v>
      </c>
      <c r="Y177" s="330">
        <v>634</v>
      </c>
      <c r="Z177" s="330">
        <v>62</v>
      </c>
      <c r="AA177" s="330">
        <v>6</v>
      </c>
      <c r="AB177" s="330">
        <v>7</v>
      </c>
      <c r="AC177" s="330">
        <v>3</v>
      </c>
      <c r="AD177" s="330">
        <v>13076</v>
      </c>
      <c r="AE177" s="330">
        <v>69</v>
      </c>
      <c r="AF177" s="330">
        <v>334</v>
      </c>
      <c r="AG177" s="330">
        <v>403</v>
      </c>
    </row>
    <row r="178" spans="1:33" x14ac:dyDescent="0.3">
      <c r="A178" s="329" t="s">
        <v>412</v>
      </c>
      <c r="B178" s="329" t="s">
        <v>413</v>
      </c>
      <c r="C178" s="330">
        <v>9000</v>
      </c>
      <c r="D178" s="330">
        <v>161</v>
      </c>
      <c r="E178" s="330">
        <v>618</v>
      </c>
      <c r="F178" s="330">
        <v>585</v>
      </c>
      <c r="G178" s="330">
        <v>5993</v>
      </c>
      <c r="H178" s="330">
        <v>16357</v>
      </c>
      <c r="I178" s="330">
        <v>10364</v>
      </c>
      <c r="J178" s="330">
        <v>8</v>
      </c>
      <c r="K178" s="330">
        <v>101.77</v>
      </c>
      <c r="L178" s="330">
        <v>98.9</v>
      </c>
      <c r="M178" s="330">
        <v>7.1</v>
      </c>
      <c r="N178" s="330">
        <v>106.58</v>
      </c>
      <c r="O178" s="333">
        <v>6522</v>
      </c>
      <c r="P178" s="330">
        <v>108.47</v>
      </c>
      <c r="Q178" s="330">
        <v>96.56</v>
      </c>
      <c r="R178" s="330">
        <v>46.59</v>
      </c>
      <c r="S178" s="330">
        <v>153.63999999999999</v>
      </c>
      <c r="T178" s="333">
        <v>886</v>
      </c>
      <c r="U178" s="330">
        <v>157.46</v>
      </c>
      <c r="V178" s="333">
        <v>1781</v>
      </c>
      <c r="W178" s="330">
        <v>211.01</v>
      </c>
      <c r="X178" s="333">
        <v>210</v>
      </c>
      <c r="Y178" s="330">
        <v>235</v>
      </c>
      <c r="Z178" s="330">
        <v>0</v>
      </c>
      <c r="AA178" s="330">
        <v>52</v>
      </c>
      <c r="AB178" s="330">
        <v>323</v>
      </c>
      <c r="AC178" s="330">
        <v>90</v>
      </c>
      <c r="AD178" s="330">
        <v>8725</v>
      </c>
      <c r="AE178" s="330">
        <v>113</v>
      </c>
      <c r="AF178" s="330">
        <v>34</v>
      </c>
      <c r="AG178" s="330">
        <v>147</v>
      </c>
    </row>
    <row r="179" spans="1:33" x14ac:dyDescent="0.3">
      <c r="A179" s="329" t="s">
        <v>414</v>
      </c>
      <c r="B179" s="329" t="s">
        <v>415</v>
      </c>
      <c r="C179" s="330">
        <v>3535</v>
      </c>
      <c r="D179" s="330">
        <v>11</v>
      </c>
      <c r="E179" s="330">
        <v>241</v>
      </c>
      <c r="F179" s="330">
        <v>629</v>
      </c>
      <c r="G179" s="330">
        <v>302</v>
      </c>
      <c r="H179" s="330">
        <v>4718</v>
      </c>
      <c r="I179" s="330">
        <v>4416</v>
      </c>
      <c r="J179" s="330">
        <v>1</v>
      </c>
      <c r="K179" s="330">
        <v>115.41</v>
      </c>
      <c r="L179" s="330">
        <v>117.32</v>
      </c>
      <c r="M179" s="330">
        <v>6.24</v>
      </c>
      <c r="N179" s="330">
        <v>120.09</v>
      </c>
      <c r="O179" s="333">
        <v>3014</v>
      </c>
      <c r="P179" s="330">
        <v>104.23</v>
      </c>
      <c r="Q179" s="330">
        <v>97.8</v>
      </c>
      <c r="R179" s="330">
        <v>46.13</v>
      </c>
      <c r="S179" s="330">
        <v>147.51</v>
      </c>
      <c r="T179" s="333">
        <v>695</v>
      </c>
      <c r="U179" s="330">
        <v>168.35</v>
      </c>
      <c r="V179" s="333">
        <v>490</v>
      </c>
      <c r="W179" s="330">
        <v>0</v>
      </c>
      <c r="X179" s="333">
        <v>0</v>
      </c>
      <c r="Y179" s="330">
        <v>0</v>
      </c>
      <c r="Z179" s="330">
        <v>5</v>
      </c>
      <c r="AA179" s="330">
        <v>1</v>
      </c>
      <c r="AB179" s="330">
        <v>1</v>
      </c>
      <c r="AC179" s="330">
        <v>14</v>
      </c>
      <c r="AD179" s="330">
        <v>3529</v>
      </c>
      <c r="AE179" s="330">
        <v>85</v>
      </c>
      <c r="AF179" s="330">
        <v>0</v>
      </c>
      <c r="AG179" s="330">
        <v>85</v>
      </c>
    </row>
    <row r="180" spans="1:33" x14ac:dyDescent="0.3">
      <c r="A180" s="329" t="s">
        <v>416</v>
      </c>
      <c r="B180" s="329" t="s">
        <v>417</v>
      </c>
      <c r="C180" s="330">
        <v>2868</v>
      </c>
      <c r="D180" s="330">
        <v>8</v>
      </c>
      <c r="E180" s="330">
        <v>181</v>
      </c>
      <c r="F180" s="330">
        <v>412</v>
      </c>
      <c r="G180" s="330">
        <v>408</v>
      </c>
      <c r="H180" s="330">
        <v>3877</v>
      </c>
      <c r="I180" s="330">
        <v>3469</v>
      </c>
      <c r="J180" s="330">
        <v>1</v>
      </c>
      <c r="K180" s="330">
        <v>115.16</v>
      </c>
      <c r="L180" s="330">
        <v>111.53</v>
      </c>
      <c r="M180" s="330">
        <v>4.0999999999999996</v>
      </c>
      <c r="N180" s="330">
        <v>118.07</v>
      </c>
      <c r="O180" s="333">
        <v>2389</v>
      </c>
      <c r="P180" s="330">
        <v>105.37</v>
      </c>
      <c r="Q180" s="330">
        <v>90.98</v>
      </c>
      <c r="R180" s="330">
        <v>38.799999999999997</v>
      </c>
      <c r="S180" s="330">
        <v>142.91999999999999</v>
      </c>
      <c r="T180" s="333">
        <v>463</v>
      </c>
      <c r="U180" s="330">
        <v>150.52000000000001</v>
      </c>
      <c r="V180" s="333">
        <v>317</v>
      </c>
      <c r="W180" s="330">
        <v>144.66</v>
      </c>
      <c r="X180" s="333">
        <v>4</v>
      </c>
      <c r="Y180" s="330">
        <v>0</v>
      </c>
      <c r="Z180" s="330">
        <v>0</v>
      </c>
      <c r="AA180" s="330">
        <v>1</v>
      </c>
      <c r="AB180" s="330">
        <v>27</v>
      </c>
      <c r="AC180" s="330">
        <v>14</v>
      </c>
      <c r="AD180" s="330">
        <v>2776</v>
      </c>
      <c r="AE180" s="330">
        <v>8</v>
      </c>
      <c r="AF180" s="330">
        <v>12</v>
      </c>
      <c r="AG180" s="330">
        <v>20</v>
      </c>
    </row>
    <row r="181" spans="1:33" x14ac:dyDescent="0.3">
      <c r="A181" s="329" t="s">
        <v>418</v>
      </c>
      <c r="B181" s="329" t="s">
        <v>419</v>
      </c>
      <c r="C181" s="330">
        <v>2061</v>
      </c>
      <c r="D181" s="330">
        <v>0</v>
      </c>
      <c r="E181" s="330">
        <v>326</v>
      </c>
      <c r="F181" s="330">
        <v>264</v>
      </c>
      <c r="G181" s="330">
        <v>396</v>
      </c>
      <c r="H181" s="330">
        <v>3047</v>
      </c>
      <c r="I181" s="330">
        <v>2651</v>
      </c>
      <c r="J181" s="330">
        <v>1</v>
      </c>
      <c r="K181" s="330">
        <v>89.26</v>
      </c>
      <c r="L181" s="330">
        <v>86.06</v>
      </c>
      <c r="M181" s="330">
        <v>4.79</v>
      </c>
      <c r="N181" s="330">
        <v>91.97</v>
      </c>
      <c r="O181" s="333">
        <v>1562</v>
      </c>
      <c r="P181" s="330">
        <v>110.03</v>
      </c>
      <c r="Q181" s="330">
        <v>79.17</v>
      </c>
      <c r="R181" s="330">
        <v>72.19</v>
      </c>
      <c r="S181" s="330">
        <v>182.06</v>
      </c>
      <c r="T181" s="333">
        <v>439</v>
      </c>
      <c r="U181" s="330">
        <v>101.38</v>
      </c>
      <c r="V181" s="333">
        <v>413</v>
      </c>
      <c r="W181" s="330">
        <v>163.95</v>
      </c>
      <c r="X181" s="333">
        <v>5</v>
      </c>
      <c r="Y181" s="330">
        <v>0</v>
      </c>
      <c r="Z181" s="330">
        <v>0</v>
      </c>
      <c r="AA181" s="330">
        <v>5</v>
      </c>
      <c r="AB181" s="330">
        <v>24</v>
      </c>
      <c r="AC181" s="330">
        <v>9</v>
      </c>
      <c r="AD181" s="330">
        <v>2061</v>
      </c>
      <c r="AE181" s="330">
        <v>21</v>
      </c>
      <c r="AF181" s="330">
        <v>40</v>
      </c>
      <c r="AG181" s="330">
        <v>61</v>
      </c>
    </row>
    <row r="182" spans="1:33" x14ac:dyDescent="0.3">
      <c r="A182" s="329" t="s">
        <v>420</v>
      </c>
      <c r="B182" s="329" t="s">
        <v>421</v>
      </c>
      <c r="C182" s="330">
        <v>7323</v>
      </c>
      <c r="D182" s="330">
        <v>137</v>
      </c>
      <c r="E182" s="330">
        <v>1502</v>
      </c>
      <c r="F182" s="330">
        <v>1615</v>
      </c>
      <c r="G182" s="330">
        <v>412</v>
      </c>
      <c r="H182" s="330">
        <v>10989</v>
      </c>
      <c r="I182" s="330">
        <v>10577</v>
      </c>
      <c r="J182" s="330">
        <v>0</v>
      </c>
      <c r="K182" s="330">
        <v>80.09</v>
      </c>
      <c r="L182" s="330">
        <v>78.08</v>
      </c>
      <c r="M182" s="330">
        <v>9.94</v>
      </c>
      <c r="N182" s="330">
        <v>88.25</v>
      </c>
      <c r="O182" s="333">
        <v>5650</v>
      </c>
      <c r="P182" s="330">
        <v>87.61</v>
      </c>
      <c r="Q182" s="330">
        <v>74.41</v>
      </c>
      <c r="R182" s="330">
        <v>66.37</v>
      </c>
      <c r="S182" s="330">
        <v>152.36000000000001</v>
      </c>
      <c r="T182" s="333">
        <v>2306</v>
      </c>
      <c r="U182" s="330">
        <v>104.73</v>
      </c>
      <c r="V182" s="333">
        <v>1274</v>
      </c>
      <c r="W182" s="330">
        <v>206.04</v>
      </c>
      <c r="X182" s="333">
        <v>361</v>
      </c>
      <c r="Y182" s="330">
        <v>0</v>
      </c>
      <c r="Z182" s="330">
        <v>10</v>
      </c>
      <c r="AA182" s="330">
        <v>2</v>
      </c>
      <c r="AB182" s="330">
        <v>14</v>
      </c>
      <c r="AC182" s="330">
        <v>17</v>
      </c>
      <c r="AD182" s="330">
        <v>6751</v>
      </c>
      <c r="AE182" s="330">
        <v>69</v>
      </c>
      <c r="AF182" s="330">
        <v>52</v>
      </c>
      <c r="AG182" s="330">
        <v>121</v>
      </c>
    </row>
    <row r="183" spans="1:33" x14ac:dyDescent="0.3">
      <c r="A183" s="329" t="s">
        <v>422</v>
      </c>
      <c r="B183" s="329" t="s">
        <v>423</v>
      </c>
      <c r="C183" s="330">
        <v>8687</v>
      </c>
      <c r="D183" s="330">
        <v>0</v>
      </c>
      <c r="E183" s="330">
        <v>120</v>
      </c>
      <c r="F183" s="330">
        <v>828</v>
      </c>
      <c r="G183" s="330">
        <v>274</v>
      </c>
      <c r="H183" s="330">
        <v>9909</v>
      </c>
      <c r="I183" s="330">
        <v>9635</v>
      </c>
      <c r="J183" s="330">
        <v>35</v>
      </c>
      <c r="K183" s="330">
        <v>79.62</v>
      </c>
      <c r="L183" s="330">
        <v>80.89</v>
      </c>
      <c r="M183" s="330">
        <v>4.55</v>
      </c>
      <c r="N183" s="330">
        <v>83.95</v>
      </c>
      <c r="O183" s="333">
        <v>8030</v>
      </c>
      <c r="P183" s="330">
        <v>81.92</v>
      </c>
      <c r="Q183" s="330">
        <v>77.959999999999994</v>
      </c>
      <c r="R183" s="330">
        <v>29.26</v>
      </c>
      <c r="S183" s="330">
        <v>111.18</v>
      </c>
      <c r="T183" s="333">
        <v>794</v>
      </c>
      <c r="U183" s="330">
        <v>99.65</v>
      </c>
      <c r="V183" s="333">
        <v>552</v>
      </c>
      <c r="W183" s="330">
        <v>256.68</v>
      </c>
      <c r="X183" s="333">
        <v>70</v>
      </c>
      <c r="Y183" s="330">
        <v>0</v>
      </c>
      <c r="Z183" s="330">
        <v>17</v>
      </c>
      <c r="AA183" s="330">
        <v>17</v>
      </c>
      <c r="AB183" s="330">
        <v>29</v>
      </c>
      <c r="AC183" s="330">
        <v>3</v>
      </c>
      <c r="AD183" s="330">
        <v>8687</v>
      </c>
      <c r="AE183" s="330">
        <v>108</v>
      </c>
      <c r="AF183" s="330">
        <v>50</v>
      </c>
      <c r="AG183" s="330">
        <v>158</v>
      </c>
    </row>
    <row r="184" spans="1:33" x14ac:dyDescent="0.3">
      <c r="A184" s="329" t="s">
        <v>424</v>
      </c>
      <c r="B184" s="329" t="s">
        <v>425</v>
      </c>
      <c r="C184" s="330">
        <v>12888</v>
      </c>
      <c r="D184" s="330">
        <v>22</v>
      </c>
      <c r="E184" s="330">
        <v>915</v>
      </c>
      <c r="F184" s="330">
        <v>917</v>
      </c>
      <c r="G184" s="330">
        <v>2825</v>
      </c>
      <c r="H184" s="330">
        <v>17567</v>
      </c>
      <c r="I184" s="330">
        <v>14742</v>
      </c>
      <c r="J184" s="330">
        <v>129</v>
      </c>
      <c r="K184" s="330">
        <v>122.52</v>
      </c>
      <c r="L184" s="330">
        <v>123.14</v>
      </c>
      <c r="M184" s="330">
        <v>11.75</v>
      </c>
      <c r="N184" s="330">
        <v>130.09</v>
      </c>
      <c r="O184" s="333">
        <v>9524</v>
      </c>
      <c r="P184" s="330">
        <v>106.63</v>
      </c>
      <c r="Q184" s="330">
        <v>99.16</v>
      </c>
      <c r="R184" s="330">
        <v>63.96</v>
      </c>
      <c r="S184" s="330">
        <v>168.01</v>
      </c>
      <c r="T184" s="333">
        <v>1561</v>
      </c>
      <c r="U184" s="330">
        <v>213.12</v>
      </c>
      <c r="V184" s="333">
        <v>1524</v>
      </c>
      <c r="W184" s="330">
        <v>200.11</v>
      </c>
      <c r="X184" s="333">
        <v>53</v>
      </c>
      <c r="Y184" s="330">
        <v>0</v>
      </c>
      <c r="Z184" s="330">
        <v>10</v>
      </c>
      <c r="AA184" s="330">
        <v>2</v>
      </c>
      <c r="AB184" s="330">
        <v>218</v>
      </c>
      <c r="AC184" s="330">
        <v>116</v>
      </c>
      <c r="AD184" s="330">
        <v>12269</v>
      </c>
      <c r="AE184" s="330">
        <v>505</v>
      </c>
      <c r="AF184" s="330">
        <v>37</v>
      </c>
      <c r="AG184" s="330">
        <v>542</v>
      </c>
    </row>
    <row r="185" spans="1:33" x14ac:dyDescent="0.3">
      <c r="A185" s="329" t="s">
        <v>426</v>
      </c>
      <c r="B185" s="329" t="s">
        <v>427</v>
      </c>
      <c r="C185" s="330">
        <v>4086</v>
      </c>
      <c r="D185" s="330">
        <v>0</v>
      </c>
      <c r="E185" s="330">
        <v>73</v>
      </c>
      <c r="F185" s="330">
        <v>795</v>
      </c>
      <c r="G185" s="330">
        <v>445</v>
      </c>
      <c r="H185" s="330">
        <v>5399</v>
      </c>
      <c r="I185" s="330">
        <v>4954</v>
      </c>
      <c r="J185" s="330">
        <v>3</v>
      </c>
      <c r="K185" s="330">
        <v>87.51</v>
      </c>
      <c r="L185" s="330">
        <v>86.82</v>
      </c>
      <c r="M185" s="330">
        <v>3.97</v>
      </c>
      <c r="N185" s="330">
        <v>90.2</v>
      </c>
      <c r="O185" s="333">
        <v>3529</v>
      </c>
      <c r="P185" s="330">
        <v>78</v>
      </c>
      <c r="Q185" s="330">
        <v>76.17</v>
      </c>
      <c r="R185" s="330">
        <v>22.82</v>
      </c>
      <c r="S185" s="330">
        <v>100.76</v>
      </c>
      <c r="T185" s="333">
        <v>758</v>
      </c>
      <c r="U185" s="330">
        <v>118.28</v>
      </c>
      <c r="V185" s="333">
        <v>488</v>
      </c>
      <c r="W185" s="330">
        <v>135.83000000000001</v>
      </c>
      <c r="X185" s="333">
        <v>31</v>
      </c>
      <c r="Y185" s="330">
        <v>37</v>
      </c>
      <c r="Z185" s="330">
        <v>7</v>
      </c>
      <c r="AA185" s="330">
        <v>3</v>
      </c>
      <c r="AB185" s="330">
        <v>36</v>
      </c>
      <c r="AC185" s="330">
        <v>12</v>
      </c>
      <c r="AD185" s="330">
        <v>4049</v>
      </c>
      <c r="AE185" s="330">
        <v>9</v>
      </c>
      <c r="AF185" s="330">
        <v>29</v>
      </c>
      <c r="AG185" s="330">
        <v>38</v>
      </c>
    </row>
    <row r="186" spans="1:33" x14ac:dyDescent="0.3">
      <c r="A186" s="329" t="s">
        <v>428</v>
      </c>
      <c r="B186" s="329" t="s">
        <v>429</v>
      </c>
      <c r="C186" s="330">
        <v>937</v>
      </c>
      <c r="D186" s="330">
        <v>1</v>
      </c>
      <c r="E186" s="330">
        <v>90</v>
      </c>
      <c r="F186" s="330">
        <v>117</v>
      </c>
      <c r="G186" s="330">
        <v>258</v>
      </c>
      <c r="H186" s="330">
        <v>1403</v>
      </c>
      <c r="I186" s="330">
        <v>1145</v>
      </c>
      <c r="J186" s="330">
        <v>2</v>
      </c>
      <c r="K186" s="330">
        <v>92.47</v>
      </c>
      <c r="L186" s="330">
        <v>90.57</v>
      </c>
      <c r="M186" s="330">
        <v>3.19</v>
      </c>
      <c r="N186" s="330">
        <v>93.92</v>
      </c>
      <c r="O186" s="333">
        <v>538</v>
      </c>
      <c r="P186" s="330">
        <v>107.68</v>
      </c>
      <c r="Q186" s="330">
        <v>88.8</v>
      </c>
      <c r="R186" s="330">
        <v>41.06</v>
      </c>
      <c r="S186" s="330">
        <v>146.74</v>
      </c>
      <c r="T186" s="333">
        <v>205</v>
      </c>
      <c r="U186" s="330">
        <v>106.28</v>
      </c>
      <c r="V186" s="333">
        <v>375</v>
      </c>
      <c r="W186" s="330">
        <v>0</v>
      </c>
      <c r="X186" s="333">
        <v>0</v>
      </c>
      <c r="Y186" s="330">
        <v>0</v>
      </c>
      <c r="Z186" s="330">
        <v>1</v>
      </c>
      <c r="AA186" s="330">
        <v>0</v>
      </c>
      <c r="AB186" s="330">
        <v>49</v>
      </c>
      <c r="AC186" s="330">
        <v>6</v>
      </c>
      <c r="AD186" s="330">
        <v>750</v>
      </c>
      <c r="AE186" s="330">
        <v>2</v>
      </c>
      <c r="AF186" s="330">
        <v>2</v>
      </c>
      <c r="AG186" s="330">
        <v>4</v>
      </c>
    </row>
    <row r="187" spans="1:33" x14ac:dyDescent="0.3">
      <c r="A187" s="329" t="s">
        <v>430</v>
      </c>
      <c r="B187" s="329" t="s">
        <v>431</v>
      </c>
      <c r="C187" s="330">
        <v>7924</v>
      </c>
      <c r="D187" s="330">
        <v>0</v>
      </c>
      <c r="E187" s="330">
        <v>548</v>
      </c>
      <c r="F187" s="330">
        <v>1096</v>
      </c>
      <c r="G187" s="330">
        <v>247</v>
      </c>
      <c r="H187" s="330">
        <v>9815</v>
      </c>
      <c r="I187" s="330">
        <v>9568</v>
      </c>
      <c r="J187" s="330">
        <v>73</v>
      </c>
      <c r="K187" s="330">
        <v>80.680000000000007</v>
      </c>
      <c r="L187" s="330">
        <v>79.69</v>
      </c>
      <c r="M187" s="330">
        <v>2.84</v>
      </c>
      <c r="N187" s="330">
        <v>82.76</v>
      </c>
      <c r="O187" s="333">
        <v>7841</v>
      </c>
      <c r="P187" s="330">
        <v>98.5</v>
      </c>
      <c r="Q187" s="330">
        <v>69.75</v>
      </c>
      <c r="R187" s="330">
        <v>37.770000000000003</v>
      </c>
      <c r="S187" s="330">
        <v>131.41999999999999</v>
      </c>
      <c r="T187" s="333">
        <v>1386</v>
      </c>
      <c r="U187" s="330">
        <v>95.6</v>
      </c>
      <c r="V187" s="333">
        <v>61</v>
      </c>
      <c r="W187" s="330">
        <v>281.77999999999997</v>
      </c>
      <c r="X187" s="333">
        <v>60</v>
      </c>
      <c r="Y187" s="330">
        <v>0</v>
      </c>
      <c r="Z187" s="330">
        <v>18</v>
      </c>
      <c r="AA187" s="330">
        <v>1</v>
      </c>
      <c r="AB187" s="330">
        <v>3</v>
      </c>
      <c r="AC187" s="330">
        <v>5</v>
      </c>
      <c r="AD187" s="330">
        <v>7922</v>
      </c>
      <c r="AE187" s="330">
        <v>61</v>
      </c>
      <c r="AF187" s="330">
        <v>46</v>
      </c>
      <c r="AG187" s="330">
        <v>107</v>
      </c>
    </row>
    <row r="188" spans="1:33" x14ac:dyDescent="0.3">
      <c r="A188" s="329" t="s">
        <v>432</v>
      </c>
      <c r="B188" s="329" t="s">
        <v>433</v>
      </c>
      <c r="C188" s="330">
        <v>9491</v>
      </c>
      <c r="D188" s="330">
        <v>5</v>
      </c>
      <c r="E188" s="330">
        <v>222</v>
      </c>
      <c r="F188" s="330">
        <v>1024</v>
      </c>
      <c r="G188" s="330">
        <v>611</v>
      </c>
      <c r="H188" s="330">
        <v>11353</v>
      </c>
      <c r="I188" s="330">
        <v>10742</v>
      </c>
      <c r="J188" s="330">
        <v>1</v>
      </c>
      <c r="K188" s="330">
        <v>112.17</v>
      </c>
      <c r="L188" s="330">
        <v>118.15</v>
      </c>
      <c r="M188" s="330">
        <v>5.4</v>
      </c>
      <c r="N188" s="330">
        <v>113.89</v>
      </c>
      <c r="O188" s="333">
        <v>9066</v>
      </c>
      <c r="P188" s="330">
        <v>101.4</v>
      </c>
      <c r="Q188" s="330">
        <v>100.14</v>
      </c>
      <c r="R188" s="330">
        <v>27.15</v>
      </c>
      <c r="S188" s="330">
        <v>128.32</v>
      </c>
      <c r="T188" s="333">
        <v>1208</v>
      </c>
      <c r="U188" s="330">
        <v>152.4</v>
      </c>
      <c r="V188" s="333">
        <v>363</v>
      </c>
      <c r="W188" s="330">
        <v>0</v>
      </c>
      <c r="X188" s="333">
        <v>0</v>
      </c>
      <c r="Y188" s="330">
        <v>0</v>
      </c>
      <c r="Z188" s="330">
        <v>19</v>
      </c>
      <c r="AA188" s="330">
        <v>3</v>
      </c>
      <c r="AB188" s="330">
        <v>25</v>
      </c>
      <c r="AC188" s="330">
        <v>15</v>
      </c>
      <c r="AD188" s="330">
        <v>9450</v>
      </c>
      <c r="AE188" s="330">
        <v>66</v>
      </c>
      <c r="AF188" s="330">
        <v>13</v>
      </c>
      <c r="AG188" s="330">
        <v>79</v>
      </c>
    </row>
    <row r="189" spans="1:33" x14ac:dyDescent="0.3">
      <c r="A189" s="329" t="s">
        <v>434</v>
      </c>
      <c r="B189" s="329" t="s">
        <v>435</v>
      </c>
      <c r="C189" s="330">
        <v>1225</v>
      </c>
      <c r="D189" s="330">
        <v>0</v>
      </c>
      <c r="E189" s="330">
        <v>146</v>
      </c>
      <c r="F189" s="330">
        <v>98</v>
      </c>
      <c r="G189" s="330">
        <v>508</v>
      </c>
      <c r="H189" s="330">
        <v>1977</v>
      </c>
      <c r="I189" s="330">
        <v>1469</v>
      </c>
      <c r="J189" s="330">
        <v>4</v>
      </c>
      <c r="K189" s="330">
        <v>90.12</v>
      </c>
      <c r="L189" s="330">
        <v>88.29</v>
      </c>
      <c r="M189" s="330">
        <v>5.07</v>
      </c>
      <c r="N189" s="330">
        <v>94.26</v>
      </c>
      <c r="O189" s="333">
        <v>749</v>
      </c>
      <c r="P189" s="330">
        <v>115.84</v>
      </c>
      <c r="Q189" s="330">
        <v>80.66</v>
      </c>
      <c r="R189" s="330">
        <v>71.319999999999993</v>
      </c>
      <c r="S189" s="330">
        <v>187.17</v>
      </c>
      <c r="T189" s="333">
        <v>230</v>
      </c>
      <c r="U189" s="330">
        <v>106.49</v>
      </c>
      <c r="V189" s="333">
        <v>351</v>
      </c>
      <c r="W189" s="330">
        <v>119.09</v>
      </c>
      <c r="X189" s="333">
        <v>1</v>
      </c>
      <c r="Y189" s="330">
        <v>14</v>
      </c>
      <c r="Z189" s="330">
        <v>1</v>
      </c>
      <c r="AA189" s="330">
        <v>0</v>
      </c>
      <c r="AB189" s="330">
        <v>36</v>
      </c>
      <c r="AC189" s="330">
        <v>5</v>
      </c>
      <c r="AD189" s="330">
        <v>1142</v>
      </c>
      <c r="AE189" s="330">
        <v>6</v>
      </c>
      <c r="AF189" s="330">
        <v>5</v>
      </c>
      <c r="AG189" s="330">
        <v>11</v>
      </c>
    </row>
    <row r="190" spans="1:33" x14ac:dyDescent="0.3">
      <c r="A190" s="329" t="s">
        <v>436</v>
      </c>
      <c r="B190" s="329" t="s">
        <v>437</v>
      </c>
      <c r="C190" s="330">
        <v>11025</v>
      </c>
      <c r="D190" s="330">
        <v>2</v>
      </c>
      <c r="E190" s="330">
        <v>274</v>
      </c>
      <c r="F190" s="330">
        <v>308</v>
      </c>
      <c r="G190" s="330">
        <v>80</v>
      </c>
      <c r="H190" s="330">
        <v>11689</v>
      </c>
      <c r="I190" s="330">
        <v>11609</v>
      </c>
      <c r="J190" s="330">
        <v>1</v>
      </c>
      <c r="K190" s="330">
        <v>81.61</v>
      </c>
      <c r="L190" s="330">
        <v>81.38</v>
      </c>
      <c r="M190" s="330">
        <v>3.48</v>
      </c>
      <c r="N190" s="330">
        <v>83.52</v>
      </c>
      <c r="O190" s="333">
        <v>10266</v>
      </c>
      <c r="P190" s="330">
        <v>103.62</v>
      </c>
      <c r="Q190" s="330">
        <v>80.19</v>
      </c>
      <c r="R190" s="330">
        <v>62.39</v>
      </c>
      <c r="S190" s="330">
        <v>160.04</v>
      </c>
      <c r="T190" s="333">
        <v>481</v>
      </c>
      <c r="U190" s="330">
        <v>102.51</v>
      </c>
      <c r="V190" s="333">
        <v>677</v>
      </c>
      <c r="W190" s="330">
        <v>210.26</v>
      </c>
      <c r="X190" s="333">
        <v>73</v>
      </c>
      <c r="Y190" s="330">
        <v>0</v>
      </c>
      <c r="Z190" s="330">
        <v>41</v>
      </c>
      <c r="AA190" s="330">
        <v>7</v>
      </c>
      <c r="AB190" s="330">
        <v>0</v>
      </c>
      <c r="AC190" s="330">
        <v>0</v>
      </c>
      <c r="AD190" s="330">
        <v>10986</v>
      </c>
      <c r="AE190" s="330">
        <v>107</v>
      </c>
      <c r="AF190" s="330">
        <v>18</v>
      </c>
      <c r="AG190" s="330">
        <v>125</v>
      </c>
    </row>
    <row r="191" spans="1:33" x14ac:dyDescent="0.3">
      <c r="A191" s="329" t="s">
        <v>438</v>
      </c>
      <c r="B191" s="329" t="s">
        <v>439</v>
      </c>
      <c r="C191" s="330">
        <v>5445</v>
      </c>
      <c r="D191" s="330">
        <v>0</v>
      </c>
      <c r="E191" s="330">
        <v>139</v>
      </c>
      <c r="F191" s="330">
        <v>675</v>
      </c>
      <c r="G191" s="330">
        <v>299</v>
      </c>
      <c r="H191" s="330">
        <v>6558</v>
      </c>
      <c r="I191" s="330">
        <v>6259</v>
      </c>
      <c r="J191" s="330">
        <v>0</v>
      </c>
      <c r="K191" s="330">
        <v>90.38</v>
      </c>
      <c r="L191" s="330">
        <v>89.41</v>
      </c>
      <c r="M191" s="330">
        <v>2.75</v>
      </c>
      <c r="N191" s="330">
        <v>92.39</v>
      </c>
      <c r="O191" s="333">
        <v>4675</v>
      </c>
      <c r="P191" s="330">
        <v>91.47</v>
      </c>
      <c r="Q191" s="330">
        <v>79.92</v>
      </c>
      <c r="R191" s="330">
        <v>26.29</v>
      </c>
      <c r="S191" s="330">
        <v>117.76</v>
      </c>
      <c r="T191" s="333">
        <v>792</v>
      </c>
      <c r="U191" s="330">
        <v>110.63</v>
      </c>
      <c r="V191" s="333">
        <v>742</v>
      </c>
      <c r="W191" s="330">
        <v>96.89</v>
      </c>
      <c r="X191" s="333">
        <v>9</v>
      </c>
      <c r="Y191" s="330">
        <v>1</v>
      </c>
      <c r="Z191" s="330">
        <v>19</v>
      </c>
      <c r="AA191" s="330">
        <v>46</v>
      </c>
      <c r="AB191" s="330">
        <v>81</v>
      </c>
      <c r="AC191" s="330">
        <v>7</v>
      </c>
      <c r="AD191" s="330">
        <v>5423</v>
      </c>
      <c r="AE191" s="330">
        <v>16</v>
      </c>
      <c r="AF191" s="330">
        <v>35</v>
      </c>
      <c r="AG191" s="330">
        <v>51</v>
      </c>
    </row>
    <row r="192" spans="1:33" x14ac:dyDescent="0.3">
      <c r="A192" s="329" t="s">
        <v>799</v>
      </c>
      <c r="B192" s="329" t="s">
        <v>797</v>
      </c>
      <c r="C192" s="330">
        <v>14190</v>
      </c>
      <c r="D192" s="330">
        <v>215</v>
      </c>
      <c r="E192" s="330">
        <v>754</v>
      </c>
      <c r="F192" s="330">
        <v>992</v>
      </c>
      <c r="G192" s="330">
        <v>1639</v>
      </c>
      <c r="H192" s="330">
        <v>17790</v>
      </c>
      <c r="I192" s="330">
        <v>16151</v>
      </c>
      <c r="J192" s="330">
        <v>4</v>
      </c>
      <c r="K192" s="330">
        <v>92.91</v>
      </c>
      <c r="L192" s="330">
        <v>91.2</v>
      </c>
      <c r="M192" s="330">
        <v>6.97</v>
      </c>
      <c r="N192" s="330">
        <v>96.17</v>
      </c>
      <c r="O192" s="333">
        <v>11928</v>
      </c>
      <c r="P192" s="330">
        <v>92.79</v>
      </c>
      <c r="Q192" s="330">
        <v>79.75</v>
      </c>
      <c r="R192" s="330">
        <v>49.56</v>
      </c>
      <c r="S192" s="330">
        <v>139.54</v>
      </c>
      <c r="T192" s="333">
        <v>1635</v>
      </c>
      <c r="U192" s="330">
        <v>113.02</v>
      </c>
      <c r="V192" s="333">
        <v>1852</v>
      </c>
      <c r="W192" s="330">
        <v>161.02000000000001</v>
      </c>
      <c r="X192" s="333">
        <v>7</v>
      </c>
      <c r="Y192" s="330">
        <v>1</v>
      </c>
      <c r="Z192" s="330">
        <v>34</v>
      </c>
      <c r="AA192" s="330">
        <v>6</v>
      </c>
      <c r="AB192" s="330">
        <v>70</v>
      </c>
      <c r="AC192" s="330">
        <v>45</v>
      </c>
      <c r="AD192" s="330">
        <v>14101</v>
      </c>
      <c r="AE192" s="330">
        <v>146</v>
      </c>
      <c r="AF192" s="330">
        <v>82</v>
      </c>
      <c r="AG192" s="330">
        <v>228</v>
      </c>
    </row>
    <row r="193" spans="1:33" x14ac:dyDescent="0.3">
      <c r="A193" s="329" t="s">
        <v>440</v>
      </c>
      <c r="B193" s="329" t="s">
        <v>441</v>
      </c>
      <c r="C193" s="330">
        <v>8544</v>
      </c>
      <c r="D193" s="330">
        <v>66</v>
      </c>
      <c r="E193" s="330">
        <v>380</v>
      </c>
      <c r="F193" s="330">
        <v>651</v>
      </c>
      <c r="G193" s="330">
        <v>650</v>
      </c>
      <c r="H193" s="330">
        <v>10291</v>
      </c>
      <c r="I193" s="330">
        <v>9641</v>
      </c>
      <c r="J193" s="330">
        <v>67</v>
      </c>
      <c r="K193" s="330">
        <v>96.91</v>
      </c>
      <c r="L193" s="330">
        <v>96.72</v>
      </c>
      <c r="M193" s="330">
        <v>5.21</v>
      </c>
      <c r="N193" s="330">
        <v>101.96</v>
      </c>
      <c r="O193" s="333">
        <v>7487</v>
      </c>
      <c r="P193" s="330">
        <v>109.23</v>
      </c>
      <c r="Q193" s="330">
        <v>92.44</v>
      </c>
      <c r="R193" s="330">
        <v>74.55</v>
      </c>
      <c r="S193" s="330">
        <v>181.7</v>
      </c>
      <c r="T193" s="333">
        <v>861</v>
      </c>
      <c r="U193" s="330">
        <v>131.93</v>
      </c>
      <c r="V193" s="333">
        <v>928</v>
      </c>
      <c r="W193" s="330">
        <v>127.38</v>
      </c>
      <c r="X193" s="333">
        <v>40</v>
      </c>
      <c r="Y193" s="330">
        <v>0</v>
      </c>
      <c r="Z193" s="330">
        <v>11</v>
      </c>
      <c r="AA193" s="330">
        <v>12</v>
      </c>
      <c r="AB193" s="330">
        <v>70</v>
      </c>
      <c r="AC193" s="330">
        <v>17</v>
      </c>
      <c r="AD193" s="330">
        <v>8422</v>
      </c>
      <c r="AE193" s="330">
        <v>40</v>
      </c>
      <c r="AF193" s="330">
        <v>120</v>
      </c>
      <c r="AG193" s="330">
        <v>160</v>
      </c>
    </row>
    <row r="194" spans="1:33" x14ac:dyDescent="0.3">
      <c r="A194" s="329" t="s">
        <v>442</v>
      </c>
      <c r="B194" s="329" t="s">
        <v>443</v>
      </c>
      <c r="C194" s="330">
        <v>4354</v>
      </c>
      <c r="D194" s="330">
        <v>0</v>
      </c>
      <c r="E194" s="330">
        <v>609</v>
      </c>
      <c r="F194" s="330">
        <v>1385</v>
      </c>
      <c r="G194" s="330">
        <v>422</v>
      </c>
      <c r="H194" s="330">
        <v>6770</v>
      </c>
      <c r="I194" s="330">
        <v>6348</v>
      </c>
      <c r="J194" s="330">
        <v>0</v>
      </c>
      <c r="K194" s="330">
        <v>83.92</v>
      </c>
      <c r="L194" s="330">
        <v>80.510000000000005</v>
      </c>
      <c r="M194" s="330">
        <v>7.98</v>
      </c>
      <c r="N194" s="330">
        <v>90.09</v>
      </c>
      <c r="O194" s="333">
        <v>3166</v>
      </c>
      <c r="P194" s="330">
        <v>95.85</v>
      </c>
      <c r="Q194" s="330">
        <v>78.14</v>
      </c>
      <c r="R194" s="330">
        <v>55.49</v>
      </c>
      <c r="S194" s="330">
        <v>150.80000000000001</v>
      </c>
      <c r="T194" s="333">
        <v>1762</v>
      </c>
      <c r="U194" s="330">
        <v>104.69</v>
      </c>
      <c r="V194" s="333">
        <v>975</v>
      </c>
      <c r="W194" s="330">
        <v>145.1</v>
      </c>
      <c r="X194" s="333">
        <v>73</v>
      </c>
      <c r="Y194" s="330">
        <v>0</v>
      </c>
      <c r="Z194" s="330">
        <v>1</v>
      </c>
      <c r="AA194" s="330">
        <v>0</v>
      </c>
      <c r="AB194" s="330">
        <v>19</v>
      </c>
      <c r="AC194" s="330">
        <v>9</v>
      </c>
      <c r="AD194" s="330">
        <v>4161</v>
      </c>
      <c r="AE194" s="330">
        <v>44</v>
      </c>
      <c r="AF194" s="330">
        <v>28</v>
      </c>
      <c r="AG194" s="330">
        <v>72</v>
      </c>
    </row>
    <row r="195" spans="1:33" x14ac:dyDescent="0.3">
      <c r="A195" s="329" t="s">
        <v>444</v>
      </c>
      <c r="B195" s="329" t="s">
        <v>445</v>
      </c>
      <c r="C195" s="330">
        <v>1187</v>
      </c>
      <c r="D195" s="330">
        <v>0</v>
      </c>
      <c r="E195" s="330">
        <v>9</v>
      </c>
      <c r="F195" s="330">
        <v>47</v>
      </c>
      <c r="G195" s="330">
        <v>301</v>
      </c>
      <c r="H195" s="330">
        <v>1544</v>
      </c>
      <c r="I195" s="330">
        <v>1243</v>
      </c>
      <c r="J195" s="330">
        <v>0</v>
      </c>
      <c r="K195" s="330">
        <v>100.13</v>
      </c>
      <c r="L195" s="330">
        <v>98.02</v>
      </c>
      <c r="M195" s="330">
        <v>4.8</v>
      </c>
      <c r="N195" s="330">
        <v>103.56</v>
      </c>
      <c r="O195" s="333">
        <v>845</v>
      </c>
      <c r="P195" s="330">
        <v>88.84</v>
      </c>
      <c r="Q195" s="330">
        <v>84.37</v>
      </c>
      <c r="R195" s="330">
        <v>26.04</v>
      </c>
      <c r="S195" s="330">
        <v>114.89</v>
      </c>
      <c r="T195" s="333">
        <v>53</v>
      </c>
      <c r="U195" s="330">
        <v>123.14</v>
      </c>
      <c r="V195" s="333">
        <v>340</v>
      </c>
      <c r="W195" s="330">
        <v>0</v>
      </c>
      <c r="X195" s="333">
        <v>0</v>
      </c>
      <c r="Y195" s="330">
        <v>63</v>
      </c>
      <c r="Z195" s="330">
        <v>1</v>
      </c>
      <c r="AA195" s="330">
        <v>0</v>
      </c>
      <c r="AB195" s="330">
        <v>58</v>
      </c>
      <c r="AC195" s="330">
        <v>4</v>
      </c>
      <c r="AD195" s="330">
        <v>1185</v>
      </c>
      <c r="AE195" s="330">
        <v>16</v>
      </c>
      <c r="AF195" s="330">
        <v>0</v>
      </c>
      <c r="AG195" s="330">
        <v>16</v>
      </c>
    </row>
    <row r="196" spans="1:33" x14ac:dyDescent="0.3">
      <c r="A196" s="329" t="s">
        <v>446</v>
      </c>
      <c r="B196" s="329" t="s">
        <v>447</v>
      </c>
      <c r="C196" s="330">
        <v>2202</v>
      </c>
      <c r="D196" s="330">
        <v>2</v>
      </c>
      <c r="E196" s="330">
        <v>116</v>
      </c>
      <c r="F196" s="330">
        <v>126</v>
      </c>
      <c r="G196" s="330">
        <v>558</v>
      </c>
      <c r="H196" s="330">
        <v>3004</v>
      </c>
      <c r="I196" s="330">
        <v>2446</v>
      </c>
      <c r="J196" s="330">
        <v>0</v>
      </c>
      <c r="K196" s="330">
        <v>90.13</v>
      </c>
      <c r="L196" s="330">
        <v>89.7</v>
      </c>
      <c r="M196" s="330">
        <v>6.97</v>
      </c>
      <c r="N196" s="330">
        <v>95.9</v>
      </c>
      <c r="O196" s="333">
        <v>1408</v>
      </c>
      <c r="P196" s="330">
        <v>93.49</v>
      </c>
      <c r="Q196" s="330">
        <v>92.98</v>
      </c>
      <c r="R196" s="330">
        <v>55.54</v>
      </c>
      <c r="S196" s="330">
        <v>134.43</v>
      </c>
      <c r="T196" s="333">
        <v>213</v>
      </c>
      <c r="U196" s="330">
        <v>113.05</v>
      </c>
      <c r="V196" s="333">
        <v>775</v>
      </c>
      <c r="W196" s="330">
        <v>147.77000000000001</v>
      </c>
      <c r="X196" s="333">
        <v>6</v>
      </c>
      <c r="Y196" s="330">
        <v>0</v>
      </c>
      <c r="Z196" s="330">
        <v>2</v>
      </c>
      <c r="AA196" s="330">
        <v>2</v>
      </c>
      <c r="AB196" s="330">
        <v>32</v>
      </c>
      <c r="AC196" s="330">
        <v>7</v>
      </c>
      <c r="AD196" s="330">
        <v>2202</v>
      </c>
      <c r="AE196" s="330">
        <v>17</v>
      </c>
      <c r="AF196" s="330">
        <v>18</v>
      </c>
      <c r="AG196" s="330">
        <v>35</v>
      </c>
    </row>
    <row r="197" spans="1:33" x14ac:dyDescent="0.3">
      <c r="A197" s="329" t="s">
        <v>448</v>
      </c>
      <c r="B197" s="329" t="s">
        <v>449</v>
      </c>
      <c r="C197" s="330">
        <v>14589</v>
      </c>
      <c r="D197" s="330">
        <v>0</v>
      </c>
      <c r="E197" s="330">
        <v>489</v>
      </c>
      <c r="F197" s="330">
        <v>2990</v>
      </c>
      <c r="G197" s="330">
        <v>699</v>
      </c>
      <c r="H197" s="330">
        <v>18767</v>
      </c>
      <c r="I197" s="330">
        <v>18068</v>
      </c>
      <c r="J197" s="330">
        <v>0</v>
      </c>
      <c r="K197" s="330">
        <v>77.209999999999994</v>
      </c>
      <c r="L197" s="330">
        <v>74.459999999999994</v>
      </c>
      <c r="M197" s="330">
        <v>2.1800000000000002</v>
      </c>
      <c r="N197" s="330">
        <v>78.3</v>
      </c>
      <c r="O197" s="333">
        <v>12849</v>
      </c>
      <c r="P197" s="330">
        <v>79.45</v>
      </c>
      <c r="Q197" s="330">
        <v>68.27</v>
      </c>
      <c r="R197" s="330">
        <v>31.27</v>
      </c>
      <c r="S197" s="330">
        <v>107.45</v>
      </c>
      <c r="T197" s="333">
        <v>3183</v>
      </c>
      <c r="U197" s="330">
        <v>102.18</v>
      </c>
      <c r="V197" s="333">
        <v>1483</v>
      </c>
      <c r="W197" s="330">
        <v>139.81</v>
      </c>
      <c r="X197" s="333">
        <v>192</v>
      </c>
      <c r="Y197" s="330">
        <v>12</v>
      </c>
      <c r="Z197" s="330">
        <v>59</v>
      </c>
      <c r="AA197" s="330">
        <v>0</v>
      </c>
      <c r="AB197" s="330">
        <v>38</v>
      </c>
      <c r="AC197" s="330">
        <v>5</v>
      </c>
      <c r="AD197" s="330">
        <v>14350</v>
      </c>
      <c r="AE197" s="330">
        <v>123</v>
      </c>
      <c r="AF197" s="330">
        <v>73</v>
      </c>
      <c r="AG197" s="330">
        <v>196</v>
      </c>
    </row>
    <row r="198" spans="1:33" x14ac:dyDescent="0.3">
      <c r="A198" s="329" t="s">
        <v>450</v>
      </c>
      <c r="B198" s="329" t="s">
        <v>451</v>
      </c>
      <c r="C198" s="330">
        <v>4143</v>
      </c>
      <c r="D198" s="330">
        <v>0</v>
      </c>
      <c r="E198" s="330">
        <v>509</v>
      </c>
      <c r="F198" s="330">
        <v>1173</v>
      </c>
      <c r="G198" s="330">
        <v>304</v>
      </c>
      <c r="H198" s="330">
        <v>6129</v>
      </c>
      <c r="I198" s="330">
        <v>5825</v>
      </c>
      <c r="J198" s="330">
        <v>6</v>
      </c>
      <c r="K198" s="330">
        <v>90.76</v>
      </c>
      <c r="L198" s="330">
        <v>89.44</v>
      </c>
      <c r="M198" s="330">
        <v>6.53</v>
      </c>
      <c r="N198" s="330">
        <v>96</v>
      </c>
      <c r="O198" s="333">
        <v>3504</v>
      </c>
      <c r="P198" s="330">
        <v>91.29</v>
      </c>
      <c r="Q198" s="330">
        <v>82.11</v>
      </c>
      <c r="R198" s="330">
        <v>51.15</v>
      </c>
      <c r="S198" s="330">
        <v>142.22999999999999</v>
      </c>
      <c r="T198" s="333">
        <v>990</v>
      </c>
      <c r="U198" s="330">
        <v>117.21</v>
      </c>
      <c r="V198" s="333">
        <v>547</v>
      </c>
      <c r="W198" s="330">
        <v>123.97</v>
      </c>
      <c r="X198" s="333">
        <v>19</v>
      </c>
      <c r="Y198" s="330">
        <v>2</v>
      </c>
      <c r="Z198" s="330">
        <v>2</v>
      </c>
      <c r="AA198" s="330">
        <v>0</v>
      </c>
      <c r="AB198" s="330">
        <v>28</v>
      </c>
      <c r="AC198" s="330">
        <v>9</v>
      </c>
      <c r="AD198" s="330">
        <v>4127</v>
      </c>
      <c r="AE198" s="330">
        <v>37</v>
      </c>
      <c r="AF198" s="330">
        <v>9</v>
      </c>
      <c r="AG198" s="330">
        <v>46</v>
      </c>
    </row>
    <row r="199" spans="1:33" x14ac:dyDescent="0.3">
      <c r="A199" s="329" t="s">
        <v>452</v>
      </c>
      <c r="B199" s="329" t="s">
        <v>453</v>
      </c>
      <c r="C199" s="330">
        <v>6664</v>
      </c>
      <c r="D199" s="330">
        <v>218</v>
      </c>
      <c r="E199" s="330">
        <v>1411</v>
      </c>
      <c r="F199" s="330">
        <v>2122</v>
      </c>
      <c r="G199" s="330">
        <v>313</v>
      </c>
      <c r="H199" s="330">
        <v>10728</v>
      </c>
      <c r="I199" s="330">
        <v>10415</v>
      </c>
      <c r="J199" s="330">
        <v>33</v>
      </c>
      <c r="K199" s="330">
        <v>87.07</v>
      </c>
      <c r="L199" s="330">
        <v>84.45</v>
      </c>
      <c r="M199" s="330">
        <v>6.74</v>
      </c>
      <c r="N199" s="330">
        <v>91.45</v>
      </c>
      <c r="O199" s="333">
        <v>5711</v>
      </c>
      <c r="P199" s="330">
        <v>87.06</v>
      </c>
      <c r="Q199" s="330">
        <v>78.040000000000006</v>
      </c>
      <c r="R199" s="330">
        <v>82.49</v>
      </c>
      <c r="S199" s="330">
        <v>166.86</v>
      </c>
      <c r="T199" s="333">
        <v>2915</v>
      </c>
      <c r="U199" s="330">
        <v>105.15</v>
      </c>
      <c r="V199" s="333">
        <v>513</v>
      </c>
      <c r="W199" s="330">
        <v>204.42</v>
      </c>
      <c r="X199" s="333">
        <v>167</v>
      </c>
      <c r="Y199" s="330">
        <v>0</v>
      </c>
      <c r="Z199" s="330">
        <v>4</v>
      </c>
      <c r="AA199" s="330">
        <v>30</v>
      </c>
      <c r="AB199" s="330">
        <v>20</v>
      </c>
      <c r="AC199" s="330">
        <v>8</v>
      </c>
      <c r="AD199" s="330">
        <v>6606</v>
      </c>
      <c r="AE199" s="330">
        <v>36</v>
      </c>
      <c r="AF199" s="330">
        <v>33</v>
      </c>
      <c r="AG199" s="330">
        <v>69</v>
      </c>
    </row>
    <row r="200" spans="1:33" x14ac:dyDescent="0.3">
      <c r="A200" s="329" t="s">
        <v>454</v>
      </c>
      <c r="B200" s="329" t="s">
        <v>455</v>
      </c>
      <c r="C200" s="330">
        <v>2396</v>
      </c>
      <c r="D200" s="330">
        <v>0</v>
      </c>
      <c r="E200" s="330">
        <v>270</v>
      </c>
      <c r="F200" s="330">
        <v>360</v>
      </c>
      <c r="G200" s="330">
        <v>534</v>
      </c>
      <c r="H200" s="330">
        <v>3560</v>
      </c>
      <c r="I200" s="330">
        <v>3026</v>
      </c>
      <c r="J200" s="330">
        <v>0</v>
      </c>
      <c r="K200" s="330">
        <v>98.09</v>
      </c>
      <c r="L200" s="330">
        <v>94.3</v>
      </c>
      <c r="M200" s="330">
        <v>6.99</v>
      </c>
      <c r="N200" s="330">
        <v>104.19</v>
      </c>
      <c r="O200" s="333">
        <v>1673</v>
      </c>
      <c r="P200" s="330">
        <v>126.99</v>
      </c>
      <c r="Q200" s="330">
        <v>87.54</v>
      </c>
      <c r="R200" s="330">
        <v>65.430000000000007</v>
      </c>
      <c r="S200" s="330">
        <v>191.31</v>
      </c>
      <c r="T200" s="333">
        <v>536</v>
      </c>
      <c r="U200" s="330">
        <v>120.33</v>
      </c>
      <c r="V200" s="333">
        <v>706</v>
      </c>
      <c r="W200" s="330">
        <v>0</v>
      </c>
      <c r="X200" s="333">
        <v>0</v>
      </c>
      <c r="Y200" s="330">
        <v>29</v>
      </c>
      <c r="Z200" s="330">
        <v>3</v>
      </c>
      <c r="AA200" s="330">
        <v>1</v>
      </c>
      <c r="AB200" s="330">
        <v>65</v>
      </c>
      <c r="AC200" s="330">
        <v>12</v>
      </c>
      <c r="AD200" s="330">
        <v>2396</v>
      </c>
      <c r="AE200" s="330">
        <v>80</v>
      </c>
      <c r="AF200" s="330">
        <v>4</v>
      </c>
      <c r="AG200" s="330">
        <v>84</v>
      </c>
    </row>
    <row r="201" spans="1:33" x14ac:dyDescent="0.3">
      <c r="A201" s="329" t="s">
        <v>456</v>
      </c>
      <c r="B201" s="329" t="s">
        <v>457</v>
      </c>
      <c r="C201" s="330">
        <v>553</v>
      </c>
      <c r="D201" s="330">
        <v>0</v>
      </c>
      <c r="E201" s="330">
        <v>63</v>
      </c>
      <c r="F201" s="330">
        <v>95</v>
      </c>
      <c r="G201" s="330">
        <v>161</v>
      </c>
      <c r="H201" s="330">
        <v>872</v>
      </c>
      <c r="I201" s="330">
        <v>711</v>
      </c>
      <c r="J201" s="330">
        <v>0</v>
      </c>
      <c r="K201" s="330">
        <v>94.02</v>
      </c>
      <c r="L201" s="330">
        <v>91.69</v>
      </c>
      <c r="M201" s="330">
        <v>6.37</v>
      </c>
      <c r="N201" s="330">
        <v>97.58</v>
      </c>
      <c r="O201" s="333">
        <v>279</v>
      </c>
      <c r="P201" s="330">
        <v>111.92</v>
      </c>
      <c r="Q201" s="330">
        <v>73.89</v>
      </c>
      <c r="R201" s="330">
        <v>48.77</v>
      </c>
      <c r="S201" s="330">
        <v>157.19999999999999</v>
      </c>
      <c r="T201" s="333">
        <v>140</v>
      </c>
      <c r="U201" s="330">
        <v>115.09</v>
      </c>
      <c r="V201" s="333">
        <v>181</v>
      </c>
      <c r="W201" s="330">
        <v>0</v>
      </c>
      <c r="X201" s="333">
        <v>0</v>
      </c>
      <c r="Y201" s="330">
        <v>13</v>
      </c>
      <c r="Z201" s="330">
        <v>0</v>
      </c>
      <c r="AA201" s="330">
        <v>0</v>
      </c>
      <c r="AB201" s="330">
        <v>39</v>
      </c>
      <c r="AC201" s="330">
        <v>8</v>
      </c>
      <c r="AD201" s="330">
        <v>505</v>
      </c>
      <c r="AE201" s="330">
        <v>6</v>
      </c>
      <c r="AF201" s="330">
        <v>1</v>
      </c>
      <c r="AG201" s="330">
        <v>7</v>
      </c>
    </row>
    <row r="202" spans="1:33" x14ac:dyDescent="0.3">
      <c r="A202" s="329" t="s">
        <v>458</v>
      </c>
      <c r="B202" s="329" t="s">
        <v>459</v>
      </c>
      <c r="C202" s="330">
        <v>17120</v>
      </c>
      <c r="D202" s="330">
        <v>5</v>
      </c>
      <c r="E202" s="330">
        <v>563</v>
      </c>
      <c r="F202" s="330">
        <v>791</v>
      </c>
      <c r="G202" s="330">
        <v>351</v>
      </c>
      <c r="H202" s="330">
        <v>18830</v>
      </c>
      <c r="I202" s="330">
        <v>18479</v>
      </c>
      <c r="J202" s="330">
        <v>29</v>
      </c>
      <c r="K202" s="330">
        <v>79.66</v>
      </c>
      <c r="L202" s="330">
        <v>79.599999999999994</v>
      </c>
      <c r="M202" s="330">
        <v>4.71</v>
      </c>
      <c r="N202" s="330">
        <v>82.12</v>
      </c>
      <c r="O202" s="333">
        <v>15362</v>
      </c>
      <c r="P202" s="330">
        <v>79.400000000000006</v>
      </c>
      <c r="Q202" s="330">
        <v>75.97</v>
      </c>
      <c r="R202" s="330">
        <v>37.340000000000003</v>
      </c>
      <c r="S202" s="330">
        <v>114.06</v>
      </c>
      <c r="T202" s="333">
        <v>1307</v>
      </c>
      <c r="U202" s="330">
        <v>103.4</v>
      </c>
      <c r="V202" s="333">
        <v>1583</v>
      </c>
      <c r="W202" s="330">
        <v>0</v>
      </c>
      <c r="X202" s="333">
        <v>0</v>
      </c>
      <c r="Y202" s="330">
        <v>0</v>
      </c>
      <c r="Z202" s="330">
        <v>116</v>
      </c>
      <c r="AA202" s="330">
        <v>1</v>
      </c>
      <c r="AB202" s="330">
        <v>80</v>
      </c>
      <c r="AC202" s="330">
        <v>9</v>
      </c>
      <c r="AD202" s="330">
        <v>17118</v>
      </c>
      <c r="AE202" s="330">
        <v>28</v>
      </c>
      <c r="AF202" s="330">
        <v>102</v>
      </c>
      <c r="AG202" s="330">
        <v>130</v>
      </c>
    </row>
    <row r="203" spans="1:33" x14ac:dyDescent="0.3">
      <c r="A203" s="329" t="s">
        <v>460</v>
      </c>
      <c r="B203" s="329" t="s">
        <v>461</v>
      </c>
      <c r="C203" s="330">
        <v>3111</v>
      </c>
      <c r="D203" s="330">
        <v>2</v>
      </c>
      <c r="E203" s="330">
        <v>414</v>
      </c>
      <c r="F203" s="330">
        <v>860</v>
      </c>
      <c r="G203" s="330">
        <v>728</v>
      </c>
      <c r="H203" s="330">
        <v>5115</v>
      </c>
      <c r="I203" s="330">
        <v>4387</v>
      </c>
      <c r="J203" s="330">
        <v>0</v>
      </c>
      <c r="K203" s="330">
        <v>116.34</v>
      </c>
      <c r="L203" s="330">
        <v>112.87</v>
      </c>
      <c r="M203" s="330">
        <v>8.34</v>
      </c>
      <c r="N203" s="330">
        <v>122.62</v>
      </c>
      <c r="O203" s="333">
        <v>2920</v>
      </c>
      <c r="P203" s="330">
        <v>106.87</v>
      </c>
      <c r="Q203" s="330">
        <v>97.95</v>
      </c>
      <c r="R203" s="330">
        <v>50.54</v>
      </c>
      <c r="S203" s="330">
        <v>156.79</v>
      </c>
      <c r="T203" s="333">
        <v>1225</v>
      </c>
      <c r="U203" s="330">
        <v>178.6</v>
      </c>
      <c r="V203" s="333">
        <v>89</v>
      </c>
      <c r="W203" s="330">
        <v>0</v>
      </c>
      <c r="X203" s="333">
        <v>0</v>
      </c>
      <c r="Y203" s="330">
        <v>0</v>
      </c>
      <c r="Z203" s="330">
        <v>0</v>
      </c>
      <c r="AA203" s="330">
        <v>9</v>
      </c>
      <c r="AB203" s="330">
        <v>40</v>
      </c>
      <c r="AC203" s="330">
        <v>19</v>
      </c>
      <c r="AD203" s="330">
        <v>3111</v>
      </c>
      <c r="AE203" s="330">
        <v>29</v>
      </c>
      <c r="AF203" s="330">
        <v>89</v>
      </c>
      <c r="AG203" s="330">
        <v>118</v>
      </c>
    </row>
    <row r="204" spans="1:33" x14ac:dyDescent="0.3">
      <c r="A204" s="329" t="s">
        <v>462</v>
      </c>
      <c r="B204" s="329" t="s">
        <v>463</v>
      </c>
      <c r="C204" s="330">
        <v>4205</v>
      </c>
      <c r="D204" s="330">
        <v>0</v>
      </c>
      <c r="E204" s="330">
        <v>289</v>
      </c>
      <c r="F204" s="330">
        <v>198</v>
      </c>
      <c r="G204" s="330">
        <v>16</v>
      </c>
      <c r="H204" s="330">
        <v>4708</v>
      </c>
      <c r="I204" s="330">
        <v>4692</v>
      </c>
      <c r="J204" s="330">
        <v>2</v>
      </c>
      <c r="K204" s="330">
        <v>75.209999999999994</v>
      </c>
      <c r="L204" s="330">
        <v>72.010000000000005</v>
      </c>
      <c r="M204" s="330">
        <v>1.78</v>
      </c>
      <c r="N204" s="330">
        <v>76.84</v>
      </c>
      <c r="O204" s="333">
        <v>3708</v>
      </c>
      <c r="P204" s="330">
        <v>108.07</v>
      </c>
      <c r="Q204" s="330">
        <v>72.709999999999994</v>
      </c>
      <c r="R204" s="330">
        <v>72.239999999999995</v>
      </c>
      <c r="S204" s="330">
        <v>180.1</v>
      </c>
      <c r="T204" s="333">
        <v>340</v>
      </c>
      <c r="U204" s="330">
        <v>97.71</v>
      </c>
      <c r="V204" s="333">
        <v>486</v>
      </c>
      <c r="W204" s="330">
        <v>170.39</v>
      </c>
      <c r="X204" s="333">
        <v>39</v>
      </c>
      <c r="Y204" s="330">
        <v>4</v>
      </c>
      <c r="Z204" s="330">
        <v>15</v>
      </c>
      <c r="AA204" s="330">
        <v>3</v>
      </c>
      <c r="AB204" s="330">
        <v>1</v>
      </c>
      <c r="AC204" s="330">
        <v>0</v>
      </c>
      <c r="AD204" s="330">
        <v>4204</v>
      </c>
      <c r="AE204" s="330">
        <v>27</v>
      </c>
      <c r="AF204" s="330">
        <v>17</v>
      </c>
      <c r="AG204" s="330">
        <v>44</v>
      </c>
    </row>
    <row r="205" spans="1:33" x14ac:dyDescent="0.3">
      <c r="A205" s="329" t="s">
        <v>464</v>
      </c>
      <c r="B205" s="329" t="s">
        <v>465</v>
      </c>
      <c r="C205" s="330">
        <v>13149</v>
      </c>
      <c r="D205" s="330">
        <v>29</v>
      </c>
      <c r="E205" s="330">
        <v>552</v>
      </c>
      <c r="F205" s="330">
        <v>2308</v>
      </c>
      <c r="G205" s="330">
        <v>1121</v>
      </c>
      <c r="H205" s="330">
        <v>17159</v>
      </c>
      <c r="I205" s="330">
        <v>16038</v>
      </c>
      <c r="J205" s="330">
        <v>14</v>
      </c>
      <c r="K205" s="330">
        <v>88.54</v>
      </c>
      <c r="L205" s="330">
        <v>87.88</v>
      </c>
      <c r="M205" s="330">
        <v>6.79</v>
      </c>
      <c r="N205" s="330">
        <v>91.99</v>
      </c>
      <c r="O205" s="333">
        <v>11016</v>
      </c>
      <c r="P205" s="330">
        <v>93.04</v>
      </c>
      <c r="Q205" s="330">
        <v>85.3</v>
      </c>
      <c r="R205" s="330">
        <v>36.65</v>
      </c>
      <c r="S205" s="330">
        <v>127.93</v>
      </c>
      <c r="T205" s="333">
        <v>2567</v>
      </c>
      <c r="U205" s="330">
        <v>114.38</v>
      </c>
      <c r="V205" s="333">
        <v>1839</v>
      </c>
      <c r="W205" s="330">
        <v>208.09</v>
      </c>
      <c r="X205" s="333">
        <v>87</v>
      </c>
      <c r="Y205" s="330">
        <v>35</v>
      </c>
      <c r="Z205" s="330">
        <v>52</v>
      </c>
      <c r="AA205" s="330">
        <v>1</v>
      </c>
      <c r="AB205" s="330">
        <v>30</v>
      </c>
      <c r="AC205" s="330">
        <v>23</v>
      </c>
      <c r="AD205" s="330">
        <v>13148</v>
      </c>
      <c r="AE205" s="330">
        <v>67</v>
      </c>
      <c r="AF205" s="330">
        <v>31</v>
      </c>
      <c r="AG205" s="330">
        <v>98</v>
      </c>
    </row>
    <row r="206" spans="1:33" x14ac:dyDescent="0.3">
      <c r="A206" s="329" t="s">
        <v>466</v>
      </c>
      <c r="B206" s="329" t="s">
        <v>467</v>
      </c>
      <c r="C206" s="330">
        <v>18845</v>
      </c>
      <c r="D206" s="330">
        <v>0</v>
      </c>
      <c r="E206" s="330">
        <v>2411</v>
      </c>
      <c r="F206" s="330">
        <v>1062</v>
      </c>
      <c r="G206" s="330">
        <v>1187</v>
      </c>
      <c r="H206" s="330">
        <v>23505</v>
      </c>
      <c r="I206" s="330">
        <v>22318</v>
      </c>
      <c r="J206" s="330">
        <v>90</v>
      </c>
      <c r="K206" s="330">
        <v>77.77</v>
      </c>
      <c r="L206" s="330">
        <v>77.010000000000005</v>
      </c>
      <c r="M206" s="330">
        <v>7.03</v>
      </c>
      <c r="N206" s="330">
        <v>82.21</v>
      </c>
      <c r="O206" s="333">
        <v>13688</v>
      </c>
      <c r="P206" s="330">
        <v>74.209999999999994</v>
      </c>
      <c r="Q206" s="330">
        <v>71.650000000000006</v>
      </c>
      <c r="R206" s="330">
        <v>31.27</v>
      </c>
      <c r="S206" s="330">
        <v>103.29</v>
      </c>
      <c r="T206" s="333">
        <v>2795</v>
      </c>
      <c r="U206" s="330">
        <v>103.45</v>
      </c>
      <c r="V206" s="333">
        <v>4593</v>
      </c>
      <c r="W206" s="330">
        <v>93.55</v>
      </c>
      <c r="X206" s="333">
        <v>573</v>
      </c>
      <c r="Y206" s="330">
        <v>78</v>
      </c>
      <c r="Z206" s="330">
        <v>60</v>
      </c>
      <c r="AA206" s="330">
        <v>98</v>
      </c>
      <c r="AB206" s="330">
        <v>23</v>
      </c>
      <c r="AC206" s="330">
        <v>36</v>
      </c>
      <c r="AD206" s="330">
        <v>18364</v>
      </c>
      <c r="AE206" s="330">
        <v>95</v>
      </c>
      <c r="AF206" s="330">
        <v>188</v>
      </c>
      <c r="AG206" s="330">
        <v>283</v>
      </c>
    </row>
    <row r="207" spans="1:33" x14ac:dyDescent="0.3">
      <c r="A207" s="329" t="s">
        <v>468</v>
      </c>
      <c r="B207" s="329" t="s">
        <v>469</v>
      </c>
      <c r="C207" s="330">
        <v>4819</v>
      </c>
      <c r="D207" s="330">
        <v>27</v>
      </c>
      <c r="E207" s="330">
        <v>499</v>
      </c>
      <c r="F207" s="330">
        <v>1066</v>
      </c>
      <c r="G207" s="330">
        <v>684</v>
      </c>
      <c r="H207" s="330">
        <v>7095</v>
      </c>
      <c r="I207" s="330">
        <v>6411</v>
      </c>
      <c r="J207" s="330">
        <v>18</v>
      </c>
      <c r="K207" s="330">
        <v>101.45</v>
      </c>
      <c r="L207" s="330">
        <v>98.05</v>
      </c>
      <c r="M207" s="330">
        <v>8.9499999999999993</v>
      </c>
      <c r="N207" s="330">
        <v>108.51</v>
      </c>
      <c r="O207" s="333">
        <v>3723</v>
      </c>
      <c r="P207" s="330">
        <v>97.34</v>
      </c>
      <c r="Q207" s="330">
        <v>89.51</v>
      </c>
      <c r="R207" s="330">
        <v>31.97</v>
      </c>
      <c r="S207" s="330">
        <v>128.61000000000001</v>
      </c>
      <c r="T207" s="333">
        <v>735</v>
      </c>
      <c r="U207" s="330">
        <v>135.03</v>
      </c>
      <c r="V207" s="333">
        <v>837</v>
      </c>
      <c r="W207" s="330">
        <v>185.7</v>
      </c>
      <c r="X207" s="333">
        <v>83</v>
      </c>
      <c r="Y207" s="330">
        <v>0</v>
      </c>
      <c r="Z207" s="330">
        <v>2</v>
      </c>
      <c r="AA207" s="330">
        <v>2</v>
      </c>
      <c r="AB207" s="330">
        <v>14</v>
      </c>
      <c r="AC207" s="330">
        <v>28</v>
      </c>
      <c r="AD207" s="330">
        <v>4738</v>
      </c>
      <c r="AE207" s="330">
        <v>20</v>
      </c>
      <c r="AF207" s="330">
        <v>12</v>
      </c>
      <c r="AG207" s="330">
        <v>32</v>
      </c>
    </row>
    <row r="208" spans="1:33" x14ac:dyDescent="0.3">
      <c r="A208" s="329" t="s">
        <v>470</v>
      </c>
      <c r="B208" s="329" t="s">
        <v>471</v>
      </c>
      <c r="C208" s="330">
        <v>10235</v>
      </c>
      <c r="D208" s="330">
        <v>0</v>
      </c>
      <c r="E208" s="330">
        <v>679</v>
      </c>
      <c r="F208" s="330">
        <v>1104</v>
      </c>
      <c r="G208" s="330">
        <v>677</v>
      </c>
      <c r="H208" s="330">
        <v>12695</v>
      </c>
      <c r="I208" s="330">
        <v>12018</v>
      </c>
      <c r="J208" s="330">
        <v>1</v>
      </c>
      <c r="K208" s="330">
        <v>80.72</v>
      </c>
      <c r="L208" s="330">
        <v>79.790000000000006</v>
      </c>
      <c r="M208" s="330">
        <v>5.71</v>
      </c>
      <c r="N208" s="330">
        <v>83.9</v>
      </c>
      <c r="O208" s="333">
        <v>8756</v>
      </c>
      <c r="P208" s="330">
        <v>82.62</v>
      </c>
      <c r="Q208" s="330">
        <v>72.11</v>
      </c>
      <c r="R208" s="330">
        <v>52.04</v>
      </c>
      <c r="S208" s="330">
        <v>130.30000000000001</v>
      </c>
      <c r="T208" s="333">
        <v>1599</v>
      </c>
      <c r="U208" s="330">
        <v>108.31</v>
      </c>
      <c r="V208" s="333">
        <v>1448</v>
      </c>
      <c r="W208" s="330">
        <v>252.96</v>
      </c>
      <c r="X208" s="333">
        <v>98</v>
      </c>
      <c r="Y208" s="330">
        <v>5</v>
      </c>
      <c r="Z208" s="330">
        <v>52</v>
      </c>
      <c r="AA208" s="330">
        <v>9</v>
      </c>
      <c r="AB208" s="330">
        <v>99</v>
      </c>
      <c r="AC208" s="330">
        <v>11</v>
      </c>
      <c r="AD208" s="330">
        <v>10213</v>
      </c>
      <c r="AE208" s="330">
        <v>76</v>
      </c>
      <c r="AF208" s="330">
        <v>141</v>
      </c>
      <c r="AG208" s="330">
        <v>217</v>
      </c>
    </row>
    <row r="209" spans="1:33" x14ac:dyDescent="0.3">
      <c r="A209" s="329" t="s">
        <v>472</v>
      </c>
      <c r="B209" s="329" t="s">
        <v>473</v>
      </c>
      <c r="C209" s="330">
        <v>3755</v>
      </c>
      <c r="D209" s="330">
        <v>16</v>
      </c>
      <c r="E209" s="330">
        <v>307</v>
      </c>
      <c r="F209" s="330">
        <v>561</v>
      </c>
      <c r="G209" s="330">
        <v>956</v>
      </c>
      <c r="H209" s="330">
        <v>5595</v>
      </c>
      <c r="I209" s="330">
        <v>4639</v>
      </c>
      <c r="J209" s="330">
        <v>3</v>
      </c>
      <c r="K209" s="330">
        <v>121.35</v>
      </c>
      <c r="L209" s="330">
        <v>118.15</v>
      </c>
      <c r="M209" s="330">
        <v>9.58</v>
      </c>
      <c r="N209" s="330">
        <v>130.18</v>
      </c>
      <c r="O209" s="333">
        <v>2865</v>
      </c>
      <c r="P209" s="330">
        <v>107.72</v>
      </c>
      <c r="Q209" s="330">
        <v>100.63</v>
      </c>
      <c r="R209" s="330">
        <v>79.7</v>
      </c>
      <c r="S209" s="330">
        <v>185.15</v>
      </c>
      <c r="T209" s="333">
        <v>632</v>
      </c>
      <c r="U209" s="330">
        <v>174.31</v>
      </c>
      <c r="V209" s="333">
        <v>515</v>
      </c>
      <c r="W209" s="330">
        <v>263.85000000000002</v>
      </c>
      <c r="X209" s="333">
        <v>104</v>
      </c>
      <c r="Y209" s="330">
        <v>20</v>
      </c>
      <c r="Z209" s="330">
        <v>3</v>
      </c>
      <c r="AA209" s="330">
        <v>3</v>
      </c>
      <c r="AB209" s="330">
        <v>44</v>
      </c>
      <c r="AC209" s="330">
        <v>41</v>
      </c>
      <c r="AD209" s="330">
        <v>3600</v>
      </c>
      <c r="AE209" s="330">
        <v>46</v>
      </c>
      <c r="AF209" s="330">
        <v>7</v>
      </c>
      <c r="AG209" s="330">
        <v>53</v>
      </c>
    </row>
    <row r="210" spans="1:33" x14ac:dyDescent="0.3">
      <c r="A210" s="329" t="s">
        <v>474</v>
      </c>
      <c r="B210" s="329" t="s">
        <v>475</v>
      </c>
      <c r="C210" s="330">
        <v>3515</v>
      </c>
      <c r="D210" s="330">
        <v>0</v>
      </c>
      <c r="E210" s="330">
        <v>309</v>
      </c>
      <c r="F210" s="330">
        <v>1094</v>
      </c>
      <c r="G210" s="330">
        <v>790</v>
      </c>
      <c r="H210" s="330">
        <v>5708</v>
      </c>
      <c r="I210" s="330">
        <v>4918</v>
      </c>
      <c r="J210" s="330">
        <v>36</v>
      </c>
      <c r="K210" s="330">
        <v>126.82</v>
      </c>
      <c r="L210" s="330">
        <v>126.14</v>
      </c>
      <c r="M210" s="330">
        <v>12.46</v>
      </c>
      <c r="N210" s="330">
        <v>134.44999999999999</v>
      </c>
      <c r="O210" s="333">
        <v>2846</v>
      </c>
      <c r="P210" s="330">
        <v>106.16</v>
      </c>
      <c r="Q210" s="330">
        <v>97.94</v>
      </c>
      <c r="R210" s="330">
        <v>57.25</v>
      </c>
      <c r="S210" s="330">
        <v>163.04</v>
      </c>
      <c r="T210" s="333">
        <v>1229</v>
      </c>
      <c r="U210" s="330">
        <v>194.77</v>
      </c>
      <c r="V210" s="333">
        <v>389</v>
      </c>
      <c r="W210" s="330">
        <v>139.74</v>
      </c>
      <c r="X210" s="333">
        <v>53</v>
      </c>
      <c r="Y210" s="330">
        <v>0</v>
      </c>
      <c r="Z210" s="330">
        <v>2</v>
      </c>
      <c r="AA210" s="330">
        <v>0</v>
      </c>
      <c r="AB210" s="330">
        <v>39</v>
      </c>
      <c r="AC210" s="330">
        <v>33</v>
      </c>
      <c r="AD210" s="330">
        <v>3384</v>
      </c>
      <c r="AE210" s="330">
        <v>58</v>
      </c>
      <c r="AF210" s="330">
        <v>9</v>
      </c>
      <c r="AG210" s="330">
        <v>67</v>
      </c>
    </row>
    <row r="211" spans="1:33" x14ac:dyDescent="0.3">
      <c r="A211" s="329" t="s">
        <v>476</v>
      </c>
      <c r="B211" s="329" t="s">
        <v>477</v>
      </c>
      <c r="C211" s="330">
        <v>11452</v>
      </c>
      <c r="D211" s="330">
        <v>0</v>
      </c>
      <c r="E211" s="330">
        <v>289</v>
      </c>
      <c r="F211" s="330">
        <v>635</v>
      </c>
      <c r="G211" s="330">
        <v>316</v>
      </c>
      <c r="H211" s="330">
        <v>12692</v>
      </c>
      <c r="I211" s="330">
        <v>12376</v>
      </c>
      <c r="J211" s="330">
        <v>2</v>
      </c>
      <c r="K211" s="330">
        <v>89.47</v>
      </c>
      <c r="L211" s="330">
        <v>89.64</v>
      </c>
      <c r="M211" s="330">
        <v>4.82</v>
      </c>
      <c r="N211" s="330">
        <v>91.92</v>
      </c>
      <c r="O211" s="333">
        <v>10751</v>
      </c>
      <c r="P211" s="330">
        <v>87.32</v>
      </c>
      <c r="Q211" s="330">
        <v>77.27</v>
      </c>
      <c r="R211" s="330">
        <v>53.15</v>
      </c>
      <c r="S211" s="330">
        <v>139.80000000000001</v>
      </c>
      <c r="T211" s="333">
        <v>635</v>
      </c>
      <c r="U211" s="330">
        <v>109.91</v>
      </c>
      <c r="V211" s="333">
        <v>614</v>
      </c>
      <c r="W211" s="330">
        <v>135.78</v>
      </c>
      <c r="X211" s="333">
        <v>188</v>
      </c>
      <c r="Y211" s="330">
        <v>0</v>
      </c>
      <c r="Z211" s="330">
        <v>42</v>
      </c>
      <c r="AA211" s="330">
        <v>5</v>
      </c>
      <c r="AB211" s="330">
        <v>23</v>
      </c>
      <c r="AC211" s="330">
        <v>8</v>
      </c>
      <c r="AD211" s="330">
        <v>11452</v>
      </c>
      <c r="AE211" s="330">
        <v>66</v>
      </c>
      <c r="AF211" s="330">
        <v>112</v>
      </c>
      <c r="AG211" s="330">
        <v>178</v>
      </c>
    </row>
    <row r="212" spans="1:33" x14ac:dyDescent="0.3">
      <c r="A212" s="329" t="s">
        <v>478</v>
      </c>
      <c r="B212" s="329" t="s">
        <v>479</v>
      </c>
      <c r="C212" s="330">
        <v>1944</v>
      </c>
      <c r="D212" s="330">
        <v>0</v>
      </c>
      <c r="E212" s="330">
        <v>181</v>
      </c>
      <c r="F212" s="330">
        <v>180</v>
      </c>
      <c r="G212" s="330">
        <v>270</v>
      </c>
      <c r="H212" s="330">
        <v>2575</v>
      </c>
      <c r="I212" s="330">
        <v>2305</v>
      </c>
      <c r="J212" s="330">
        <v>0</v>
      </c>
      <c r="K212" s="330">
        <v>93.65</v>
      </c>
      <c r="L212" s="330">
        <v>92.2</v>
      </c>
      <c r="M212" s="330">
        <v>4.76</v>
      </c>
      <c r="N212" s="330">
        <v>97.77</v>
      </c>
      <c r="O212" s="333">
        <v>1532</v>
      </c>
      <c r="P212" s="330">
        <v>115.68</v>
      </c>
      <c r="Q212" s="330">
        <v>92.3</v>
      </c>
      <c r="R212" s="330">
        <v>66.66</v>
      </c>
      <c r="S212" s="330">
        <v>177.7</v>
      </c>
      <c r="T212" s="333">
        <v>259</v>
      </c>
      <c r="U212" s="330">
        <v>123.09</v>
      </c>
      <c r="V212" s="333">
        <v>202</v>
      </c>
      <c r="W212" s="330">
        <v>230.4</v>
      </c>
      <c r="X212" s="333">
        <v>44</v>
      </c>
      <c r="Y212" s="330">
        <v>5</v>
      </c>
      <c r="Z212" s="330">
        <v>0</v>
      </c>
      <c r="AA212" s="330">
        <v>0</v>
      </c>
      <c r="AB212" s="330">
        <v>19</v>
      </c>
      <c r="AC212" s="330">
        <v>3</v>
      </c>
      <c r="AD212" s="330">
        <v>1779</v>
      </c>
      <c r="AE212" s="330">
        <v>13</v>
      </c>
      <c r="AF212" s="330">
        <v>2</v>
      </c>
      <c r="AG212" s="330">
        <v>15</v>
      </c>
    </row>
    <row r="213" spans="1:33" x14ac:dyDescent="0.3">
      <c r="A213" s="329" t="s">
        <v>480</v>
      </c>
      <c r="B213" s="329" t="s">
        <v>481</v>
      </c>
      <c r="C213" s="330">
        <v>6254</v>
      </c>
      <c r="D213" s="330">
        <v>0</v>
      </c>
      <c r="E213" s="330">
        <v>436</v>
      </c>
      <c r="F213" s="330">
        <v>549</v>
      </c>
      <c r="G213" s="330">
        <v>974</v>
      </c>
      <c r="H213" s="330">
        <v>8213</v>
      </c>
      <c r="I213" s="330">
        <v>7239</v>
      </c>
      <c r="J213" s="330">
        <v>4</v>
      </c>
      <c r="K213" s="330">
        <v>121.32</v>
      </c>
      <c r="L213" s="330">
        <v>125.26</v>
      </c>
      <c r="M213" s="330">
        <v>4.9400000000000004</v>
      </c>
      <c r="N213" s="330">
        <v>126</v>
      </c>
      <c r="O213" s="333">
        <v>5189</v>
      </c>
      <c r="P213" s="330">
        <v>123.07</v>
      </c>
      <c r="Q213" s="330">
        <v>105.89</v>
      </c>
      <c r="R213" s="330">
        <v>36.61</v>
      </c>
      <c r="S213" s="330">
        <v>155.47999999999999</v>
      </c>
      <c r="T213" s="333">
        <v>680</v>
      </c>
      <c r="U213" s="330">
        <v>157.24</v>
      </c>
      <c r="V213" s="333">
        <v>948</v>
      </c>
      <c r="W213" s="330">
        <v>176.85</v>
      </c>
      <c r="X213" s="333">
        <v>18</v>
      </c>
      <c r="Y213" s="330">
        <v>1</v>
      </c>
      <c r="Z213" s="330">
        <v>14</v>
      </c>
      <c r="AA213" s="330">
        <v>2</v>
      </c>
      <c r="AB213" s="330">
        <v>61</v>
      </c>
      <c r="AC213" s="330">
        <v>31</v>
      </c>
      <c r="AD213" s="330">
        <v>6243</v>
      </c>
      <c r="AE213" s="330">
        <v>16</v>
      </c>
      <c r="AF213" s="330">
        <v>52</v>
      </c>
      <c r="AG213" s="330">
        <v>68</v>
      </c>
    </row>
    <row r="214" spans="1:33" x14ac:dyDescent="0.3">
      <c r="A214" s="329" t="s">
        <v>482</v>
      </c>
      <c r="B214" s="329" t="s">
        <v>483</v>
      </c>
      <c r="C214" s="330">
        <v>1382</v>
      </c>
      <c r="D214" s="330">
        <v>0</v>
      </c>
      <c r="E214" s="330">
        <v>85</v>
      </c>
      <c r="F214" s="330">
        <v>749</v>
      </c>
      <c r="G214" s="330">
        <v>520</v>
      </c>
      <c r="H214" s="330">
        <v>2736</v>
      </c>
      <c r="I214" s="330">
        <v>2216</v>
      </c>
      <c r="J214" s="330">
        <v>76</v>
      </c>
      <c r="K214" s="330">
        <v>87.54</v>
      </c>
      <c r="L214" s="330">
        <v>86.74</v>
      </c>
      <c r="M214" s="330">
        <v>4.08</v>
      </c>
      <c r="N214" s="330">
        <v>90.47</v>
      </c>
      <c r="O214" s="333">
        <v>955</v>
      </c>
      <c r="P214" s="330">
        <v>75.66</v>
      </c>
      <c r="Q214" s="330">
        <v>71.53</v>
      </c>
      <c r="R214" s="330">
        <v>21.67</v>
      </c>
      <c r="S214" s="330">
        <v>96.38</v>
      </c>
      <c r="T214" s="333">
        <v>775</v>
      </c>
      <c r="U214" s="330">
        <v>105.81</v>
      </c>
      <c r="V214" s="333">
        <v>425</v>
      </c>
      <c r="W214" s="330">
        <v>137.79</v>
      </c>
      <c r="X214" s="333">
        <v>12</v>
      </c>
      <c r="Y214" s="330">
        <v>16</v>
      </c>
      <c r="Z214" s="330">
        <v>4</v>
      </c>
      <c r="AA214" s="330">
        <v>1</v>
      </c>
      <c r="AB214" s="330">
        <v>102</v>
      </c>
      <c r="AC214" s="330">
        <v>20</v>
      </c>
      <c r="AD214" s="330">
        <v>1382</v>
      </c>
      <c r="AE214" s="330">
        <v>15</v>
      </c>
      <c r="AF214" s="330">
        <v>6</v>
      </c>
      <c r="AG214" s="330">
        <v>21</v>
      </c>
    </row>
    <row r="215" spans="1:33" x14ac:dyDescent="0.3">
      <c r="A215" s="329" t="s">
        <v>484</v>
      </c>
      <c r="B215" s="329" t="s">
        <v>485</v>
      </c>
      <c r="C215" s="330">
        <v>8812</v>
      </c>
      <c r="D215" s="330">
        <v>6</v>
      </c>
      <c r="E215" s="330">
        <v>270</v>
      </c>
      <c r="F215" s="330">
        <v>810</v>
      </c>
      <c r="G215" s="330">
        <v>453</v>
      </c>
      <c r="H215" s="330">
        <v>10351</v>
      </c>
      <c r="I215" s="330">
        <v>9898</v>
      </c>
      <c r="J215" s="330">
        <v>18</v>
      </c>
      <c r="K215" s="330">
        <v>125.94</v>
      </c>
      <c r="L215" s="330">
        <v>139.74</v>
      </c>
      <c r="M215" s="330">
        <v>10.98</v>
      </c>
      <c r="N215" s="330">
        <v>133.63999999999999</v>
      </c>
      <c r="O215" s="333">
        <v>7836</v>
      </c>
      <c r="P215" s="330">
        <v>124.34</v>
      </c>
      <c r="Q215" s="330">
        <v>120.62</v>
      </c>
      <c r="R215" s="330">
        <v>47.1</v>
      </c>
      <c r="S215" s="330">
        <v>168.48</v>
      </c>
      <c r="T215" s="333">
        <v>1000</v>
      </c>
      <c r="U215" s="330">
        <v>205.81</v>
      </c>
      <c r="V215" s="333">
        <v>840</v>
      </c>
      <c r="W215" s="330">
        <v>257.47000000000003</v>
      </c>
      <c r="X215" s="333">
        <v>4</v>
      </c>
      <c r="Y215" s="330">
        <v>0</v>
      </c>
      <c r="Z215" s="330">
        <v>16</v>
      </c>
      <c r="AA215" s="330">
        <v>9</v>
      </c>
      <c r="AB215" s="330">
        <v>0</v>
      </c>
      <c r="AC215" s="330">
        <v>18</v>
      </c>
      <c r="AD215" s="330">
        <v>8766</v>
      </c>
      <c r="AE215" s="330">
        <v>49</v>
      </c>
      <c r="AF215" s="330">
        <v>90</v>
      </c>
      <c r="AG215" s="330">
        <v>139</v>
      </c>
    </row>
    <row r="216" spans="1:33" x14ac:dyDescent="0.3">
      <c r="A216" s="329" t="s">
        <v>486</v>
      </c>
      <c r="B216" s="329" t="s">
        <v>487</v>
      </c>
      <c r="C216" s="330">
        <v>728</v>
      </c>
      <c r="D216" s="330">
        <v>0</v>
      </c>
      <c r="E216" s="330">
        <v>118</v>
      </c>
      <c r="F216" s="330">
        <v>96</v>
      </c>
      <c r="G216" s="330">
        <v>65</v>
      </c>
      <c r="H216" s="330">
        <v>1007</v>
      </c>
      <c r="I216" s="330">
        <v>942</v>
      </c>
      <c r="J216" s="330">
        <v>1</v>
      </c>
      <c r="K216" s="330">
        <v>93.7</v>
      </c>
      <c r="L216" s="330">
        <v>90.29</v>
      </c>
      <c r="M216" s="330">
        <v>3.47</v>
      </c>
      <c r="N216" s="330">
        <v>96.31</v>
      </c>
      <c r="O216" s="333">
        <v>531</v>
      </c>
      <c r="P216" s="330">
        <v>109.28</v>
      </c>
      <c r="Q216" s="330">
        <v>101.27</v>
      </c>
      <c r="R216" s="330">
        <v>83.06</v>
      </c>
      <c r="S216" s="330">
        <v>185.2</v>
      </c>
      <c r="T216" s="333">
        <v>151</v>
      </c>
      <c r="U216" s="330">
        <v>108.75</v>
      </c>
      <c r="V216" s="333">
        <v>179</v>
      </c>
      <c r="W216" s="330">
        <v>319.12</v>
      </c>
      <c r="X216" s="333">
        <v>53</v>
      </c>
      <c r="Y216" s="330">
        <v>0</v>
      </c>
      <c r="Z216" s="330">
        <v>0</v>
      </c>
      <c r="AA216" s="330">
        <v>4</v>
      </c>
      <c r="AB216" s="330">
        <v>4</v>
      </c>
      <c r="AC216" s="330">
        <v>0</v>
      </c>
      <c r="AD216" s="330">
        <v>728</v>
      </c>
      <c r="AE216" s="330">
        <v>2</v>
      </c>
      <c r="AF216" s="330">
        <v>6</v>
      </c>
      <c r="AG216" s="330">
        <v>8</v>
      </c>
    </row>
    <row r="217" spans="1:33" x14ac:dyDescent="0.3">
      <c r="A217" s="329" t="s">
        <v>488</v>
      </c>
      <c r="B217" s="329" t="s">
        <v>489</v>
      </c>
      <c r="C217" s="330">
        <v>18042</v>
      </c>
      <c r="D217" s="330">
        <v>0</v>
      </c>
      <c r="E217" s="330">
        <v>677</v>
      </c>
      <c r="F217" s="330">
        <v>2016</v>
      </c>
      <c r="G217" s="330">
        <v>288</v>
      </c>
      <c r="H217" s="330">
        <v>21023</v>
      </c>
      <c r="I217" s="330">
        <v>20735</v>
      </c>
      <c r="J217" s="330">
        <v>12</v>
      </c>
      <c r="K217" s="330">
        <v>78.13</v>
      </c>
      <c r="L217" s="330">
        <v>77.58</v>
      </c>
      <c r="M217" s="330">
        <v>4.8600000000000003</v>
      </c>
      <c r="N217" s="330">
        <v>82.47</v>
      </c>
      <c r="O217" s="333">
        <v>15830</v>
      </c>
      <c r="P217" s="330">
        <v>78.42</v>
      </c>
      <c r="Q217" s="330">
        <v>72.34</v>
      </c>
      <c r="R217" s="330">
        <v>44.43</v>
      </c>
      <c r="S217" s="330">
        <v>120.35</v>
      </c>
      <c r="T217" s="333">
        <v>2468</v>
      </c>
      <c r="U217" s="330">
        <v>99.76</v>
      </c>
      <c r="V217" s="333">
        <v>2123</v>
      </c>
      <c r="W217" s="330">
        <v>258.27999999999997</v>
      </c>
      <c r="X217" s="333">
        <v>37</v>
      </c>
      <c r="Y217" s="330">
        <v>0</v>
      </c>
      <c r="Z217" s="330">
        <v>142</v>
      </c>
      <c r="AA217" s="330">
        <v>6</v>
      </c>
      <c r="AB217" s="330">
        <v>32</v>
      </c>
      <c r="AC217" s="330">
        <v>5</v>
      </c>
      <c r="AD217" s="330">
        <v>17855</v>
      </c>
      <c r="AE217" s="330">
        <v>77</v>
      </c>
      <c r="AF217" s="330">
        <v>250</v>
      </c>
      <c r="AG217" s="330">
        <v>327</v>
      </c>
    </row>
    <row r="218" spans="1:33" x14ac:dyDescent="0.3">
      <c r="A218" s="329" t="s">
        <v>490</v>
      </c>
      <c r="B218" s="329" t="s">
        <v>491</v>
      </c>
      <c r="C218" s="330">
        <v>2433</v>
      </c>
      <c r="D218" s="330">
        <v>0</v>
      </c>
      <c r="E218" s="330">
        <v>63</v>
      </c>
      <c r="F218" s="330">
        <v>695</v>
      </c>
      <c r="G218" s="330">
        <v>327</v>
      </c>
      <c r="H218" s="330">
        <v>3518</v>
      </c>
      <c r="I218" s="330">
        <v>3191</v>
      </c>
      <c r="J218" s="330">
        <v>4</v>
      </c>
      <c r="K218" s="330">
        <v>102.2</v>
      </c>
      <c r="L218" s="330">
        <v>102.31</v>
      </c>
      <c r="M218" s="330">
        <v>8.24</v>
      </c>
      <c r="N218" s="330">
        <v>106.64</v>
      </c>
      <c r="O218" s="333">
        <v>1760</v>
      </c>
      <c r="P218" s="330">
        <v>90.73</v>
      </c>
      <c r="Q218" s="330">
        <v>87</v>
      </c>
      <c r="R218" s="330">
        <v>45.09</v>
      </c>
      <c r="S218" s="330">
        <v>135.63999999999999</v>
      </c>
      <c r="T218" s="333">
        <v>752</v>
      </c>
      <c r="U218" s="330">
        <v>153.57</v>
      </c>
      <c r="V218" s="333">
        <v>671</v>
      </c>
      <c r="W218" s="330">
        <v>0</v>
      </c>
      <c r="X218" s="333">
        <v>0</v>
      </c>
      <c r="Y218" s="330">
        <v>0</v>
      </c>
      <c r="Z218" s="330">
        <v>2</v>
      </c>
      <c r="AA218" s="330">
        <v>1</v>
      </c>
      <c r="AB218" s="330">
        <v>42</v>
      </c>
      <c r="AC218" s="330">
        <v>5</v>
      </c>
      <c r="AD218" s="330">
        <v>2433</v>
      </c>
      <c r="AE218" s="330">
        <v>12</v>
      </c>
      <c r="AF218" s="330">
        <v>14</v>
      </c>
      <c r="AG218" s="330">
        <v>26</v>
      </c>
    </row>
    <row r="219" spans="1:33" x14ac:dyDescent="0.3">
      <c r="A219" s="329" t="s">
        <v>492</v>
      </c>
      <c r="B219" s="329" t="s">
        <v>493</v>
      </c>
      <c r="C219" s="330">
        <v>4166</v>
      </c>
      <c r="D219" s="330">
        <v>0</v>
      </c>
      <c r="E219" s="330">
        <v>93</v>
      </c>
      <c r="F219" s="330">
        <v>378</v>
      </c>
      <c r="G219" s="330">
        <v>33</v>
      </c>
      <c r="H219" s="330">
        <v>4670</v>
      </c>
      <c r="I219" s="330">
        <v>4637</v>
      </c>
      <c r="J219" s="330">
        <v>4</v>
      </c>
      <c r="K219" s="330">
        <v>75.63</v>
      </c>
      <c r="L219" s="330">
        <v>73.19</v>
      </c>
      <c r="M219" s="330">
        <v>5.8</v>
      </c>
      <c r="N219" s="330">
        <v>76.25</v>
      </c>
      <c r="O219" s="333">
        <v>3607</v>
      </c>
      <c r="P219" s="330">
        <v>89.83</v>
      </c>
      <c r="Q219" s="330">
        <v>79.45</v>
      </c>
      <c r="R219" s="330">
        <v>42.77</v>
      </c>
      <c r="S219" s="330">
        <v>129.81</v>
      </c>
      <c r="T219" s="333">
        <v>430</v>
      </c>
      <c r="U219" s="330">
        <v>94.87</v>
      </c>
      <c r="V219" s="333">
        <v>549</v>
      </c>
      <c r="W219" s="330">
        <v>0</v>
      </c>
      <c r="X219" s="333">
        <v>0</v>
      </c>
      <c r="Y219" s="330">
        <v>0</v>
      </c>
      <c r="Z219" s="330">
        <v>21</v>
      </c>
      <c r="AA219" s="330">
        <v>1</v>
      </c>
      <c r="AB219" s="330">
        <v>0</v>
      </c>
      <c r="AC219" s="330">
        <v>7</v>
      </c>
      <c r="AD219" s="330">
        <v>4161</v>
      </c>
      <c r="AE219" s="330">
        <v>18</v>
      </c>
      <c r="AF219" s="330">
        <v>12</v>
      </c>
      <c r="AG219" s="330">
        <v>30</v>
      </c>
    </row>
    <row r="220" spans="1:33" x14ac:dyDescent="0.3">
      <c r="A220" s="329" t="s">
        <v>494</v>
      </c>
      <c r="B220" s="329" t="s">
        <v>495</v>
      </c>
      <c r="C220" s="330">
        <v>3773</v>
      </c>
      <c r="D220" s="330">
        <v>0</v>
      </c>
      <c r="E220" s="330">
        <v>72</v>
      </c>
      <c r="F220" s="330">
        <v>685</v>
      </c>
      <c r="G220" s="330">
        <v>416</v>
      </c>
      <c r="H220" s="330">
        <v>4946</v>
      </c>
      <c r="I220" s="330">
        <v>4530</v>
      </c>
      <c r="J220" s="330">
        <v>6</v>
      </c>
      <c r="K220" s="330">
        <v>98.15</v>
      </c>
      <c r="L220" s="330">
        <v>96.9</v>
      </c>
      <c r="M220" s="330">
        <v>3.21</v>
      </c>
      <c r="N220" s="330">
        <v>100.78</v>
      </c>
      <c r="O220" s="333">
        <v>3134</v>
      </c>
      <c r="P220" s="330">
        <v>86.86</v>
      </c>
      <c r="Q220" s="330">
        <v>80.88</v>
      </c>
      <c r="R220" s="330">
        <v>45.42</v>
      </c>
      <c r="S220" s="330">
        <v>131.69</v>
      </c>
      <c r="T220" s="333">
        <v>621</v>
      </c>
      <c r="U220" s="330">
        <v>128.09</v>
      </c>
      <c r="V220" s="333">
        <v>635</v>
      </c>
      <c r="W220" s="330">
        <v>99.64</v>
      </c>
      <c r="X220" s="333">
        <v>6</v>
      </c>
      <c r="Y220" s="330">
        <v>0</v>
      </c>
      <c r="Z220" s="330">
        <v>6</v>
      </c>
      <c r="AA220" s="330">
        <v>7</v>
      </c>
      <c r="AB220" s="330">
        <v>83</v>
      </c>
      <c r="AC220" s="330">
        <v>11</v>
      </c>
      <c r="AD220" s="330">
        <v>3773</v>
      </c>
      <c r="AE220" s="330">
        <v>17</v>
      </c>
      <c r="AF220" s="330">
        <v>12</v>
      </c>
      <c r="AG220" s="330">
        <v>29</v>
      </c>
    </row>
    <row r="221" spans="1:33" x14ac:dyDescent="0.3">
      <c r="A221" s="329" t="s">
        <v>496</v>
      </c>
      <c r="B221" s="329" t="s">
        <v>497</v>
      </c>
      <c r="C221" s="330">
        <v>3487</v>
      </c>
      <c r="D221" s="330">
        <v>0</v>
      </c>
      <c r="E221" s="330">
        <v>492</v>
      </c>
      <c r="F221" s="330">
        <v>858</v>
      </c>
      <c r="G221" s="330">
        <v>344</v>
      </c>
      <c r="H221" s="330">
        <v>5181</v>
      </c>
      <c r="I221" s="330">
        <v>4837</v>
      </c>
      <c r="J221" s="330">
        <v>1</v>
      </c>
      <c r="K221" s="330">
        <v>83.92</v>
      </c>
      <c r="L221" s="330">
        <v>81.069999999999993</v>
      </c>
      <c r="M221" s="330">
        <v>7.73</v>
      </c>
      <c r="N221" s="330">
        <v>88.08</v>
      </c>
      <c r="O221" s="333">
        <v>2782</v>
      </c>
      <c r="P221" s="330">
        <v>93.93</v>
      </c>
      <c r="Q221" s="330">
        <v>74.739999999999995</v>
      </c>
      <c r="R221" s="330">
        <v>45.16</v>
      </c>
      <c r="S221" s="330">
        <v>135.34</v>
      </c>
      <c r="T221" s="333">
        <v>1275</v>
      </c>
      <c r="U221" s="330">
        <v>103.61</v>
      </c>
      <c r="V221" s="333">
        <v>604</v>
      </c>
      <c r="W221" s="330">
        <v>168.35</v>
      </c>
      <c r="X221" s="333">
        <v>42</v>
      </c>
      <c r="Y221" s="330">
        <v>0</v>
      </c>
      <c r="Z221" s="330">
        <v>0</v>
      </c>
      <c r="AA221" s="330">
        <v>5</v>
      </c>
      <c r="AB221" s="330">
        <v>7</v>
      </c>
      <c r="AC221" s="330">
        <v>5</v>
      </c>
      <c r="AD221" s="330">
        <v>3431</v>
      </c>
      <c r="AE221" s="330">
        <v>41</v>
      </c>
      <c r="AF221" s="330">
        <v>18</v>
      </c>
      <c r="AG221" s="330">
        <v>59</v>
      </c>
    </row>
    <row r="222" spans="1:33" x14ac:dyDescent="0.3">
      <c r="A222" s="329" t="s">
        <v>498</v>
      </c>
      <c r="B222" s="329" t="s">
        <v>499</v>
      </c>
      <c r="C222" s="330">
        <v>2675</v>
      </c>
      <c r="D222" s="330">
        <v>0</v>
      </c>
      <c r="E222" s="330">
        <v>35</v>
      </c>
      <c r="F222" s="330">
        <v>239</v>
      </c>
      <c r="G222" s="330">
        <v>745</v>
      </c>
      <c r="H222" s="330">
        <v>3694</v>
      </c>
      <c r="I222" s="330">
        <v>2949</v>
      </c>
      <c r="J222" s="330">
        <v>1</v>
      </c>
      <c r="K222" s="330">
        <v>102.4</v>
      </c>
      <c r="L222" s="330">
        <v>100.1</v>
      </c>
      <c r="M222" s="330">
        <v>6.04</v>
      </c>
      <c r="N222" s="330">
        <v>106.93</v>
      </c>
      <c r="O222" s="333">
        <v>2261</v>
      </c>
      <c r="P222" s="330">
        <v>102.31</v>
      </c>
      <c r="Q222" s="330">
        <v>92.66</v>
      </c>
      <c r="R222" s="330">
        <v>45.62</v>
      </c>
      <c r="S222" s="330">
        <v>147.13999999999999</v>
      </c>
      <c r="T222" s="333">
        <v>231</v>
      </c>
      <c r="U222" s="330">
        <v>131.5</v>
      </c>
      <c r="V222" s="333">
        <v>363</v>
      </c>
      <c r="W222" s="330">
        <v>0</v>
      </c>
      <c r="X222" s="333">
        <v>0</v>
      </c>
      <c r="Y222" s="330">
        <v>0</v>
      </c>
      <c r="Z222" s="330">
        <v>2</v>
      </c>
      <c r="AA222" s="330">
        <v>0</v>
      </c>
      <c r="AB222" s="330">
        <v>71</v>
      </c>
      <c r="AC222" s="330">
        <v>17</v>
      </c>
      <c r="AD222" s="330">
        <v>2626</v>
      </c>
      <c r="AE222" s="330">
        <v>34</v>
      </c>
      <c r="AF222" s="330">
        <v>40</v>
      </c>
      <c r="AG222" s="330">
        <v>74</v>
      </c>
    </row>
    <row r="223" spans="1:33" x14ac:dyDescent="0.3">
      <c r="A223" s="329" t="s">
        <v>500</v>
      </c>
      <c r="B223" s="329" t="s">
        <v>501</v>
      </c>
      <c r="C223" s="330">
        <v>1374</v>
      </c>
      <c r="D223" s="330">
        <v>282</v>
      </c>
      <c r="E223" s="330">
        <v>91</v>
      </c>
      <c r="F223" s="330">
        <v>286</v>
      </c>
      <c r="G223" s="330">
        <v>399</v>
      </c>
      <c r="H223" s="330">
        <v>2432</v>
      </c>
      <c r="I223" s="330">
        <v>2033</v>
      </c>
      <c r="J223" s="330">
        <v>8</v>
      </c>
      <c r="K223" s="330">
        <v>123.5</v>
      </c>
      <c r="L223" s="330">
        <v>120.7</v>
      </c>
      <c r="M223" s="330">
        <v>10.78</v>
      </c>
      <c r="N223" s="330">
        <v>132.63999999999999</v>
      </c>
      <c r="O223" s="333">
        <v>858</v>
      </c>
      <c r="P223" s="330">
        <v>116.42</v>
      </c>
      <c r="Q223" s="330">
        <v>107.36</v>
      </c>
      <c r="R223" s="330">
        <v>25.46</v>
      </c>
      <c r="S223" s="330">
        <v>141.07</v>
      </c>
      <c r="T223" s="333">
        <v>311</v>
      </c>
      <c r="U223" s="330">
        <v>212.03</v>
      </c>
      <c r="V223" s="333">
        <v>314</v>
      </c>
      <c r="W223" s="330">
        <v>169.12</v>
      </c>
      <c r="X223" s="333">
        <v>39</v>
      </c>
      <c r="Y223" s="330">
        <v>0</v>
      </c>
      <c r="Z223" s="330">
        <v>0</v>
      </c>
      <c r="AA223" s="330">
        <v>3</v>
      </c>
      <c r="AB223" s="330">
        <v>7</v>
      </c>
      <c r="AC223" s="330">
        <v>15</v>
      </c>
      <c r="AD223" s="330">
        <v>1314</v>
      </c>
      <c r="AE223" s="330">
        <v>15</v>
      </c>
      <c r="AF223" s="330">
        <v>38</v>
      </c>
      <c r="AG223" s="330">
        <v>53</v>
      </c>
    </row>
    <row r="224" spans="1:33" x14ac:dyDescent="0.3">
      <c r="A224" s="329" t="s">
        <v>502</v>
      </c>
      <c r="B224" s="329" t="s">
        <v>503</v>
      </c>
      <c r="C224" s="330">
        <v>3102</v>
      </c>
      <c r="D224" s="330">
        <v>0</v>
      </c>
      <c r="E224" s="330">
        <v>100</v>
      </c>
      <c r="F224" s="330">
        <v>1398</v>
      </c>
      <c r="G224" s="330">
        <v>567</v>
      </c>
      <c r="H224" s="330">
        <v>5167</v>
      </c>
      <c r="I224" s="330">
        <v>4600</v>
      </c>
      <c r="J224" s="330">
        <v>4</v>
      </c>
      <c r="K224" s="330">
        <v>98.35</v>
      </c>
      <c r="L224" s="330">
        <v>98.07</v>
      </c>
      <c r="M224" s="330">
        <v>5.14</v>
      </c>
      <c r="N224" s="330">
        <v>100.42</v>
      </c>
      <c r="O224" s="333">
        <v>2698</v>
      </c>
      <c r="P224" s="330">
        <v>97.17</v>
      </c>
      <c r="Q224" s="330">
        <v>93.4</v>
      </c>
      <c r="R224" s="330">
        <v>21.88</v>
      </c>
      <c r="S224" s="330">
        <v>118.74</v>
      </c>
      <c r="T224" s="333">
        <v>1472</v>
      </c>
      <c r="U224" s="330">
        <v>117.6</v>
      </c>
      <c r="V224" s="333">
        <v>396</v>
      </c>
      <c r="W224" s="330">
        <v>124.08</v>
      </c>
      <c r="X224" s="333">
        <v>11</v>
      </c>
      <c r="Y224" s="330">
        <v>21</v>
      </c>
      <c r="Z224" s="330">
        <v>9</v>
      </c>
      <c r="AA224" s="330">
        <v>0</v>
      </c>
      <c r="AB224" s="330">
        <v>72</v>
      </c>
      <c r="AC224" s="330">
        <v>27</v>
      </c>
      <c r="AD224" s="330">
        <v>3102</v>
      </c>
      <c r="AE224" s="330">
        <v>43</v>
      </c>
      <c r="AF224" s="330">
        <v>26</v>
      </c>
      <c r="AG224" s="330">
        <v>69</v>
      </c>
    </row>
    <row r="225" spans="1:33" x14ac:dyDescent="0.3">
      <c r="A225" s="329" t="s">
        <v>504</v>
      </c>
      <c r="B225" s="329" t="s">
        <v>505</v>
      </c>
      <c r="C225" s="330">
        <v>5810</v>
      </c>
      <c r="D225" s="330">
        <v>11</v>
      </c>
      <c r="E225" s="330">
        <v>231</v>
      </c>
      <c r="F225" s="330">
        <v>648</v>
      </c>
      <c r="G225" s="330">
        <v>606</v>
      </c>
      <c r="H225" s="330">
        <v>7306</v>
      </c>
      <c r="I225" s="330">
        <v>6700</v>
      </c>
      <c r="J225" s="330">
        <v>8</v>
      </c>
      <c r="K225" s="330">
        <v>113.91</v>
      </c>
      <c r="L225" s="330">
        <v>110.11</v>
      </c>
      <c r="M225" s="330">
        <v>9.86</v>
      </c>
      <c r="N225" s="330">
        <v>119.26</v>
      </c>
      <c r="O225" s="333">
        <v>4485</v>
      </c>
      <c r="P225" s="330">
        <v>98.58</v>
      </c>
      <c r="Q225" s="330">
        <v>90.82</v>
      </c>
      <c r="R225" s="330">
        <v>47.21</v>
      </c>
      <c r="S225" s="330">
        <v>145.62</v>
      </c>
      <c r="T225" s="333">
        <v>832</v>
      </c>
      <c r="U225" s="330">
        <v>163.11000000000001</v>
      </c>
      <c r="V225" s="333">
        <v>1172</v>
      </c>
      <c r="W225" s="330">
        <v>161.66</v>
      </c>
      <c r="X225" s="333">
        <v>38</v>
      </c>
      <c r="Y225" s="330">
        <v>0</v>
      </c>
      <c r="Z225" s="330">
        <v>5</v>
      </c>
      <c r="AA225" s="330">
        <v>6</v>
      </c>
      <c r="AB225" s="330">
        <v>43</v>
      </c>
      <c r="AC225" s="330">
        <v>20</v>
      </c>
      <c r="AD225" s="330">
        <v>5473</v>
      </c>
      <c r="AE225" s="330">
        <v>30</v>
      </c>
      <c r="AF225" s="330">
        <v>44</v>
      </c>
      <c r="AG225" s="330">
        <v>74</v>
      </c>
    </row>
    <row r="226" spans="1:33" x14ac:dyDescent="0.3">
      <c r="A226" s="329" t="s">
        <v>506</v>
      </c>
      <c r="B226" s="329" t="s">
        <v>507</v>
      </c>
      <c r="C226" s="330">
        <v>1508</v>
      </c>
      <c r="D226" s="330">
        <v>0</v>
      </c>
      <c r="E226" s="330">
        <v>40</v>
      </c>
      <c r="F226" s="330">
        <v>288</v>
      </c>
      <c r="G226" s="330">
        <v>210</v>
      </c>
      <c r="H226" s="330">
        <v>2046</v>
      </c>
      <c r="I226" s="330">
        <v>1836</v>
      </c>
      <c r="J226" s="330">
        <v>7</v>
      </c>
      <c r="K226" s="330">
        <v>92.67</v>
      </c>
      <c r="L226" s="330">
        <v>95.46</v>
      </c>
      <c r="M226" s="330">
        <v>6.59</v>
      </c>
      <c r="N226" s="330">
        <v>95.45</v>
      </c>
      <c r="O226" s="333">
        <v>1244</v>
      </c>
      <c r="P226" s="330">
        <v>90.42</v>
      </c>
      <c r="Q226" s="330">
        <v>82.75</v>
      </c>
      <c r="R226" s="330">
        <v>40.1</v>
      </c>
      <c r="S226" s="330">
        <v>124.46</v>
      </c>
      <c r="T226" s="333">
        <v>225</v>
      </c>
      <c r="U226" s="330">
        <v>117.17</v>
      </c>
      <c r="V226" s="333">
        <v>233</v>
      </c>
      <c r="W226" s="330">
        <v>0</v>
      </c>
      <c r="X226" s="333">
        <v>0</v>
      </c>
      <c r="Y226" s="330">
        <v>0</v>
      </c>
      <c r="Z226" s="330">
        <v>7</v>
      </c>
      <c r="AA226" s="330">
        <v>5</v>
      </c>
      <c r="AB226" s="330">
        <v>2</v>
      </c>
      <c r="AC226" s="330">
        <v>9</v>
      </c>
      <c r="AD226" s="330">
        <v>1495</v>
      </c>
      <c r="AE226" s="330">
        <v>2</v>
      </c>
      <c r="AF226" s="330">
        <v>14</v>
      </c>
      <c r="AG226" s="330">
        <v>16</v>
      </c>
    </row>
    <row r="227" spans="1:33" x14ac:dyDescent="0.3">
      <c r="A227" s="329" t="s">
        <v>508</v>
      </c>
      <c r="B227" s="329" t="s">
        <v>509</v>
      </c>
      <c r="C227" s="330">
        <v>3216</v>
      </c>
      <c r="D227" s="330">
        <v>8</v>
      </c>
      <c r="E227" s="330">
        <v>30</v>
      </c>
      <c r="F227" s="330">
        <v>145</v>
      </c>
      <c r="G227" s="330">
        <v>142</v>
      </c>
      <c r="H227" s="330">
        <v>3541</v>
      </c>
      <c r="I227" s="330">
        <v>3399</v>
      </c>
      <c r="J227" s="330">
        <v>2</v>
      </c>
      <c r="K227" s="330">
        <v>92.2</v>
      </c>
      <c r="L227" s="330">
        <v>88.42</v>
      </c>
      <c r="M227" s="330">
        <v>4</v>
      </c>
      <c r="N227" s="330">
        <v>93.8</v>
      </c>
      <c r="O227" s="333">
        <v>2040</v>
      </c>
      <c r="P227" s="330">
        <v>84.46</v>
      </c>
      <c r="Q227" s="330">
        <v>81.2</v>
      </c>
      <c r="R227" s="330">
        <v>54.75</v>
      </c>
      <c r="S227" s="330">
        <v>138.52000000000001</v>
      </c>
      <c r="T227" s="333">
        <v>159</v>
      </c>
      <c r="U227" s="330">
        <v>102.95</v>
      </c>
      <c r="V227" s="333">
        <v>1116</v>
      </c>
      <c r="W227" s="330">
        <v>0</v>
      </c>
      <c r="X227" s="333">
        <v>0</v>
      </c>
      <c r="Y227" s="330">
        <v>0</v>
      </c>
      <c r="Z227" s="330">
        <v>1</v>
      </c>
      <c r="AA227" s="330">
        <v>6</v>
      </c>
      <c r="AB227" s="330">
        <v>11</v>
      </c>
      <c r="AC227" s="330">
        <v>0</v>
      </c>
      <c r="AD227" s="330">
        <v>3191</v>
      </c>
      <c r="AE227" s="330">
        <v>47</v>
      </c>
      <c r="AF227" s="330">
        <v>10</v>
      </c>
      <c r="AG227" s="330">
        <v>57</v>
      </c>
    </row>
    <row r="228" spans="1:33" x14ac:dyDescent="0.3">
      <c r="A228" s="329" t="s">
        <v>510</v>
      </c>
      <c r="B228" s="329" t="s">
        <v>511</v>
      </c>
      <c r="C228" s="330">
        <v>26903</v>
      </c>
      <c r="D228" s="330">
        <v>14</v>
      </c>
      <c r="E228" s="330">
        <v>1598</v>
      </c>
      <c r="F228" s="330">
        <v>1357</v>
      </c>
      <c r="G228" s="330">
        <v>397</v>
      </c>
      <c r="H228" s="330">
        <v>30269</v>
      </c>
      <c r="I228" s="330">
        <v>29872</v>
      </c>
      <c r="J228" s="330">
        <v>3</v>
      </c>
      <c r="K228" s="330">
        <v>80.180000000000007</v>
      </c>
      <c r="L228" s="330">
        <v>80.150000000000006</v>
      </c>
      <c r="M228" s="330">
        <v>8.94</v>
      </c>
      <c r="N228" s="330">
        <v>84.34</v>
      </c>
      <c r="O228" s="333">
        <v>24214</v>
      </c>
      <c r="P228" s="330">
        <v>82.66</v>
      </c>
      <c r="Q228" s="330">
        <v>75.28</v>
      </c>
      <c r="R228" s="330">
        <v>39.06</v>
      </c>
      <c r="S228" s="330">
        <v>120.67</v>
      </c>
      <c r="T228" s="333">
        <v>2661</v>
      </c>
      <c r="U228" s="330">
        <v>113.38</v>
      </c>
      <c r="V228" s="333">
        <v>2366</v>
      </c>
      <c r="W228" s="330">
        <v>167.42</v>
      </c>
      <c r="X228" s="333">
        <v>65</v>
      </c>
      <c r="Y228" s="330">
        <v>0</v>
      </c>
      <c r="Z228" s="330">
        <v>143</v>
      </c>
      <c r="AA228" s="330">
        <v>29</v>
      </c>
      <c r="AB228" s="330">
        <v>11</v>
      </c>
      <c r="AC228" s="330">
        <v>23</v>
      </c>
      <c r="AD228" s="330">
        <v>26799</v>
      </c>
      <c r="AE228" s="330">
        <v>78</v>
      </c>
      <c r="AF228" s="330">
        <v>164</v>
      </c>
      <c r="AG228" s="330">
        <v>242</v>
      </c>
    </row>
    <row r="229" spans="1:33" x14ac:dyDescent="0.3">
      <c r="A229" s="329" t="s">
        <v>512</v>
      </c>
      <c r="B229" s="329" t="s">
        <v>513</v>
      </c>
      <c r="C229" s="330">
        <v>5983</v>
      </c>
      <c r="D229" s="330">
        <v>11</v>
      </c>
      <c r="E229" s="330">
        <v>481</v>
      </c>
      <c r="F229" s="330">
        <v>1039</v>
      </c>
      <c r="G229" s="330">
        <v>582</v>
      </c>
      <c r="H229" s="330">
        <v>8096</v>
      </c>
      <c r="I229" s="330">
        <v>7514</v>
      </c>
      <c r="J229" s="330">
        <v>1</v>
      </c>
      <c r="K229" s="330">
        <v>91.46</v>
      </c>
      <c r="L229" s="330">
        <v>89.41</v>
      </c>
      <c r="M229" s="330">
        <v>7.76</v>
      </c>
      <c r="N229" s="330">
        <v>97.55</v>
      </c>
      <c r="O229" s="333">
        <v>4483</v>
      </c>
      <c r="P229" s="330">
        <v>99.79</v>
      </c>
      <c r="Q229" s="330">
        <v>87.99</v>
      </c>
      <c r="R229" s="330">
        <v>50.82</v>
      </c>
      <c r="S229" s="330">
        <v>148.63</v>
      </c>
      <c r="T229" s="333">
        <v>1260</v>
      </c>
      <c r="U229" s="330">
        <v>116</v>
      </c>
      <c r="V229" s="333">
        <v>997</v>
      </c>
      <c r="W229" s="330">
        <v>246.45</v>
      </c>
      <c r="X229" s="333">
        <v>97</v>
      </c>
      <c r="Y229" s="330">
        <v>0</v>
      </c>
      <c r="Z229" s="330">
        <v>5</v>
      </c>
      <c r="AA229" s="330">
        <v>9</v>
      </c>
      <c r="AB229" s="330">
        <v>0</v>
      </c>
      <c r="AC229" s="330">
        <v>15</v>
      </c>
      <c r="AD229" s="330">
        <v>5754</v>
      </c>
      <c r="AE229" s="330">
        <v>27</v>
      </c>
      <c r="AF229" s="330">
        <v>23</v>
      </c>
      <c r="AG229" s="330">
        <v>50</v>
      </c>
    </row>
    <row r="230" spans="1:33" x14ac:dyDescent="0.3">
      <c r="A230" s="329" t="s">
        <v>514</v>
      </c>
      <c r="B230" s="329" t="s">
        <v>515</v>
      </c>
      <c r="C230" s="330">
        <v>6245</v>
      </c>
      <c r="D230" s="330">
        <v>0</v>
      </c>
      <c r="E230" s="330">
        <v>214</v>
      </c>
      <c r="F230" s="330">
        <v>670</v>
      </c>
      <c r="G230" s="330">
        <v>525</v>
      </c>
      <c r="H230" s="330">
        <v>7654</v>
      </c>
      <c r="I230" s="330">
        <v>7129</v>
      </c>
      <c r="J230" s="330">
        <v>1</v>
      </c>
      <c r="K230" s="330">
        <v>86.09</v>
      </c>
      <c r="L230" s="330">
        <v>85.46</v>
      </c>
      <c r="M230" s="330">
        <v>3.94</v>
      </c>
      <c r="N230" s="330">
        <v>87.74</v>
      </c>
      <c r="O230" s="333">
        <v>5383</v>
      </c>
      <c r="P230" s="330">
        <v>91.51</v>
      </c>
      <c r="Q230" s="330">
        <v>85.78</v>
      </c>
      <c r="R230" s="330">
        <v>39.340000000000003</v>
      </c>
      <c r="S230" s="330">
        <v>130.24</v>
      </c>
      <c r="T230" s="333">
        <v>647</v>
      </c>
      <c r="U230" s="330">
        <v>106.99</v>
      </c>
      <c r="V230" s="333">
        <v>837</v>
      </c>
      <c r="W230" s="330">
        <v>151.32</v>
      </c>
      <c r="X230" s="333">
        <v>150</v>
      </c>
      <c r="Y230" s="330">
        <v>0</v>
      </c>
      <c r="Z230" s="330">
        <v>19</v>
      </c>
      <c r="AA230" s="330">
        <v>0</v>
      </c>
      <c r="AB230" s="330">
        <v>62</v>
      </c>
      <c r="AC230" s="330">
        <v>9</v>
      </c>
      <c r="AD230" s="330">
        <v>6190</v>
      </c>
      <c r="AE230" s="330">
        <v>48</v>
      </c>
      <c r="AF230" s="330">
        <v>37</v>
      </c>
      <c r="AG230" s="330">
        <v>85</v>
      </c>
    </row>
    <row r="231" spans="1:33" x14ac:dyDescent="0.3">
      <c r="A231" s="329" t="s">
        <v>516</v>
      </c>
      <c r="B231" s="329" t="s">
        <v>517</v>
      </c>
      <c r="C231" s="330">
        <v>3014</v>
      </c>
      <c r="D231" s="330">
        <v>0</v>
      </c>
      <c r="E231" s="330">
        <v>279</v>
      </c>
      <c r="F231" s="330">
        <v>97</v>
      </c>
      <c r="G231" s="330">
        <v>369</v>
      </c>
      <c r="H231" s="330">
        <v>3759</v>
      </c>
      <c r="I231" s="330">
        <v>3390</v>
      </c>
      <c r="J231" s="330">
        <v>0</v>
      </c>
      <c r="K231" s="330">
        <v>94.23</v>
      </c>
      <c r="L231" s="330">
        <v>91.2</v>
      </c>
      <c r="M231" s="330">
        <v>4.75</v>
      </c>
      <c r="N231" s="330">
        <v>98.36</v>
      </c>
      <c r="O231" s="333">
        <v>1531</v>
      </c>
      <c r="P231" s="330">
        <v>93.58</v>
      </c>
      <c r="Q231" s="330">
        <v>78.040000000000006</v>
      </c>
      <c r="R231" s="330">
        <v>53.99</v>
      </c>
      <c r="S231" s="330">
        <v>147.57</v>
      </c>
      <c r="T231" s="333">
        <v>210</v>
      </c>
      <c r="U231" s="330">
        <v>121.47</v>
      </c>
      <c r="V231" s="333">
        <v>711</v>
      </c>
      <c r="W231" s="330">
        <v>0</v>
      </c>
      <c r="X231" s="333">
        <v>0</v>
      </c>
      <c r="Y231" s="330">
        <v>7</v>
      </c>
      <c r="Z231" s="330">
        <v>0</v>
      </c>
      <c r="AA231" s="330">
        <v>2</v>
      </c>
      <c r="AB231" s="330">
        <v>50</v>
      </c>
      <c r="AC231" s="330">
        <v>10</v>
      </c>
      <c r="AD231" s="330">
        <v>2126</v>
      </c>
      <c r="AE231" s="330">
        <v>5</v>
      </c>
      <c r="AF231" s="330">
        <v>3</v>
      </c>
      <c r="AG231" s="330">
        <v>8</v>
      </c>
    </row>
    <row r="232" spans="1:33" x14ac:dyDescent="0.3">
      <c r="A232" s="329" t="s">
        <v>518</v>
      </c>
      <c r="B232" s="329" t="s">
        <v>519</v>
      </c>
      <c r="C232" s="330">
        <v>15474</v>
      </c>
      <c r="D232" s="330">
        <v>0</v>
      </c>
      <c r="E232" s="330">
        <v>1706</v>
      </c>
      <c r="F232" s="330">
        <v>1619</v>
      </c>
      <c r="G232" s="330">
        <v>791</v>
      </c>
      <c r="H232" s="330">
        <v>19590</v>
      </c>
      <c r="I232" s="330">
        <v>18799</v>
      </c>
      <c r="J232" s="330">
        <v>19</v>
      </c>
      <c r="K232" s="330">
        <v>88.62</v>
      </c>
      <c r="L232" s="330">
        <v>86.07</v>
      </c>
      <c r="M232" s="330">
        <v>11.77</v>
      </c>
      <c r="N232" s="330">
        <v>92.86</v>
      </c>
      <c r="O232" s="333">
        <v>13547</v>
      </c>
      <c r="P232" s="330">
        <v>82.67</v>
      </c>
      <c r="Q232" s="330">
        <v>77.03</v>
      </c>
      <c r="R232" s="330">
        <v>37.94</v>
      </c>
      <c r="S232" s="330">
        <v>119.09</v>
      </c>
      <c r="T232" s="333">
        <v>2979</v>
      </c>
      <c r="U232" s="330">
        <v>107.13</v>
      </c>
      <c r="V232" s="333">
        <v>1341</v>
      </c>
      <c r="W232" s="330">
        <v>129.52000000000001</v>
      </c>
      <c r="X232" s="333">
        <v>18</v>
      </c>
      <c r="Y232" s="330">
        <v>0</v>
      </c>
      <c r="Z232" s="330">
        <v>71</v>
      </c>
      <c r="AA232" s="330">
        <v>4</v>
      </c>
      <c r="AB232" s="330">
        <v>28</v>
      </c>
      <c r="AC232" s="330">
        <v>8</v>
      </c>
      <c r="AD232" s="330">
        <v>15066</v>
      </c>
      <c r="AE232" s="330">
        <v>55</v>
      </c>
      <c r="AF232" s="330">
        <v>31</v>
      </c>
      <c r="AG232" s="330">
        <v>86</v>
      </c>
    </row>
    <row r="233" spans="1:33" x14ac:dyDescent="0.3">
      <c r="A233" s="329" t="s">
        <v>520</v>
      </c>
      <c r="B233" s="329" t="s">
        <v>521</v>
      </c>
      <c r="C233" s="330">
        <v>1892</v>
      </c>
      <c r="D233" s="330">
        <v>0</v>
      </c>
      <c r="E233" s="330">
        <v>38</v>
      </c>
      <c r="F233" s="330">
        <v>195</v>
      </c>
      <c r="G233" s="330">
        <v>477</v>
      </c>
      <c r="H233" s="330">
        <v>2602</v>
      </c>
      <c r="I233" s="330">
        <v>2125</v>
      </c>
      <c r="J233" s="330">
        <v>0</v>
      </c>
      <c r="K233" s="330">
        <v>94.48</v>
      </c>
      <c r="L233" s="330">
        <v>87.43</v>
      </c>
      <c r="M233" s="330">
        <v>5.68</v>
      </c>
      <c r="N233" s="330">
        <v>98.32</v>
      </c>
      <c r="O233" s="333">
        <v>1104</v>
      </c>
      <c r="P233" s="330">
        <v>106.4</v>
      </c>
      <c r="Q233" s="330">
        <v>95.15</v>
      </c>
      <c r="R233" s="330">
        <v>59.96</v>
      </c>
      <c r="S233" s="330">
        <v>165.84</v>
      </c>
      <c r="T233" s="333">
        <v>233</v>
      </c>
      <c r="U233" s="330">
        <v>116.21</v>
      </c>
      <c r="V233" s="333">
        <v>588</v>
      </c>
      <c r="W233" s="330">
        <v>0</v>
      </c>
      <c r="X233" s="333">
        <v>0</v>
      </c>
      <c r="Y233" s="330">
        <v>2</v>
      </c>
      <c r="Z233" s="330">
        <v>0</v>
      </c>
      <c r="AA233" s="330">
        <v>3</v>
      </c>
      <c r="AB233" s="330">
        <v>65</v>
      </c>
      <c r="AC233" s="330">
        <v>12</v>
      </c>
      <c r="AD233" s="330">
        <v>1852</v>
      </c>
      <c r="AE233" s="330">
        <v>13</v>
      </c>
      <c r="AF233" s="330">
        <v>4</v>
      </c>
      <c r="AG233" s="330">
        <v>17</v>
      </c>
    </row>
    <row r="234" spans="1:33" x14ac:dyDescent="0.3">
      <c r="A234" s="329" t="s">
        <v>522</v>
      </c>
      <c r="B234" s="329" t="s">
        <v>523</v>
      </c>
      <c r="C234" s="330">
        <v>5532</v>
      </c>
      <c r="D234" s="330">
        <v>0</v>
      </c>
      <c r="E234" s="330">
        <v>84</v>
      </c>
      <c r="F234" s="330">
        <v>1072</v>
      </c>
      <c r="G234" s="330">
        <v>893</v>
      </c>
      <c r="H234" s="330">
        <v>7581</v>
      </c>
      <c r="I234" s="330">
        <v>6688</v>
      </c>
      <c r="J234" s="330">
        <v>207</v>
      </c>
      <c r="K234" s="330">
        <v>109.66</v>
      </c>
      <c r="L234" s="330">
        <v>106.1</v>
      </c>
      <c r="M234" s="330">
        <v>4.33</v>
      </c>
      <c r="N234" s="330">
        <v>112.41</v>
      </c>
      <c r="O234" s="333">
        <v>5180</v>
      </c>
      <c r="P234" s="330">
        <v>94.71</v>
      </c>
      <c r="Q234" s="330">
        <v>89.97</v>
      </c>
      <c r="R234" s="330">
        <v>23.65</v>
      </c>
      <c r="S234" s="330">
        <v>117.91</v>
      </c>
      <c r="T234" s="333">
        <v>903</v>
      </c>
      <c r="U234" s="330">
        <v>166.2</v>
      </c>
      <c r="V234" s="333">
        <v>318</v>
      </c>
      <c r="W234" s="330">
        <v>144.11000000000001</v>
      </c>
      <c r="X234" s="333">
        <v>102</v>
      </c>
      <c r="Y234" s="330">
        <v>0</v>
      </c>
      <c r="Z234" s="330">
        <v>2</v>
      </c>
      <c r="AA234" s="330">
        <v>0</v>
      </c>
      <c r="AB234" s="330">
        <v>14</v>
      </c>
      <c r="AC234" s="330">
        <v>17</v>
      </c>
      <c r="AD234" s="330">
        <v>5520</v>
      </c>
      <c r="AE234" s="330">
        <v>23</v>
      </c>
      <c r="AF234" s="330">
        <v>13</v>
      </c>
      <c r="AG234" s="330">
        <v>36</v>
      </c>
    </row>
    <row r="235" spans="1:33" x14ac:dyDescent="0.3">
      <c r="A235" s="329" t="s">
        <v>524</v>
      </c>
      <c r="B235" s="329" t="s">
        <v>525</v>
      </c>
      <c r="C235" s="330">
        <v>15420</v>
      </c>
      <c r="D235" s="330">
        <v>2</v>
      </c>
      <c r="E235" s="330">
        <v>1375</v>
      </c>
      <c r="F235" s="330">
        <v>1123</v>
      </c>
      <c r="G235" s="330">
        <v>477</v>
      </c>
      <c r="H235" s="330">
        <v>18397</v>
      </c>
      <c r="I235" s="330">
        <v>17920</v>
      </c>
      <c r="J235" s="330">
        <v>2</v>
      </c>
      <c r="K235" s="330">
        <v>82.08</v>
      </c>
      <c r="L235" s="330">
        <v>80.52</v>
      </c>
      <c r="M235" s="330">
        <v>8.3800000000000008</v>
      </c>
      <c r="N235" s="330">
        <v>84.85</v>
      </c>
      <c r="O235" s="333">
        <v>12824</v>
      </c>
      <c r="P235" s="330">
        <v>88.01</v>
      </c>
      <c r="Q235" s="330">
        <v>77.72</v>
      </c>
      <c r="R235" s="330">
        <v>55.2</v>
      </c>
      <c r="S235" s="330">
        <v>142.25</v>
      </c>
      <c r="T235" s="333">
        <v>2188</v>
      </c>
      <c r="U235" s="330">
        <v>101.2</v>
      </c>
      <c r="V235" s="333">
        <v>2327</v>
      </c>
      <c r="W235" s="330">
        <v>140.41999999999999</v>
      </c>
      <c r="X235" s="333">
        <v>13</v>
      </c>
      <c r="Y235" s="330">
        <v>0</v>
      </c>
      <c r="Z235" s="330">
        <v>41</v>
      </c>
      <c r="AA235" s="330">
        <v>12</v>
      </c>
      <c r="AB235" s="330">
        <v>33</v>
      </c>
      <c r="AC235" s="330">
        <v>4</v>
      </c>
      <c r="AD235" s="330">
        <v>15314</v>
      </c>
      <c r="AE235" s="330">
        <v>104</v>
      </c>
      <c r="AF235" s="330">
        <v>87</v>
      </c>
      <c r="AG235" s="330">
        <v>191</v>
      </c>
    </row>
    <row r="236" spans="1:33" x14ac:dyDescent="0.3">
      <c r="A236" s="329" t="s">
        <v>526</v>
      </c>
      <c r="B236" s="329" t="s">
        <v>527</v>
      </c>
      <c r="C236" s="330">
        <v>12755</v>
      </c>
      <c r="D236" s="330">
        <v>24</v>
      </c>
      <c r="E236" s="330">
        <v>401</v>
      </c>
      <c r="F236" s="330">
        <v>1742</v>
      </c>
      <c r="G236" s="330">
        <v>1103</v>
      </c>
      <c r="H236" s="330">
        <v>16025</v>
      </c>
      <c r="I236" s="330">
        <v>14922</v>
      </c>
      <c r="J236" s="330">
        <v>0</v>
      </c>
      <c r="K236" s="330">
        <v>90.36</v>
      </c>
      <c r="L236" s="330">
        <v>88.29</v>
      </c>
      <c r="M236" s="330">
        <v>3.52</v>
      </c>
      <c r="N236" s="330">
        <v>92.26</v>
      </c>
      <c r="O236" s="333">
        <v>9959</v>
      </c>
      <c r="P236" s="330">
        <v>87.5</v>
      </c>
      <c r="Q236" s="330">
        <v>80.89</v>
      </c>
      <c r="R236" s="330">
        <v>25.43</v>
      </c>
      <c r="S236" s="330">
        <v>112.73</v>
      </c>
      <c r="T236" s="333">
        <v>1628</v>
      </c>
      <c r="U236" s="330">
        <v>110.56</v>
      </c>
      <c r="V236" s="333">
        <v>1994</v>
      </c>
      <c r="W236" s="330">
        <v>199.33</v>
      </c>
      <c r="X236" s="333">
        <v>411</v>
      </c>
      <c r="Y236" s="330">
        <v>0</v>
      </c>
      <c r="Z236" s="330">
        <v>25</v>
      </c>
      <c r="AA236" s="330">
        <v>12</v>
      </c>
      <c r="AB236" s="330">
        <v>73</v>
      </c>
      <c r="AC236" s="330">
        <v>13</v>
      </c>
      <c r="AD236" s="330">
        <v>12463</v>
      </c>
      <c r="AE236" s="330">
        <v>62</v>
      </c>
      <c r="AF236" s="330">
        <v>162</v>
      </c>
      <c r="AG236" s="330">
        <v>224</v>
      </c>
    </row>
    <row r="237" spans="1:33" x14ac:dyDescent="0.3">
      <c r="A237" s="329" t="s">
        <v>528</v>
      </c>
      <c r="B237" s="329" t="s">
        <v>529</v>
      </c>
      <c r="C237" s="330">
        <v>3562</v>
      </c>
      <c r="D237" s="330">
        <v>24</v>
      </c>
      <c r="E237" s="330">
        <v>363</v>
      </c>
      <c r="F237" s="330">
        <v>230</v>
      </c>
      <c r="G237" s="330">
        <v>442</v>
      </c>
      <c r="H237" s="330">
        <v>4621</v>
      </c>
      <c r="I237" s="330">
        <v>4179</v>
      </c>
      <c r="J237" s="330">
        <v>9</v>
      </c>
      <c r="K237" s="330">
        <v>123.47</v>
      </c>
      <c r="L237" s="330">
        <v>122.15</v>
      </c>
      <c r="M237" s="330">
        <v>8.4700000000000006</v>
      </c>
      <c r="N237" s="330">
        <v>130.72</v>
      </c>
      <c r="O237" s="333">
        <v>3191</v>
      </c>
      <c r="P237" s="330">
        <v>111.37</v>
      </c>
      <c r="Q237" s="330">
        <v>100.71</v>
      </c>
      <c r="R237" s="330">
        <v>59.9</v>
      </c>
      <c r="S237" s="330">
        <v>159.1</v>
      </c>
      <c r="T237" s="333">
        <v>482</v>
      </c>
      <c r="U237" s="330">
        <v>152.87</v>
      </c>
      <c r="V237" s="333">
        <v>177</v>
      </c>
      <c r="W237" s="330">
        <v>0</v>
      </c>
      <c r="X237" s="333">
        <v>0</v>
      </c>
      <c r="Y237" s="330">
        <v>282</v>
      </c>
      <c r="Z237" s="330">
        <v>5</v>
      </c>
      <c r="AA237" s="330">
        <v>0</v>
      </c>
      <c r="AB237" s="330">
        <v>0</v>
      </c>
      <c r="AC237" s="330">
        <v>18</v>
      </c>
      <c r="AD237" s="330">
        <v>3414</v>
      </c>
      <c r="AE237" s="330">
        <v>20</v>
      </c>
      <c r="AF237" s="330">
        <v>22</v>
      </c>
      <c r="AG237" s="330">
        <v>42</v>
      </c>
    </row>
    <row r="238" spans="1:33" x14ac:dyDescent="0.3">
      <c r="A238" s="329" t="s">
        <v>530</v>
      </c>
      <c r="B238" s="329" t="s">
        <v>531</v>
      </c>
      <c r="C238" s="330">
        <v>2719</v>
      </c>
      <c r="D238" s="330">
        <v>0</v>
      </c>
      <c r="E238" s="330">
        <v>238</v>
      </c>
      <c r="F238" s="330">
        <v>607</v>
      </c>
      <c r="G238" s="330">
        <v>615</v>
      </c>
      <c r="H238" s="330">
        <v>4179</v>
      </c>
      <c r="I238" s="330">
        <v>3564</v>
      </c>
      <c r="J238" s="330">
        <v>1</v>
      </c>
      <c r="K238" s="330">
        <v>106.55</v>
      </c>
      <c r="L238" s="330">
        <v>105</v>
      </c>
      <c r="M238" s="330">
        <v>5.63</v>
      </c>
      <c r="N238" s="330">
        <v>111.04</v>
      </c>
      <c r="O238" s="333">
        <v>2082</v>
      </c>
      <c r="P238" s="330">
        <v>94.87</v>
      </c>
      <c r="Q238" s="330">
        <v>86.64</v>
      </c>
      <c r="R238" s="330">
        <v>60.12</v>
      </c>
      <c r="S238" s="330">
        <v>152.57</v>
      </c>
      <c r="T238" s="333">
        <v>471</v>
      </c>
      <c r="U238" s="330">
        <v>117.04</v>
      </c>
      <c r="V238" s="333">
        <v>601</v>
      </c>
      <c r="W238" s="330">
        <v>228.23</v>
      </c>
      <c r="X238" s="333">
        <v>38</v>
      </c>
      <c r="Y238" s="330">
        <v>0</v>
      </c>
      <c r="Z238" s="330">
        <v>2</v>
      </c>
      <c r="AA238" s="330">
        <v>10</v>
      </c>
      <c r="AB238" s="330">
        <v>46</v>
      </c>
      <c r="AC238" s="330">
        <v>20</v>
      </c>
      <c r="AD238" s="330">
        <v>2682</v>
      </c>
      <c r="AE238" s="330">
        <v>11</v>
      </c>
      <c r="AF238" s="330">
        <v>1</v>
      </c>
      <c r="AG238" s="330">
        <v>12</v>
      </c>
    </row>
    <row r="239" spans="1:33" x14ac:dyDescent="0.3">
      <c r="A239" s="329" t="s">
        <v>532</v>
      </c>
      <c r="B239" s="329" t="s">
        <v>533</v>
      </c>
      <c r="C239" s="330">
        <v>4175</v>
      </c>
      <c r="D239" s="330">
        <v>0</v>
      </c>
      <c r="E239" s="330">
        <v>410</v>
      </c>
      <c r="F239" s="330">
        <v>883</v>
      </c>
      <c r="G239" s="330">
        <v>666</v>
      </c>
      <c r="H239" s="330">
        <v>6134</v>
      </c>
      <c r="I239" s="330">
        <v>5468</v>
      </c>
      <c r="J239" s="330">
        <v>1</v>
      </c>
      <c r="K239" s="330">
        <v>98.41</v>
      </c>
      <c r="L239" s="330">
        <v>96.74</v>
      </c>
      <c r="M239" s="330">
        <v>4.8</v>
      </c>
      <c r="N239" s="330">
        <v>102.4</v>
      </c>
      <c r="O239" s="333">
        <v>3374</v>
      </c>
      <c r="P239" s="330">
        <v>93.73</v>
      </c>
      <c r="Q239" s="330">
        <v>89.81</v>
      </c>
      <c r="R239" s="330">
        <v>40.56</v>
      </c>
      <c r="S239" s="330">
        <v>133.61000000000001</v>
      </c>
      <c r="T239" s="333">
        <v>1015</v>
      </c>
      <c r="U239" s="330">
        <v>117.46</v>
      </c>
      <c r="V239" s="333">
        <v>395</v>
      </c>
      <c r="W239" s="330">
        <v>181.19</v>
      </c>
      <c r="X239" s="333">
        <v>96</v>
      </c>
      <c r="Y239" s="330">
        <v>0</v>
      </c>
      <c r="Z239" s="330">
        <v>4</v>
      </c>
      <c r="AA239" s="330">
        <v>12</v>
      </c>
      <c r="AB239" s="330">
        <v>53</v>
      </c>
      <c r="AC239" s="330">
        <v>15</v>
      </c>
      <c r="AD239" s="330">
        <v>3775</v>
      </c>
      <c r="AE239" s="330">
        <v>8</v>
      </c>
      <c r="AF239" s="330">
        <v>10</v>
      </c>
      <c r="AG239" s="330">
        <v>18</v>
      </c>
    </row>
    <row r="240" spans="1:33" x14ac:dyDescent="0.3">
      <c r="A240" s="329" t="s">
        <v>534</v>
      </c>
      <c r="B240" s="329" t="s">
        <v>535</v>
      </c>
      <c r="C240" s="330">
        <v>3805</v>
      </c>
      <c r="D240" s="330">
        <v>0</v>
      </c>
      <c r="E240" s="330">
        <v>357</v>
      </c>
      <c r="F240" s="330">
        <v>206</v>
      </c>
      <c r="G240" s="330">
        <v>1389</v>
      </c>
      <c r="H240" s="330">
        <v>5757</v>
      </c>
      <c r="I240" s="330">
        <v>4368</v>
      </c>
      <c r="J240" s="330">
        <v>13</v>
      </c>
      <c r="K240" s="330">
        <v>114.42</v>
      </c>
      <c r="L240" s="330">
        <v>113.73</v>
      </c>
      <c r="M240" s="330">
        <v>3.62</v>
      </c>
      <c r="N240" s="330">
        <v>117.58</v>
      </c>
      <c r="O240" s="333">
        <v>2385</v>
      </c>
      <c r="P240" s="330">
        <v>106.89</v>
      </c>
      <c r="Q240" s="330">
        <v>102.03</v>
      </c>
      <c r="R240" s="330">
        <v>50.9</v>
      </c>
      <c r="S240" s="330">
        <v>157.79</v>
      </c>
      <c r="T240" s="333">
        <v>261</v>
      </c>
      <c r="U240" s="330">
        <v>162.31</v>
      </c>
      <c r="V240" s="333">
        <v>1050</v>
      </c>
      <c r="W240" s="330">
        <v>187.27</v>
      </c>
      <c r="X240" s="333">
        <v>79</v>
      </c>
      <c r="Y240" s="330">
        <v>10</v>
      </c>
      <c r="Z240" s="330">
        <v>2</v>
      </c>
      <c r="AA240" s="330">
        <v>1</v>
      </c>
      <c r="AB240" s="330">
        <v>110</v>
      </c>
      <c r="AC240" s="330">
        <v>33</v>
      </c>
      <c r="AD240" s="330">
        <v>3578</v>
      </c>
      <c r="AE240" s="330">
        <v>79</v>
      </c>
      <c r="AF240" s="330">
        <v>9</v>
      </c>
      <c r="AG240" s="330">
        <v>88</v>
      </c>
    </row>
    <row r="241" spans="1:33" x14ac:dyDescent="0.3">
      <c r="A241" s="329" t="s">
        <v>536</v>
      </c>
      <c r="B241" s="329" t="s">
        <v>537</v>
      </c>
      <c r="C241" s="330">
        <v>1859</v>
      </c>
      <c r="D241" s="330">
        <v>0</v>
      </c>
      <c r="E241" s="330">
        <v>93</v>
      </c>
      <c r="F241" s="330">
        <v>116</v>
      </c>
      <c r="G241" s="330">
        <v>427</v>
      </c>
      <c r="H241" s="330">
        <v>2495</v>
      </c>
      <c r="I241" s="330">
        <v>2068</v>
      </c>
      <c r="J241" s="330">
        <v>0</v>
      </c>
      <c r="K241" s="330">
        <v>96.12</v>
      </c>
      <c r="L241" s="330">
        <v>95.08</v>
      </c>
      <c r="M241" s="330">
        <v>4.41</v>
      </c>
      <c r="N241" s="330">
        <v>99.28</v>
      </c>
      <c r="O241" s="333">
        <v>1352</v>
      </c>
      <c r="P241" s="330">
        <v>110.53</v>
      </c>
      <c r="Q241" s="330">
        <v>94.39</v>
      </c>
      <c r="R241" s="330">
        <v>75.09</v>
      </c>
      <c r="S241" s="330">
        <v>184.75</v>
      </c>
      <c r="T241" s="333">
        <v>173</v>
      </c>
      <c r="U241" s="330">
        <v>112.86</v>
      </c>
      <c r="V241" s="333">
        <v>498</v>
      </c>
      <c r="W241" s="330">
        <v>273.45999999999998</v>
      </c>
      <c r="X241" s="333">
        <v>11</v>
      </c>
      <c r="Y241" s="330">
        <v>21</v>
      </c>
      <c r="Z241" s="330">
        <v>0</v>
      </c>
      <c r="AA241" s="330">
        <v>0</v>
      </c>
      <c r="AB241" s="330">
        <v>32</v>
      </c>
      <c r="AC241" s="330">
        <v>4</v>
      </c>
      <c r="AD241" s="330">
        <v>1843</v>
      </c>
      <c r="AE241" s="330">
        <v>20</v>
      </c>
      <c r="AF241" s="330">
        <v>4</v>
      </c>
      <c r="AG241" s="330">
        <v>24</v>
      </c>
    </row>
    <row r="242" spans="1:33" x14ac:dyDescent="0.3">
      <c r="A242" s="329" t="s">
        <v>538</v>
      </c>
      <c r="B242" s="329" t="s">
        <v>539</v>
      </c>
      <c r="C242" s="330">
        <v>11517</v>
      </c>
      <c r="D242" s="330">
        <v>0</v>
      </c>
      <c r="E242" s="330">
        <v>339</v>
      </c>
      <c r="F242" s="330">
        <v>1825</v>
      </c>
      <c r="G242" s="330">
        <v>1248</v>
      </c>
      <c r="H242" s="330">
        <v>14929</v>
      </c>
      <c r="I242" s="330">
        <v>13681</v>
      </c>
      <c r="J242" s="330">
        <v>2</v>
      </c>
      <c r="K242" s="330">
        <v>102.78</v>
      </c>
      <c r="L242" s="330">
        <v>103.03</v>
      </c>
      <c r="M242" s="330">
        <v>5.9</v>
      </c>
      <c r="N242" s="330">
        <v>106.39</v>
      </c>
      <c r="O242" s="333">
        <v>10456</v>
      </c>
      <c r="P242" s="330">
        <v>95.23</v>
      </c>
      <c r="Q242" s="330">
        <v>88.57</v>
      </c>
      <c r="R242" s="330">
        <v>37.32</v>
      </c>
      <c r="S242" s="330">
        <v>131.9</v>
      </c>
      <c r="T242" s="333">
        <v>2007</v>
      </c>
      <c r="U242" s="330">
        <v>146.97999999999999</v>
      </c>
      <c r="V242" s="333">
        <v>698</v>
      </c>
      <c r="W242" s="330">
        <v>109.83</v>
      </c>
      <c r="X242" s="333">
        <v>1</v>
      </c>
      <c r="Y242" s="330">
        <v>0</v>
      </c>
      <c r="Z242" s="330">
        <v>23</v>
      </c>
      <c r="AA242" s="330">
        <v>16</v>
      </c>
      <c r="AB242" s="330">
        <v>125</v>
      </c>
      <c r="AC242" s="330">
        <v>20</v>
      </c>
      <c r="AD242" s="330">
        <v>11198</v>
      </c>
      <c r="AE242" s="330">
        <v>98</v>
      </c>
      <c r="AF242" s="330">
        <v>54</v>
      </c>
      <c r="AG242" s="330">
        <v>152</v>
      </c>
    </row>
    <row r="243" spans="1:33" x14ac:dyDescent="0.3">
      <c r="A243" s="329" t="s">
        <v>540</v>
      </c>
      <c r="B243" s="329" t="s">
        <v>541</v>
      </c>
      <c r="C243" s="330">
        <v>4033</v>
      </c>
      <c r="D243" s="330">
        <v>0</v>
      </c>
      <c r="E243" s="330">
        <v>98</v>
      </c>
      <c r="F243" s="330">
        <v>596</v>
      </c>
      <c r="G243" s="330">
        <v>621</v>
      </c>
      <c r="H243" s="330">
        <v>5348</v>
      </c>
      <c r="I243" s="330">
        <v>4727</v>
      </c>
      <c r="J243" s="330">
        <v>0</v>
      </c>
      <c r="K243" s="330">
        <v>96.11</v>
      </c>
      <c r="L243" s="330">
        <v>92.53</v>
      </c>
      <c r="M243" s="330">
        <v>2.31</v>
      </c>
      <c r="N243" s="330">
        <v>98.29</v>
      </c>
      <c r="O243" s="333">
        <v>3283</v>
      </c>
      <c r="P243" s="330">
        <v>84.97</v>
      </c>
      <c r="Q243" s="330">
        <v>75.55</v>
      </c>
      <c r="R243" s="330">
        <v>38.020000000000003</v>
      </c>
      <c r="S243" s="330">
        <v>122.51</v>
      </c>
      <c r="T243" s="333">
        <v>555</v>
      </c>
      <c r="U243" s="330">
        <v>130.18</v>
      </c>
      <c r="V243" s="333">
        <v>418</v>
      </c>
      <c r="W243" s="330">
        <v>182.48</v>
      </c>
      <c r="X243" s="333">
        <v>52</v>
      </c>
      <c r="Y243" s="330">
        <v>0</v>
      </c>
      <c r="Z243" s="330">
        <v>12</v>
      </c>
      <c r="AA243" s="330">
        <v>1</v>
      </c>
      <c r="AB243" s="330">
        <v>56</v>
      </c>
      <c r="AC243" s="330">
        <v>21</v>
      </c>
      <c r="AD243" s="330">
        <v>3762</v>
      </c>
      <c r="AE243" s="330">
        <v>10</v>
      </c>
      <c r="AF243" s="330">
        <v>12</v>
      </c>
      <c r="AG243" s="330">
        <v>22</v>
      </c>
    </row>
    <row r="244" spans="1:33" x14ac:dyDescent="0.3">
      <c r="A244" s="329" t="s">
        <v>542</v>
      </c>
      <c r="B244" s="329" t="s">
        <v>543</v>
      </c>
      <c r="C244" s="330">
        <v>1213</v>
      </c>
      <c r="D244" s="330">
        <v>0</v>
      </c>
      <c r="E244" s="330">
        <v>107</v>
      </c>
      <c r="F244" s="330">
        <v>0</v>
      </c>
      <c r="G244" s="330">
        <v>483</v>
      </c>
      <c r="H244" s="330">
        <v>1803</v>
      </c>
      <c r="I244" s="330">
        <v>1320</v>
      </c>
      <c r="J244" s="330">
        <v>6</v>
      </c>
      <c r="K244" s="330">
        <v>87.62</v>
      </c>
      <c r="L244" s="330">
        <v>85.73</v>
      </c>
      <c r="M244" s="330">
        <v>4.9800000000000004</v>
      </c>
      <c r="N244" s="330">
        <v>91.64</v>
      </c>
      <c r="O244" s="333">
        <v>749</v>
      </c>
      <c r="P244" s="330">
        <v>134.57</v>
      </c>
      <c r="Q244" s="330">
        <v>70.760000000000005</v>
      </c>
      <c r="R244" s="330">
        <v>99.16</v>
      </c>
      <c r="S244" s="330">
        <v>233.73</v>
      </c>
      <c r="T244" s="333">
        <v>98</v>
      </c>
      <c r="U244" s="330">
        <v>116.39</v>
      </c>
      <c r="V244" s="333">
        <v>345</v>
      </c>
      <c r="W244" s="330">
        <v>0</v>
      </c>
      <c r="X244" s="333">
        <v>0</v>
      </c>
      <c r="Y244" s="330">
        <v>0</v>
      </c>
      <c r="Z244" s="330">
        <v>1</v>
      </c>
      <c r="AA244" s="330">
        <v>0</v>
      </c>
      <c r="AB244" s="330">
        <v>116</v>
      </c>
      <c r="AC244" s="330">
        <v>4</v>
      </c>
      <c r="AD244" s="330">
        <v>1148</v>
      </c>
      <c r="AE244" s="330">
        <v>2</v>
      </c>
      <c r="AF244" s="330">
        <v>4</v>
      </c>
      <c r="AG244" s="330">
        <v>6</v>
      </c>
    </row>
    <row r="245" spans="1:33" x14ac:dyDescent="0.3">
      <c r="A245" s="329" t="s">
        <v>544</v>
      </c>
      <c r="B245" s="329" t="s">
        <v>545</v>
      </c>
      <c r="C245" s="330">
        <v>1858</v>
      </c>
      <c r="D245" s="330">
        <v>0</v>
      </c>
      <c r="E245" s="330">
        <v>141</v>
      </c>
      <c r="F245" s="330">
        <v>268</v>
      </c>
      <c r="G245" s="330">
        <v>568</v>
      </c>
      <c r="H245" s="330">
        <v>2835</v>
      </c>
      <c r="I245" s="330">
        <v>2267</v>
      </c>
      <c r="J245" s="330">
        <v>1</v>
      </c>
      <c r="K245" s="330">
        <v>90.96</v>
      </c>
      <c r="L245" s="330">
        <v>88.9</v>
      </c>
      <c r="M245" s="330">
        <v>5.81</v>
      </c>
      <c r="N245" s="330">
        <v>96.01</v>
      </c>
      <c r="O245" s="333">
        <v>1244</v>
      </c>
      <c r="P245" s="330">
        <v>98.09</v>
      </c>
      <c r="Q245" s="330">
        <v>72.599999999999994</v>
      </c>
      <c r="R245" s="330">
        <v>49.21</v>
      </c>
      <c r="S245" s="330">
        <v>147.31</v>
      </c>
      <c r="T245" s="333">
        <v>276</v>
      </c>
      <c r="U245" s="330">
        <v>112.14</v>
      </c>
      <c r="V245" s="333">
        <v>317</v>
      </c>
      <c r="W245" s="330">
        <v>0</v>
      </c>
      <c r="X245" s="333">
        <v>0</v>
      </c>
      <c r="Y245" s="330">
        <v>55</v>
      </c>
      <c r="Z245" s="330">
        <v>1</v>
      </c>
      <c r="AA245" s="330">
        <v>2</v>
      </c>
      <c r="AB245" s="330">
        <v>49</v>
      </c>
      <c r="AC245" s="330">
        <v>12</v>
      </c>
      <c r="AD245" s="330">
        <v>1768</v>
      </c>
      <c r="AE245" s="330">
        <v>8</v>
      </c>
      <c r="AF245" s="330">
        <v>17</v>
      </c>
      <c r="AG245" s="330">
        <v>25</v>
      </c>
    </row>
    <row r="246" spans="1:33" x14ac:dyDescent="0.3">
      <c r="A246" s="329" t="s">
        <v>546</v>
      </c>
      <c r="B246" s="329" t="s">
        <v>547</v>
      </c>
      <c r="C246" s="330">
        <v>4109</v>
      </c>
      <c r="D246" s="330">
        <v>0</v>
      </c>
      <c r="E246" s="330">
        <v>212</v>
      </c>
      <c r="F246" s="330">
        <v>536</v>
      </c>
      <c r="G246" s="330">
        <v>239</v>
      </c>
      <c r="H246" s="330">
        <v>5096</v>
      </c>
      <c r="I246" s="330">
        <v>4857</v>
      </c>
      <c r="J246" s="330">
        <v>7</v>
      </c>
      <c r="K246" s="330">
        <v>94.68</v>
      </c>
      <c r="L246" s="330">
        <v>94.14</v>
      </c>
      <c r="M246" s="330">
        <v>4.3099999999999996</v>
      </c>
      <c r="N246" s="330">
        <v>95.96</v>
      </c>
      <c r="O246" s="333">
        <v>3510</v>
      </c>
      <c r="P246" s="330">
        <v>87.5</v>
      </c>
      <c r="Q246" s="330">
        <v>83.68</v>
      </c>
      <c r="R246" s="330">
        <v>41.9</v>
      </c>
      <c r="S246" s="330">
        <v>128.83000000000001</v>
      </c>
      <c r="T246" s="333">
        <v>658</v>
      </c>
      <c r="U246" s="330">
        <v>116.47</v>
      </c>
      <c r="V246" s="333">
        <v>493</v>
      </c>
      <c r="W246" s="330">
        <v>210</v>
      </c>
      <c r="X246" s="333">
        <v>24</v>
      </c>
      <c r="Y246" s="330">
        <v>0</v>
      </c>
      <c r="Z246" s="330">
        <v>20</v>
      </c>
      <c r="AA246" s="330">
        <v>0</v>
      </c>
      <c r="AB246" s="330">
        <v>11</v>
      </c>
      <c r="AC246" s="330">
        <v>3</v>
      </c>
      <c r="AD246" s="330">
        <v>4023</v>
      </c>
      <c r="AE246" s="330">
        <v>20</v>
      </c>
      <c r="AF246" s="330">
        <v>9</v>
      </c>
      <c r="AG246" s="330">
        <v>29</v>
      </c>
    </row>
    <row r="247" spans="1:33" x14ac:dyDescent="0.3">
      <c r="A247" s="329" t="s">
        <v>548</v>
      </c>
      <c r="B247" s="329" t="s">
        <v>549</v>
      </c>
      <c r="C247" s="330">
        <v>6716</v>
      </c>
      <c r="D247" s="330">
        <v>0</v>
      </c>
      <c r="E247" s="330">
        <v>215</v>
      </c>
      <c r="F247" s="330">
        <v>819</v>
      </c>
      <c r="G247" s="330">
        <v>721</v>
      </c>
      <c r="H247" s="330">
        <v>8471</v>
      </c>
      <c r="I247" s="330">
        <v>7750</v>
      </c>
      <c r="J247" s="330">
        <v>3</v>
      </c>
      <c r="K247" s="330">
        <v>90.71</v>
      </c>
      <c r="L247" s="330">
        <v>89.97</v>
      </c>
      <c r="M247" s="330">
        <v>5.19</v>
      </c>
      <c r="N247" s="330">
        <v>92.29</v>
      </c>
      <c r="O247" s="333">
        <v>4465</v>
      </c>
      <c r="P247" s="330">
        <v>91.92</v>
      </c>
      <c r="Q247" s="330">
        <v>82.68</v>
      </c>
      <c r="R247" s="330">
        <v>43.94</v>
      </c>
      <c r="S247" s="330">
        <v>135.86000000000001</v>
      </c>
      <c r="T247" s="333">
        <v>987</v>
      </c>
      <c r="U247" s="330">
        <v>118.76</v>
      </c>
      <c r="V247" s="333">
        <v>2033</v>
      </c>
      <c r="W247" s="330">
        <v>0</v>
      </c>
      <c r="X247" s="333">
        <v>0</v>
      </c>
      <c r="Y247" s="330">
        <v>6</v>
      </c>
      <c r="Z247" s="330">
        <v>8</v>
      </c>
      <c r="AA247" s="330">
        <v>22</v>
      </c>
      <c r="AB247" s="330">
        <v>30</v>
      </c>
      <c r="AC247" s="330">
        <v>12</v>
      </c>
      <c r="AD247" s="330">
        <v>6710</v>
      </c>
      <c r="AE247" s="330">
        <v>57</v>
      </c>
      <c r="AF247" s="330">
        <v>12</v>
      </c>
      <c r="AG247" s="330">
        <v>69</v>
      </c>
    </row>
    <row r="248" spans="1:33" x14ac:dyDescent="0.3">
      <c r="A248" s="329" t="s">
        <v>550</v>
      </c>
      <c r="B248" s="329" t="s">
        <v>551</v>
      </c>
      <c r="C248" s="330">
        <v>6733</v>
      </c>
      <c r="D248" s="330">
        <v>2</v>
      </c>
      <c r="E248" s="330">
        <v>244</v>
      </c>
      <c r="F248" s="330">
        <v>787</v>
      </c>
      <c r="G248" s="330">
        <v>1099</v>
      </c>
      <c r="H248" s="330">
        <v>8865</v>
      </c>
      <c r="I248" s="330">
        <v>7766</v>
      </c>
      <c r="J248" s="330">
        <v>0</v>
      </c>
      <c r="K248" s="330">
        <v>114.9</v>
      </c>
      <c r="L248" s="330">
        <v>113.13</v>
      </c>
      <c r="M248" s="330">
        <v>5.51</v>
      </c>
      <c r="N248" s="330">
        <v>117.02</v>
      </c>
      <c r="O248" s="333">
        <v>5370</v>
      </c>
      <c r="P248" s="330">
        <v>98.15</v>
      </c>
      <c r="Q248" s="330">
        <v>94.11</v>
      </c>
      <c r="R248" s="330">
        <v>30.17</v>
      </c>
      <c r="S248" s="330">
        <v>126.52</v>
      </c>
      <c r="T248" s="333">
        <v>824</v>
      </c>
      <c r="U248" s="330">
        <v>184.95</v>
      </c>
      <c r="V248" s="333">
        <v>1255</v>
      </c>
      <c r="W248" s="330">
        <v>168.09</v>
      </c>
      <c r="X248" s="333">
        <v>76</v>
      </c>
      <c r="Y248" s="330">
        <v>3</v>
      </c>
      <c r="Z248" s="330">
        <v>5</v>
      </c>
      <c r="AA248" s="330">
        <v>1</v>
      </c>
      <c r="AB248" s="330">
        <v>109</v>
      </c>
      <c r="AC248" s="330">
        <v>29</v>
      </c>
      <c r="AD248" s="330">
        <v>6654</v>
      </c>
      <c r="AE248" s="330">
        <v>34</v>
      </c>
      <c r="AF248" s="330">
        <v>25</v>
      </c>
      <c r="AG248" s="330">
        <v>59</v>
      </c>
    </row>
    <row r="249" spans="1:33" x14ac:dyDescent="0.3">
      <c r="A249" s="329" t="s">
        <v>552</v>
      </c>
      <c r="B249" s="329" t="s">
        <v>553</v>
      </c>
      <c r="C249" s="330">
        <v>4034</v>
      </c>
      <c r="D249" s="330">
        <v>3</v>
      </c>
      <c r="E249" s="330">
        <v>267</v>
      </c>
      <c r="F249" s="330">
        <v>1048</v>
      </c>
      <c r="G249" s="330">
        <v>277</v>
      </c>
      <c r="H249" s="330">
        <v>5629</v>
      </c>
      <c r="I249" s="330">
        <v>5352</v>
      </c>
      <c r="J249" s="330">
        <v>4</v>
      </c>
      <c r="K249" s="330">
        <v>89.42</v>
      </c>
      <c r="L249" s="330">
        <v>85.7</v>
      </c>
      <c r="M249" s="330">
        <v>2.64</v>
      </c>
      <c r="N249" s="330">
        <v>91.97</v>
      </c>
      <c r="O249" s="333">
        <v>3564</v>
      </c>
      <c r="P249" s="330">
        <v>91.9</v>
      </c>
      <c r="Q249" s="330">
        <v>82.59</v>
      </c>
      <c r="R249" s="330">
        <v>26.18</v>
      </c>
      <c r="S249" s="330">
        <v>117.61</v>
      </c>
      <c r="T249" s="333">
        <v>1231</v>
      </c>
      <c r="U249" s="330">
        <v>107.56</v>
      </c>
      <c r="V249" s="333">
        <v>456</v>
      </c>
      <c r="W249" s="330">
        <v>0</v>
      </c>
      <c r="X249" s="333">
        <v>0</v>
      </c>
      <c r="Y249" s="330">
        <v>0</v>
      </c>
      <c r="Z249" s="330">
        <v>6</v>
      </c>
      <c r="AA249" s="330">
        <v>1</v>
      </c>
      <c r="AB249" s="330">
        <v>30</v>
      </c>
      <c r="AC249" s="330">
        <v>4</v>
      </c>
      <c r="AD249" s="330">
        <v>4032</v>
      </c>
      <c r="AE249" s="330">
        <v>10</v>
      </c>
      <c r="AF249" s="330">
        <v>4</v>
      </c>
      <c r="AG249" s="330">
        <v>14</v>
      </c>
    </row>
    <row r="250" spans="1:33" x14ac:dyDescent="0.3">
      <c r="A250" s="329" t="s">
        <v>554</v>
      </c>
      <c r="B250" s="329" t="s">
        <v>555</v>
      </c>
      <c r="C250" s="330">
        <v>9399</v>
      </c>
      <c r="D250" s="330">
        <v>63</v>
      </c>
      <c r="E250" s="330">
        <v>319</v>
      </c>
      <c r="F250" s="330">
        <v>1698</v>
      </c>
      <c r="G250" s="330">
        <v>810</v>
      </c>
      <c r="H250" s="330">
        <v>12289</v>
      </c>
      <c r="I250" s="330">
        <v>11479</v>
      </c>
      <c r="J250" s="330">
        <v>9</v>
      </c>
      <c r="K250" s="330">
        <v>94.69</v>
      </c>
      <c r="L250" s="330">
        <v>90.86</v>
      </c>
      <c r="M250" s="330">
        <v>4.07</v>
      </c>
      <c r="N250" s="330">
        <v>96.02</v>
      </c>
      <c r="O250" s="333">
        <v>8362</v>
      </c>
      <c r="P250" s="330">
        <v>89.66</v>
      </c>
      <c r="Q250" s="330">
        <v>80.06</v>
      </c>
      <c r="R250" s="330">
        <v>29.82</v>
      </c>
      <c r="S250" s="330">
        <v>119.41</v>
      </c>
      <c r="T250" s="333">
        <v>1964</v>
      </c>
      <c r="U250" s="330">
        <v>123.55</v>
      </c>
      <c r="V250" s="333">
        <v>738</v>
      </c>
      <c r="W250" s="330">
        <v>156.99</v>
      </c>
      <c r="X250" s="333">
        <v>14</v>
      </c>
      <c r="Y250" s="330">
        <v>15</v>
      </c>
      <c r="Z250" s="330">
        <v>44</v>
      </c>
      <c r="AA250" s="330">
        <v>6</v>
      </c>
      <c r="AB250" s="330">
        <v>98</v>
      </c>
      <c r="AC250" s="330">
        <v>25</v>
      </c>
      <c r="AD250" s="330">
        <v>9298</v>
      </c>
      <c r="AE250" s="330">
        <v>39</v>
      </c>
      <c r="AF250" s="330">
        <v>105</v>
      </c>
      <c r="AG250" s="330">
        <v>144</v>
      </c>
    </row>
    <row r="251" spans="1:33" x14ac:dyDescent="0.3">
      <c r="A251" s="329" t="s">
        <v>556</v>
      </c>
      <c r="B251" s="329" t="s">
        <v>557</v>
      </c>
      <c r="C251" s="330">
        <v>5847</v>
      </c>
      <c r="D251" s="330">
        <v>0</v>
      </c>
      <c r="E251" s="330">
        <v>279</v>
      </c>
      <c r="F251" s="330">
        <v>664</v>
      </c>
      <c r="G251" s="330">
        <v>498</v>
      </c>
      <c r="H251" s="330">
        <v>7288</v>
      </c>
      <c r="I251" s="330">
        <v>6790</v>
      </c>
      <c r="J251" s="330">
        <v>0</v>
      </c>
      <c r="K251" s="330">
        <v>90.59</v>
      </c>
      <c r="L251" s="330">
        <v>87.06</v>
      </c>
      <c r="M251" s="330">
        <v>5.54</v>
      </c>
      <c r="N251" s="330">
        <v>92.26</v>
      </c>
      <c r="O251" s="333">
        <v>5689</v>
      </c>
      <c r="P251" s="330">
        <v>85.77</v>
      </c>
      <c r="Q251" s="330">
        <v>78.31</v>
      </c>
      <c r="R251" s="330">
        <v>42.7</v>
      </c>
      <c r="S251" s="330">
        <v>127.08</v>
      </c>
      <c r="T251" s="333">
        <v>793</v>
      </c>
      <c r="U251" s="330">
        <v>107.94</v>
      </c>
      <c r="V251" s="333">
        <v>121</v>
      </c>
      <c r="W251" s="330">
        <v>187.12</v>
      </c>
      <c r="X251" s="333">
        <v>139</v>
      </c>
      <c r="Y251" s="330">
        <v>6</v>
      </c>
      <c r="Z251" s="330">
        <v>6</v>
      </c>
      <c r="AA251" s="330">
        <v>0</v>
      </c>
      <c r="AB251" s="330">
        <v>75</v>
      </c>
      <c r="AC251" s="330">
        <v>4</v>
      </c>
      <c r="AD251" s="330">
        <v>5847</v>
      </c>
      <c r="AE251" s="330">
        <v>27</v>
      </c>
      <c r="AF251" s="330">
        <v>36</v>
      </c>
      <c r="AG251" s="330">
        <v>63</v>
      </c>
    </row>
    <row r="252" spans="1:33" x14ac:dyDescent="0.3">
      <c r="A252" s="329" t="s">
        <v>558</v>
      </c>
      <c r="B252" s="329" t="s">
        <v>559</v>
      </c>
      <c r="C252" s="330">
        <v>3879</v>
      </c>
      <c r="D252" s="330">
        <v>0</v>
      </c>
      <c r="E252" s="330">
        <v>438</v>
      </c>
      <c r="F252" s="330">
        <v>1002</v>
      </c>
      <c r="G252" s="330">
        <v>227</v>
      </c>
      <c r="H252" s="330">
        <v>5546</v>
      </c>
      <c r="I252" s="330">
        <v>5319</v>
      </c>
      <c r="J252" s="330">
        <v>14</v>
      </c>
      <c r="K252" s="330">
        <v>82.14</v>
      </c>
      <c r="L252" s="330">
        <v>79.09</v>
      </c>
      <c r="M252" s="330">
        <v>3.17</v>
      </c>
      <c r="N252" s="330">
        <v>84.27</v>
      </c>
      <c r="O252" s="333">
        <v>3133</v>
      </c>
      <c r="P252" s="330">
        <v>86.38</v>
      </c>
      <c r="Q252" s="330">
        <v>76.62</v>
      </c>
      <c r="R252" s="330">
        <v>65.94</v>
      </c>
      <c r="S252" s="330">
        <v>151.82</v>
      </c>
      <c r="T252" s="333">
        <v>943</v>
      </c>
      <c r="U252" s="330">
        <v>99.58</v>
      </c>
      <c r="V252" s="333">
        <v>660</v>
      </c>
      <c r="W252" s="330">
        <v>125.21</v>
      </c>
      <c r="X252" s="333">
        <v>322</v>
      </c>
      <c r="Y252" s="330">
        <v>0</v>
      </c>
      <c r="Z252" s="330">
        <v>3</v>
      </c>
      <c r="AA252" s="330">
        <v>0</v>
      </c>
      <c r="AB252" s="330">
        <v>4</v>
      </c>
      <c r="AC252" s="330">
        <v>6</v>
      </c>
      <c r="AD252" s="330">
        <v>3678</v>
      </c>
      <c r="AE252" s="330">
        <v>50</v>
      </c>
      <c r="AF252" s="330">
        <v>66</v>
      </c>
      <c r="AG252" s="330">
        <v>116</v>
      </c>
    </row>
    <row r="253" spans="1:33" x14ac:dyDescent="0.3">
      <c r="A253" s="329" t="s">
        <v>560</v>
      </c>
      <c r="B253" s="329" t="s">
        <v>561</v>
      </c>
      <c r="C253" s="330">
        <v>5882</v>
      </c>
      <c r="D253" s="330">
        <v>102</v>
      </c>
      <c r="E253" s="330">
        <v>830</v>
      </c>
      <c r="F253" s="330">
        <v>1087</v>
      </c>
      <c r="G253" s="330">
        <v>990</v>
      </c>
      <c r="H253" s="330">
        <v>8891</v>
      </c>
      <c r="I253" s="330">
        <v>7901</v>
      </c>
      <c r="J253" s="330">
        <v>4</v>
      </c>
      <c r="K253" s="330">
        <v>107.45</v>
      </c>
      <c r="L253" s="330">
        <v>104.88</v>
      </c>
      <c r="M253" s="330">
        <v>7.06</v>
      </c>
      <c r="N253" s="330">
        <v>113.59</v>
      </c>
      <c r="O253" s="333">
        <v>4665</v>
      </c>
      <c r="P253" s="330">
        <v>96.77</v>
      </c>
      <c r="Q253" s="330">
        <v>87.48</v>
      </c>
      <c r="R253" s="330">
        <v>40.520000000000003</v>
      </c>
      <c r="S253" s="330">
        <v>137.07</v>
      </c>
      <c r="T253" s="333">
        <v>1455</v>
      </c>
      <c r="U253" s="330">
        <v>146.07</v>
      </c>
      <c r="V253" s="333">
        <v>816</v>
      </c>
      <c r="W253" s="330">
        <v>149.88999999999999</v>
      </c>
      <c r="X253" s="333">
        <v>24</v>
      </c>
      <c r="Y253" s="330">
        <v>62</v>
      </c>
      <c r="Z253" s="330">
        <v>1</v>
      </c>
      <c r="AA253" s="330">
        <v>12</v>
      </c>
      <c r="AB253" s="330">
        <v>36</v>
      </c>
      <c r="AC253" s="330">
        <v>32</v>
      </c>
      <c r="AD253" s="330">
        <v>5743</v>
      </c>
      <c r="AE253" s="330">
        <v>21</v>
      </c>
      <c r="AF253" s="330">
        <v>24</v>
      </c>
      <c r="AG253" s="330">
        <v>45</v>
      </c>
    </row>
    <row r="254" spans="1:33" x14ac:dyDescent="0.3">
      <c r="A254" s="329" t="s">
        <v>562</v>
      </c>
      <c r="B254" s="329" t="s">
        <v>563</v>
      </c>
      <c r="C254" s="330">
        <v>2850</v>
      </c>
      <c r="D254" s="330">
        <v>0</v>
      </c>
      <c r="E254" s="330">
        <v>559</v>
      </c>
      <c r="F254" s="330">
        <v>318</v>
      </c>
      <c r="G254" s="330">
        <v>451</v>
      </c>
      <c r="H254" s="330">
        <v>4178</v>
      </c>
      <c r="I254" s="330">
        <v>3727</v>
      </c>
      <c r="J254" s="330">
        <v>32</v>
      </c>
      <c r="K254" s="330">
        <v>99.79</v>
      </c>
      <c r="L254" s="330">
        <v>98.09</v>
      </c>
      <c r="M254" s="330">
        <v>14.28</v>
      </c>
      <c r="N254" s="330">
        <v>111.01</v>
      </c>
      <c r="O254" s="333">
        <v>2443</v>
      </c>
      <c r="P254" s="330">
        <v>92.27</v>
      </c>
      <c r="Q254" s="330">
        <v>84.61</v>
      </c>
      <c r="R254" s="330">
        <v>64.19</v>
      </c>
      <c r="S254" s="330">
        <v>154.69</v>
      </c>
      <c r="T254" s="333">
        <v>508</v>
      </c>
      <c r="U254" s="330">
        <v>152.27000000000001</v>
      </c>
      <c r="V254" s="333">
        <v>366</v>
      </c>
      <c r="W254" s="330">
        <v>329.58</v>
      </c>
      <c r="X254" s="333">
        <v>115</v>
      </c>
      <c r="Y254" s="330">
        <v>0</v>
      </c>
      <c r="Z254" s="330">
        <v>0</v>
      </c>
      <c r="AA254" s="330">
        <v>1</v>
      </c>
      <c r="AB254" s="330">
        <v>11</v>
      </c>
      <c r="AC254" s="330">
        <v>7</v>
      </c>
      <c r="AD254" s="330">
        <v>2850</v>
      </c>
      <c r="AE254" s="330">
        <v>15</v>
      </c>
      <c r="AF254" s="330">
        <v>2</v>
      </c>
      <c r="AG254" s="330">
        <v>17</v>
      </c>
    </row>
    <row r="255" spans="1:33" x14ac:dyDescent="0.3">
      <c r="A255" s="329" t="s">
        <v>564</v>
      </c>
      <c r="B255" s="329" t="s">
        <v>565</v>
      </c>
      <c r="C255" s="330">
        <v>14832</v>
      </c>
      <c r="D255" s="330">
        <v>447</v>
      </c>
      <c r="E255" s="330">
        <v>1461</v>
      </c>
      <c r="F255" s="330">
        <v>715</v>
      </c>
      <c r="G255" s="330">
        <v>3070</v>
      </c>
      <c r="H255" s="330">
        <v>20525</v>
      </c>
      <c r="I255" s="330">
        <v>17455</v>
      </c>
      <c r="J255" s="330">
        <v>164</v>
      </c>
      <c r="K255" s="330">
        <v>125.52</v>
      </c>
      <c r="L255" s="330">
        <v>127.27</v>
      </c>
      <c r="M255" s="330">
        <v>15.11</v>
      </c>
      <c r="N255" s="330">
        <v>137.57</v>
      </c>
      <c r="O255" s="333">
        <v>12175</v>
      </c>
      <c r="P255" s="330">
        <v>110.59</v>
      </c>
      <c r="Q255" s="330">
        <v>104.36</v>
      </c>
      <c r="R255" s="330">
        <v>58.07</v>
      </c>
      <c r="S255" s="330">
        <v>165.01</v>
      </c>
      <c r="T255" s="333">
        <v>1830</v>
      </c>
      <c r="U255" s="330">
        <v>206.08</v>
      </c>
      <c r="V255" s="333">
        <v>1206</v>
      </c>
      <c r="W255" s="330">
        <v>213.93</v>
      </c>
      <c r="X255" s="333">
        <v>24</v>
      </c>
      <c r="Y255" s="330">
        <v>0</v>
      </c>
      <c r="Z255" s="330">
        <v>3</v>
      </c>
      <c r="AA255" s="330">
        <v>26</v>
      </c>
      <c r="AB255" s="330">
        <v>102</v>
      </c>
      <c r="AC255" s="330">
        <v>126</v>
      </c>
      <c r="AD255" s="330">
        <v>14134</v>
      </c>
      <c r="AE255" s="330">
        <v>155</v>
      </c>
      <c r="AF255" s="330">
        <v>88</v>
      </c>
      <c r="AG255" s="330">
        <v>243</v>
      </c>
    </row>
    <row r="256" spans="1:33" x14ac:dyDescent="0.3">
      <c r="A256" s="329" t="s">
        <v>566</v>
      </c>
      <c r="B256" s="329" t="s">
        <v>567</v>
      </c>
      <c r="C256" s="330">
        <v>4919</v>
      </c>
      <c r="D256" s="330">
        <v>3</v>
      </c>
      <c r="E256" s="330">
        <v>112</v>
      </c>
      <c r="F256" s="330">
        <v>338</v>
      </c>
      <c r="G256" s="330">
        <v>483</v>
      </c>
      <c r="H256" s="330">
        <v>5855</v>
      </c>
      <c r="I256" s="330">
        <v>5372</v>
      </c>
      <c r="J256" s="330">
        <v>9</v>
      </c>
      <c r="K256" s="330">
        <v>119.3</v>
      </c>
      <c r="L256" s="330">
        <v>113.95</v>
      </c>
      <c r="M256" s="330">
        <v>6</v>
      </c>
      <c r="N256" s="330">
        <v>124.66</v>
      </c>
      <c r="O256" s="333">
        <v>4716</v>
      </c>
      <c r="P256" s="330">
        <v>112.46</v>
      </c>
      <c r="Q256" s="330">
        <v>104.83</v>
      </c>
      <c r="R256" s="330">
        <v>77.099999999999994</v>
      </c>
      <c r="S256" s="330">
        <v>189.11</v>
      </c>
      <c r="T256" s="333">
        <v>346</v>
      </c>
      <c r="U256" s="330">
        <v>219.45</v>
      </c>
      <c r="V256" s="333">
        <v>185</v>
      </c>
      <c r="W256" s="330">
        <v>152.51</v>
      </c>
      <c r="X256" s="333">
        <v>11</v>
      </c>
      <c r="Y256" s="330">
        <v>0</v>
      </c>
      <c r="Z256" s="330">
        <v>2</v>
      </c>
      <c r="AA256" s="330">
        <v>0</v>
      </c>
      <c r="AB256" s="330">
        <v>34</v>
      </c>
      <c r="AC256" s="330">
        <v>14</v>
      </c>
      <c r="AD256" s="330">
        <v>4919</v>
      </c>
      <c r="AE256" s="330">
        <v>42</v>
      </c>
      <c r="AF256" s="330">
        <v>7</v>
      </c>
      <c r="AG256" s="330">
        <v>49</v>
      </c>
    </row>
    <row r="257" spans="1:33" x14ac:dyDescent="0.3">
      <c r="A257" s="329" t="s">
        <v>568</v>
      </c>
      <c r="B257" s="329" t="s">
        <v>569</v>
      </c>
      <c r="C257" s="330">
        <v>2244</v>
      </c>
      <c r="D257" s="330">
        <v>0</v>
      </c>
      <c r="E257" s="330">
        <v>276</v>
      </c>
      <c r="F257" s="330">
        <v>206</v>
      </c>
      <c r="G257" s="330">
        <v>289</v>
      </c>
      <c r="H257" s="330">
        <v>3015</v>
      </c>
      <c r="I257" s="330">
        <v>2726</v>
      </c>
      <c r="J257" s="330">
        <v>3</v>
      </c>
      <c r="K257" s="330">
        <v>124.92</v>
      </c>
      <c r="L257" s="330">
        <v>121.18</v>
      </c>
      <c r="M257" s="330">
        <v>7.95</v>
      </c>
      <c r="N257" s="330">
        <v>131.32</v>
      </c>
      <c r="O257" s="333">
        <v>1618</v>
      </c>
      <c r="P257" s="330">
        <v>123.95</v>
      </c>
      <c r="Q257" s="330">
        <v>107.27</v>
      </c>
      <c r="R257" s="330">
        <v>40.01</v>
      </c>
      <c r="S257" s="330">
        <v>162.99</v>
      </c>
      <c r="T257" s="333">
        <v>415</v>
      </c>
      <c r="U257" s="330">
        <v>204.96</v>
      </c>
      <c r="V257" s="333">
        <v>386</v>
      </c>
      <c r="W257" s="330">
        <v>193.06</v>
      </c>
      <c r="X257" s="333">
        <v>16</v>
      </c>
      <c r="Y257" s="330">
        <v>52</v>
      </c>
      <c r="Z257" s="330">
        <v>0</v>
      </c>
      <c r="AA257" s="330">
        <v>4</v>
      </c>
      <c r="AB257" s="330">
        <v>35</v>
      </c>
      <c r="AC257" s="330">
        <v>10</v>
      </c>
      <c r="AD257" s="330">
        <v>2232</v>
      </c>
      <c r="AE257" s="330">
        <v>27</v>
      </c>
      <c r="AF257" s="330">
        <v>7</v>
      </c>
      <c r="AG257" s="330">
        <v>34</v>
      </c>
    </row>
    <row r="258" spans="1:33" x14ac:dyDescent="0.3">
      <c r="A258" s="329" t="s">
        <v>570</v>
      </c>
      <c r="B258" s="329" t="s">
        <v>571</v>
      </c>
      <c r="C258" s="330">
        <v>14543</v>
      </c>
      <c r="D258" s="330">
        <v>0</v>
      </c>
      <c r="E258" s="330">
        <v>623</v>
      </c>
      <c r="F258" s="330">
        <v>2094</v>
      </c>
      <c r="G258" s="330">
        <v>591</v>
      </c>
      <c r="H258" s="330">
        <v>17851</v>
      </c>
      <c r="I258" s="330">
        <v>17260</v>
      </c>
      <c r="J258" s="330">
        <v>10</v>
      </c>
      <c r="K258" s="330">
        <v>90.72</v>
      </c>
      <c r="L258" s="330">
        <v>87.3</v>
      </c>
      <c r="M258" s="330">
        <v>2</v>
      </c>
      <c r="N258" s="330">
        <v>92.52</v>
      </c>
      <c r="O258" s="333">
        <v>13048</v>
      </c>
      <c r="P258" s="330">
        <v>95.57</v>
      </c>
      <c r="Q258" s="330">
        <v>80.48</v>
      </c>
      <c r="R258" s="330">
        <v>44.8</v>
      </c>
      <c r="S258" s="330">
        <v>139.58000000000001</v>
      </c>
      <c r="T258" s="333">
        <v>2326</v>
      </c>
      <c r="U258" s="330">
        <v>102.94</v>
      </c>
      <c r="V258" s="333">
        <v>1405</v>
      </c>
      <c r="W258" s="330">
        <v>149.15</v>
      </c>
      <c r="X258" s="333">
        <v>219</v>
      </c>
      <c r="Y258" s="330">
        <v>0</v>
      </c>
      <c r="Z258" s="330">
        <v>58</v>
      </c>
      <c r="AA258" s="330">
        <v>1</v>
      </c>
      <c r="AB258" s="330">
        <v>22</v>
      </c>
      <c r="AC258" s="330">
        <v>16</v>
      </c>
      <c r="AD258" s="330">
        <v>14499</v>
      </c>
      <c r="AE258" s="330">
        <v>145</v>
      </c>
      <c r="AF258" s="330">
        <v>93</v>
      </c>
      <c r="AG258" s="330">
        <v>238</v>
      </c>
    </row>
    <row r="259" spans="1:33" x14ac:dyDescent="0.3">
      <c r="A259" s="329" t="s">
        <v>572</v>
      </c>
      <c r="B259" s="329" t="s">
        <v>573</v>
      </c>
      <c r="C259" s="330">
        <v>7221</v>
      </c>
      <c r="D259" s="330">
        <v>0</v>
      </c>
      <c r="E259" s="330">
        <v>264</v>
      </c>
      <c r="F259" s="330">
        <v>1094</v>
      </c>
      <c r="G259" s="330">
        <v>518</v>
      </c>
      <c r="H259" s="330">
        <v>9097</v>
      </c>
      <c r="I259" s="330">
        <v>8579</v>
      </c>
      <c r="J259" s="330">
        <v>0</v>
      </c>
      <c r="K259" s="330">
        <v>84.84</v>
      </c>
      <c r="L259" s="330">
        <v>84.57</v>
      </c>
      <c r="M259" s="330">
        <v>4.59</v>
      </c>
      <c r="N259" s="330">
        <v>87.77</v>
      </c>
      <c r="O259" s="333">
        <v>6388</v>
      </c>
      <c r="P259" s="330">
        <v>87.09</v>
      </c>
      <c r="Q259" s="330">
        <v>78.58</v>
      </c>
      <c r="R259" s="330">
        <v>27.11</v>
      </c>
      <c r="S259" s="330">
        <v>114.17</v>
      </c>
      <c r="T259" s="333">
        <v>1185</v>
      </c>
      <c r="U259" s="330">
        <v>110.66</v>
      </c>
      <c r="V259" s="333">
        <v>797</v>
      </c>
      <c r="W259" s="330">
        <v>187.51</v>
      </c>
      <c r="X259" s="333">
        <v>169</v>
      </c>
      <c r="Y259" s="330">
        <v>56</v>
      </c>
      <c r="Z259" s="330">
        <v>15</v>
      </c>
      <c r="AA259" s="330">
        <v>17</v>
      </c>
      <c r="AB259" s="330">
        <v>63</v>
      </c>
      <c r="AC259" s="330">
        <v>8</v>
      </c>
      <c r="AD259" s="330">
        <v>7221</v>
      </c>
      <c r="AE259" s="330">
        <v>31</v>
      </c>
      <c r="AF259" s="330">
        <v>42</v>
      </c>
      <c r="AG259" s="330">
        <v>73</v>
      </c>
    </row>
    <row r="260" spans="1:33" x14ac:dyDescent="0.3">
      <c r="A260" s="329" t="s">
        <v>574</v>
      </c>
      <c r="B260" s="329" t="s">
        <v>575</v>
      </c>
      <c r="C260" s="330">
        <v>3409</v>
      </c>
      <c r="D260" s="330">
        <v>5</v>
      </c>
      <c r="E260" s="330">
        <v>133</v>
      </c>
      <c r="F260" s="330">
        <v>279</v>
      </c>
      <c r="G260" s="330">
        <v>104</v>
      </c>
      <c r="H260" s="330">
        <v>3930</v>
      </c>
      <c r="I260" s="330">
        <v>3826</v>
      </c>
      <c r="J260" s="330">
        <v>1</v>
      </c>
      <c r="K260" s="330">
        <v>87.23</v>
      </c>
      <c r="L260" s="330">
        <v>83.92</v>
      </c>
      <c r="M260" s="330">
        <v>4.71</v>
      </c>
      <c r="N260" s="330">
        <v>89.23</v>
      </c>
      <c r="O260" s="333">
        <v>3041</v>
      </c>
      <c r="P260" s="330">
        <v>84.21</v>
      </c>
      <c r="Q260" s="330">
        <v>77.180000000000007</v>
      </c>
      <c r="R260" s="330">
        <v>74.19</v>
      </c>
      <c r="S260" s="330">
        <v>158.18</v>
      </c>
      <c r="T260" s="333">
        <v>330</v>
      </c>
      <c r="U260" s="330">
        <v>100.73</v>
      </c>
      <c r="V260" s="333">
        <v>269</v>
      </c>
      <c r="W260" s="330">
        <v>151.76</v>
      </c>
      <c r="X260" s="333">
        <v>72</v>
      </c>
      <c r="Y260" s="330">
        <v>6</v>
      </c>
      <c r="Z260" s="330">
        <v>15</v>
      </c>
      <c r="AA260" s="330">
        <v>3</v>
      </c>
      <c r="AB260" s="330">
        <v>4</v>
      </c>
      <c r="AC260" s="330">
        <v>2</v>
      </c>
      <c r="AD260" s="330">
        <v>3339</v>
      </c>
      <c r="AE260" s="330">
        <v>30</v>
      </c>
      <c r="AF260" s="330">
        <v>4</v>
      </c>
      <c r="AG260" s="330">
        <v>34</v>
      </c>
    </row>
    <row r="261" spans="1:33" x14ac:dyDescent="0.3">
      <c r="A261" s="329" t="s">
        <v>576</v>
      </c>
      <c r="B261" s="329" t="s">
        <v>577</v>
      </c>
      <c r="C261" s="330">
        <v>1722</v>
      </c>
      <c r="D261" s="330">
        <v>14</v>
      </c>
      <c r="E261" s="330">
        <v>171</v>
      </c>
      <c r="F261" s="330">
        <v>311</v>
      </c>
      <c r="G261" s="330">
        <v>598</v>
      </c>
      <c r="H261" s="330">
        <v>2816</v>
      </c>
      <c r="I261" s="330">
        <v>2218</v>
      </c>
      <c r="J261" s="330">
        <v>3</v>
      </c>
      <c r="K261" s="330">
        <v>116</v>
      </c>
      <c r="L261" s="330">
        <v>111.86</v>
      </c>
      <c r="M261" s="330">
        <v>7.19</v>
      </c>
      <c r="N261" s="330">
        <v>122.42</v>
      </c>
      <c r="O261" s="333">
        <v>1425</v>
      </c>
      <c r="P261" s="330">
        <v>108.35</v>
      </c>
      <c r="Q261" s="330">
        <v>89.75</v>
      </c>
      <c r="R261" s="330">
        <v>37.69</v>
      </c>
      <c r="S261" s="330">
        <v>145.13</v>
      </c>
      <c r="T261" s="333">
        <v>415</v>
      </c>
      <c r="U261" s="330">
        <v>146.91</v>
      </c>
      <c r="V261" s="333">
        <v>164</v>
      </c>
      <c r="W261" s="330">
        <v>0</v>
      </c>
      <c r="X261" s="333">
        <v>0</v>
      </c>
      <c r="Y261" s="330">
        <v>0</v>
      </c>
      <c r="Z261" s="330">
        <v>0</v>
      </c>
      <c r="AA261" s="330">
        <v>1</v>
      </c>
      <c r="AB261" s="330">
        <v>37</v>
      </c>
      <c r="AC261" s="330">
        <v>8</v>
      </c>
      <c r="AD261" s="330">
        <v>1608</v>
      </c>
      <c r="AE261" s="330">
        <v>8</v>
      </c>
      <c r="AF261" s="330">
        <v>3</v>
      </c>
      <c r="AG261" s="330">
        <v>11</v>
      </c>
    </row>
    <row r="262" spans="1:33" x14ac:dyDescent="0.3">
      <c r="A262" s="329" t="s">
        <v>578</v>
      </c>
      <c r="B262" s="329" t="s">
        <v>579</v>
      </c>
      <c r="C262" s="330">
        <v>4751</v>
      </c>
      <c r="D262" s="330">
        <v>0</v>
      </c>
      <c r="E262" s="330">
        <v>581</v>
      </c>
      <c r="F262" s="330">
        <v>1241</v>
      </c>
      <c r="G262" s="330">
        <v>1286</v>
      </c>
      <c r="H262" s="330">
        <v>7859</v>
      </c>
      <c r="I262" s="330">
        <v>6573</v>
      </c>
      <c r="J262" s="330">
        <v>4</v>
      </c>
      <c r="K262" s="330">
        <v>85.28</v>
      </c>
      <c r="L262" s="330">
        <v>83.75</v>
      </c>
      <c r="M262" s="330">
        <v>7.16</v>
      </c>
      <c r="N262" s="330">
        <v>89.4</v>
      </c>
      <c r="O262" s="333">
        <v>3845</v>
      </c>
      <c r="P262" s="330">
        <v>87.12</v>
      </c>
      <c r="Q262" s="330">
        <v>79.69</v>
      </c>
      <c r="R262" s="330">
        <v>31.96</v>
      </c>
      <c r="S262" s="330">
        <v>118.42</v>
      </c>
      <c r="T262" s="333">
        <v>1619</v>
      </c>
      <c r="U262" s="330">
        <v>117.97</v>
      </c>
      <c r="V262" s="333">
        <v>661</v>
      </c>
      <c r="W262" s="330">
        <v>180.97</v>
      </c>
      <c r="X262" s="333">
        <v>52</v>
      </c>
      <c r="Y262" s="330">
        <v>6</v>
      </c>
      <c r="Z262" s="330">
        <v>14</v>
      </c>
      <c r="AA262" s="330">
        <v>12</v>
      </c>
      <c r="AB262" s="330">
        <v>18</v>
      </c>
      <c r="AC262" s="330">
        <v>23</v>
      </c>
      <c r="AD262" s="330">
        <v>4275</v>
      </c>
      <c r="AE262" s="330">
        <v>27</v>
      </c>
      <c r="AF262" s="330">
        <v>7</v>
      </c>
      <c r="AG262" s="330">
        <v>34</v>
      </c>
    </row>
    <row r="263" spans="1:33" x14ac:dyDescent="0.3">
      <c r="A263" s="329" t="s">
        <v>580</v>
      </c>
      <c r="B263" s="329" t="s">
        <v>581</v>
      </c>
      <c r="C263" s="330">
        <v>12863</v>
      </c>
      <c r="D263" s="330">
        <v>0</v>
      </c>
      <c r="E263" s="330">
        <v>372</v>
      </c>
      <c r="F263" s="330">
        <v>827</v>
      </c>
      <c r="G263" s="330">
        <v>322</v>
      </c>
      <c r="H263" s="330">
        <v>14384</v>
      </c>
      <c r="I263" s="330">
        <v>14062</v>
      </c>
      <c r="J263" s="330">
        <v>2</v>
      </c>
      <c r="K263" s="330">
        <v>83.92</v>
      </c>
      <c r="L263" s="330">
        <v>86.85</v>
      </c>
      <c r="M263" s="330">
        <v>12.26</v>
      </c>
      <c r="N263" s="330">
        <v>87.32</v>
      </c>
      <c r="O263" s="333">
        <v>10658</v>
      </c>
      <c r="P263" s="330">
        <v>89.61</v>
      </c>
      <c r="Q263" s="330">
        <v>80.88</v>
      </c>
      <c r="R263" s="330">
        <v>56.84</v>
      </c>
      <c r="S263" s="330">
        <v>145.75</v>
      </c>
      <c r="T263" s="333">
        <v>1054</v>
      </c>
      <c r="U263" s="330">
        <v>102.81</v>
      </c>
      <c r="V263" s="333">
        <v>2034</v>
      </c>
      <c r="W263" s="330">
        <v>165.24</v>
      </c>
      <c r="X263" s="333">
        <v>60</v>
      </c>
      <c r="Y263" s="330">
        <v>1</v>
      </c>
      <c r="Z263" s="330">
        <v>47</v>
      </c>
      <c r="AA263" s="330">
        <v>0</v>
      </c>
      <c r="AB263" s="330">
        <v>11</v>
      </c>
      <c r="AC263" s="330">
        <v>10</v>
      </c>
      <c r="AD263" s="330">
        <v>12707</v>
      </c>
      <c r="AE263" s="330">
        <v>90</v>
      </c>
      <c r="AF263" s="330">
        <v>72</v>
      </c>
      <c r="AG263" s="330">
        <v>162</v>
      </c>
    </row>
    <row r="264" spans="1:33" x14ac:dyDescent="0.3">
      <c r="A264" s="329" t="s">
        <v>582</v>
      </c>
      <c r="B264" s="329" t="s">
        <v>583</v>
      </c>
      <c r="C264" s="330">
        <v>6082</v>
      </c>
      <c r="D264" s="330">
        <v>4</v>
      </c>
      <c r="E264" s="330">
        <v>827</v>
      </c>
      <c r="F264" s="330">
        <v>1524</v>
      </c>
      <c r="G264" s="330">
        <v>249</v>
      </c>
      <c r="H264" s="330">
        <v>8686</v>
      </c>
      <c r="I264" s="330">
        <v>8437</v>
      </c>
      <c r="J264" s="330">
        <v>90</v>
      </c>
      <c r="K264" s="330">
        <v>78.27</v>
      </c>
      <c r="L264" s="330">
        <v>77.569999999999993</v>
      </c>
      <c r="M264" s="330">
        <v>4.78</v>
      </c>
      <c r="N264" s="330">
        <v>81.64</v>
      </c>
      <c r="O264" s="333">
        <v>4854</v>
      </c>
      <c r="P264" s="330">
        <v>98.26</v>
      </c>
      <c r="Q264" s="330">
        <v>86.53</v>
      </c>
      <c r="R264" s="330">
        <v>69.95</v>
      </c>
      <c r="S264" s="330">
        <v>167.94</v>
      </c>
      <c r="T264" s="333">
        <v>1790</v>
      </c>
      <c r="U264" s="330">
        <v>101.84</v>
      </c>
      <c r="V264" s="333">
        <v>760</v>
      </c>
      <c r="W264" s="330">
        <v>231.51</v>
      </c>
      <c r="X264" s="333">
        <v>143</v>
      </c>
      <c r="Y264" s="330">
        <v>163</v>
      </c>
      <c r="Z264" s="330">
        <v>6</v>
      </c>
      <c r="AA264" s="330">
        <v>7</v>
      </c>
      <c r="AB264" s="330">
        <v>0</v>
      </c>
      <c r="AC264" s="330">
        <v>10</v>
      </c>
      <c r="AD264" s="330">
        <v>5485</v>
      </c>
      <c r="AE264" s="330">
        <v>60</v>
      </c>
      <c r="AF264" s="330">
        <v>56</v>
      </c>
      <c r="AG264" s="330">
        <v>116</v>
      </c>
    </row>
    <row r="265" spans="1:33" x14ac:dyDescent="0.3">
      <c r="A265" s="329" t="s">
        <v>584</v>
      </c>
      <c r="B265" s="329" t="s">
        <v>585</v>
      </c>
      <c r="C265" s="330">
        <v>7517</v>
      </c>
      <c r="D265" s="330">
        <v>2</v>
      </c>
      <c r="E265" s="330">
        <v>97</v>
      </c>
      <c r="F265" s="330">
        <v>834</v>
      </c>
      <c r="G265" s="330">
        <v>1115</v>
      </c>
      <c r="H265" s="330">
        <v>9565</v>
      </c>
      <c r="I265" s="330">
        <v>8450</v>
      </c>
      <c r="J265" s="330">
        <v>4</v>
      </c>
      <c r="K265" s="330">
        <v>109.11</v>
      </c>
      <c r="L265" s="330">
        <v>106.24</v>
      </c>
      <c r="M265" s="330">
        <v>5.95</v>
      </c>
      <c r="N265" s="330">
        <v>112.1</v>
      </c>
      <c r="O265" s="333">
        <v>6748</v>
      </c>
      <c r="P265" s="330">
        <v>102.69</v>
      </c>
      <c r="Q265" s="330">
        <v>95.5</v>
      </c>
      <c r="R265" s="330">
        <v>44.9</v>
      </c>
      <c r="S265" s="330">
        <v>146.83000000000001</v>
      </c>
      <c r="T265" s="333">
        <v>771</v>
      </c>
      <c r="U265" s="330">
        <v>146.04</v>
      </c>
      <c r="V265" s="333">
        <v>412</v>
      </c>
      <c r="W265" s="330">
        <v>178.98</v>
      </c>
      <c r="X265" s="333">
        <v>91</v>
      </c>
      <c r="Y265" s="330">
        <v>26</v>
      </c>
      <c r="Z265" s="330">
        <v>4</v>
      </c>
      <c r="AA265" s="330">
        <v>3</v>
      </c>
      <c r="AB265" s="330">
        <v>147</v>
      </c>
      <c r="AC265" s="330">
        <v>22</v>
      </c>
      <c r="AD265" s="330">
        <v>7087</v>
      </c>
      <c r="AE265" s="330">
        <v>125</v>
      </c>
      <c r="AF265" s="330">
        <v>38</v>
      </c>
      <c r="AG265" s="330">
        <v>163</v>
      </c>
    </row>
    <row r="266" spans="1:33" x14ac:dyDescent="0.3">
      <c r="A266" s="329" t="s">
        <v>586</v>
      </c>
      <c r="B266" s="329" t="s">
        <v>587</v>
      </c>
      <c r="C266" s="330">
        <v>1809</v>
      </c>
      <c r="D266" s="330">
        <v>12</v>
      </c>
      <c r="E266" s="330">
        <v>155</v>
      </c>
      <c r="F266" s="330">
        <v>139</v>
      </c>
      <c r="G266" s="330">
        <v>675</v>
      </c>
      <c r="H266" s="330">
        <v>2790</v>
      </c>
      <c r="I266" s="330">
        <v>2115</v>
      </c>
      <c r="J266" s="330">
        <v>1</v>
      </c>
      <c r="K266" s="330">
        <v>101.49</v>
      </c>
      <c r="L266" s="330">
        <v>98.75</v>
      </c>
      <c r="M266" s="330">
        <v>5.87</v>
      </c>
      <c r="N266" s="330">
        <v>105.98</v>
      </c>
      <c r="O266" s="333">
        <v>1093</v>
      </c>
      <c r="P266" s="330">
        <v>89.46</v>
      </c>
      <c r="Q266" s="330">
        <v>83.18</v>
      </c>
      <c r="R266" s="330">
        <v>53.85</v>
      </c>
      <c r="S266" s="330">
        <v>142.07</v>
      </c>
      <c r="T266" s="333">
        <v>218</v>
      </c>
      <c r="U266" s="330">
        <v>130.31</v>
      </c>
      <c r="V266" s="333">
        <v>626</v>
      </c>
      <c r="W266" s="330">
        <v>0</v>
      </c>
      <c r="X266" s="333">
        <v>0</v>
      </c>
      <c r="Y266" s="330">
        <v>6</v>
      </c>
      <c r="Z266" s="330">
        <v>1</v>
      </c>
      <c r="AA266" s="330">
        <v>1</v>
      </c>
      <c r="AB266" s="330">
        <v>103</v>
      </c>
      <c r="AC266" s="330">
        <v>8</v>
      </c>
      <c r="AD266" s="330">
        <v>1729</v>
      </c>
      <c r="AE266" s="330">
        <v>23</v>
      </c>
      <c r="AF266" s="330">
        <v>11</v>
      </c>
      <c r="AG266" s="330">
        <v>34</v>
      </c>
    </row>
    <row r="267" spans="1:33" x14ac:dyDescent="0.3">
      <c r="A267" s="329" t="s">
        <v>588</v>
      </c>
      <c r="B267" s="329" t="s">
        <v>589</v>
      </c>
      <c r="C267" s="330">
        <v>31704</v>
      </c>
      <c r="D267" s="330">
        <v>2</v>
      </c>
      <c r="E267" s="330">
        <v>745</v>
      </c>
      <c r="F267" s="330">
        <v>2060</v>
      </c>
      <c r="G267" s="330">
        <v>411</v>
      </c>
      <c r="H267" s="330">
        <v>34922</v>
      </c>
      <c r="I267" s="330">
        <v>34511</v>
      </c>
      <c r="J267" s="330">
        <v>5</v>
      </c>
      <c r="K267" s="330">
        <v>81.31</v>
      </c>
      <c r="L267" s="330">
        <v>81.040000000000006</v>
      </c>
      <c r="M267" s="330">
        <v>7.47</v>
      </c>
      <c r="N267" s="330">
        <v>82.79</v>
      </c>
      <c r="O267" s="333">
        <v>28959</v>
      </c>
      <c r="P267" s="330">
        <v>93.64</v>
      </c>
      <c r="Q267" s="330">
        <v>80.75</v>
      </c>
      <c r="R267" s="330">
        <v>48.53</v>
      </c>
      <c r="S267" s="330">
        <v>140.94</v>
      </c>
      <c r="T267" s="333">
        <v>2507</v>
      </c>
      <c r="U267" s="330">
        <v>99.64</v>
      </c>
      <c r="V267" s="333">
        <v>2376</v>
      </c>
      <c r="W267" s="330">
        <v>222.9</v>
      </c>
      <c r="X267" s="333">
        <v>218</v>
      </c>
      <c r="Y267" s="330">
        <v>0</v>
      </c>
      <c r="Z267" s="330">
        <v>119</v>
      </c>
      <c r="AA267" s="330">
        <v>14</v>
      </c>
      <c r="AB267" s="330">
        <v>18</v>
      </c>
      <c r="AC267" s="330">
        <v>3</v>
      </c>
      <c r="AD267" s="330">
        <v>31409</v>
      </c>
      <c r="AE267" s="330">
        <v>252</v>
      </c>
      <c r="AF267" s="330">
        <v>64</v>
      </c>
      <c r="AG267" s="330">
        <v>316</v>
      </c>
    </row>
    <row r="268" spans="1:33" x14ac:dyDescent="0.3">
      <c r="A268" s="329" t="s">
        <v>590</v>
      </c>
      <c r="B268" s="329" t="s">
        <v>591</v>
      </c>
      <c r="C268" s="330">
        <v>3232</v>
      </c>
      <c r="D268" s="330">
        <v>44</v>
      </c>
      <c r="E268" s="330">
        <v>104</v>
      </c>
      <c r="F268" s="330">
        <v>302</v>
      </c>
      <c r="G268" s="330">
        <v>382</v>
      </c>
      <c r="H268" s="330">
        <v>4064</v>
      </c>
      <c r="I268" s="330">
        <v>3682</v>
      </c>
      <c r="J268" s="330">
        <v>14</v>
      </c>
      <c r="K268" s="330">
        <v>114.17</v>
      </c>
      <c r="L268" s="330">
        <v>111.55</v>
      </c>
      <c r="M268" s="330">
        <v>7.57</v>
      </c>
      <c r="N268" s="330">
        <v>118.55</v>
      </c>
      <c r="O268" s="333">
        <v>2943</v>
      </c>
      <c r="P268" s="330">
        <v>111.91</v>
      </c>
      <c r="Q268" s="330">
        <v>92.03</v>
      </c>
      <c r="R268" s="330">
        <v>35.700000000000003</v>
      </c>
      <c r="S268" s="330">
        <v>147.5</v>
      </c>
      <c r="T268" s="333">
        <v>346</v>
      </c>
      <c r="U268" s="330">
        <v>211.54</v>
      </c>
      <c r="V268" s="333">
        <v>238</v>
      </c>
      <c r="W268" s="330">
        <v>0</v>
      </c>
      <c r="X268" s="333">
        <v>0</v>
      </c>
      <c r="Y268" s="330">
        <v>0</v>
      </c>
      <c r="Z268" s="330">
        <v>1</v>
      </c>
      <c r="AA268" s="330">
        <v>0</v>
      </c>
      <c r="AB268" s="330">
        <v>31</v>
      </c>
      <c r="AC268" s="330">
        <v>8</v>
      </c>
      <c r="AD268" s="330">
        <v>3229</v>
      </c>
      <c r="AE268" s="330">
        <v>36</v>
      </c>
      <c r="AF268" s="330">
        <v>9</v>
      </c>
      <c r="AG268" s="330">
        <v>45</v>
      </c>
    </row>
    <row r="269" spans="1:33" x14ac:dyDescent="0.3">
      <c r="A269" s="329" t="s">
        <v>592</v>
      </c>
      <c r="B269" s="329" t="s">
        <v>593</v>
      </c>
      <c r="C269" s="330">
        <v>4618</v>
      </c>
      <c r="D269" s="330">
        <v>8</v>
      </c>
      <c r="E269" s="330">
        <v>391</v>
      </c>
      <c r="F269" s="330">
        <v>951</v>
      </c>
      <c r="G269" s="330">
        <v>984</v>
      </c>
      <c r="H269" s="330">
        <v>6952</v>
      </c>
      <c r="I269" s="330">
        <v>5968</v>
      </c>
      <c r="J269" s="330">
        <v>11</v>
      </c>
      <c r="K269" s="330">
        <v>120.72</v>
      </c>
      <c r="L269" s="330">
        <v>119.34</v>
      </c>
      <c r="M269" s="330">
        <v>8.6999999999999993</v>
      </c>
      <c r="N269" s="330">
        <v>128.88999999999999</v>
      </c>
      <c r="O269" s="333">
        <v>4022</v>
      </c>
      <c r="P269" s="330">
        <v>121.38</v>
      </c>
      <c r="Q269" s="330">
        <v>108.57</v>
      </c>
      <c r="R269" s="330">
        <v>44.57</v>
      </c>
      <c r="S269" s="330">
        <v>163.93</v>
      </c>
      <c r="T269" s="333">
        <v>819</v>
      </c>
      <c r="U269" s="330">
        <v>188.94</v>
      </c>
      <c r="V269" s="333">
        <v>372</v>
      </c>
      <c r="W269" s="330">
        <v>177.71</v>
      </c>
      <c r="X269" s="333">
        <v>18</v>
      </c>
      <c r="Y269" s="330">
        <v>7</v>
      </c>
      <c r="Z269" s="330">
        <v>3</v>
      </c>
      <c r="AA269" s="330">
        <v>1</v>
      </c>
      <c r="AB269" s="330">
        <v>15</v>
      </c>
      <c r="AC269" s="330">
        <v>33</v>
      </c>
      <c r="AD269" s="330">
        <v>4453</v>
      </c>
      <c r="AE269" s="330">
        <v>46</v>
      </c>
      <c r="AF269" s="330">
        <v>21</v>
      </c>
      <c r="AG269" s="330">
        <v>67</v>
      </c>
    </row>
    <row r="270" spans="1:33" x14ac:dyDescent="0.3">
      <c r="A270" s="329" t="s">
        <v>594</v>
      </c>
      <c r="B270" s="329" t="s">
        <v>595</v>
      </c>
      <c r="C270" s="330">
        <v>7961</v>
      </c>
      <c r="D270" s="330">
        <v>0</v>
      </c>
      <c r="E270" s="330">
        <v>238</v>
      </c>
      <c r="F270" s="330">
        <v>438</v>
      </c>
      <c r="G270" s="330">
        <v>829</v>
      </c>
      <c r="H270" s="330">
        <v>9466</v>
      </c>
      <c r="I270" s="330">
        <v>8637</v>
      </c>
      <c r="J270" s="330">
        <v>25</v>
      </c>
      <c r="K270" s="330">
        <v>100.38</v>
      </c>
      <c r="L270" s="330">
        <v>99.94</v>
      </c>
      <c r="M270" s="330">
        <v>7</v>
      </c>
      <c r="N270" s="330">
        <v>103.61</v>
      </c>
      <c r="O270" s="333">
        <v>6564</v>
      </c>
      <c r="P270" s="330">
        <v>95.5</v>
      </c>
      <c r="Q270" s="330">
        <v>83.91</v>
      </c>
      <c r="R270" s="330">
        <v>55.07</v>
      </c>
      <c r="S270" s="330">
        <v>146.01</v>
      </c>
      <c r="T270" s="333">
        <v>605</v>
      </c>
      <c r="U270" s="330">
        <v>141.04</v>
      </c>
      <c r="V270" s="333">
        <v>1282</v>
      </c>
      <c r="W270" s="330">
        <v>0</v>
      </c>
      <c r="X270" s="333">
        <v>0</v>
      </c>
      <c r="Y270" s="330">
        <v>6</v>
      </c>
      <c r="Z270" s="330">
        <v>2</v>
      </c>
      <c r="AA270" s="330">
        <v>16</v>
      </c>
      <c r="AB270" s="330">
        <v>138</v>
      </c>
      <c r="AC270" s="330">
        <v>18</v>
      </c>
      <c r="AD270" s="330">
        <v>7866</v>
      </c>
      <c r="AE270" s="330">
        <v>66</v>
      </c>
      <c r="AF270" s="330">
        <v>47</v>
      </c>
      <c r="AG270" s="330">
        <v>113</v>
      </c>
    </row>
    <row r="271" spans="1:33" x14ac:dyDescent="0.3">
      <c r="A271" s="329" t="s">
        <v>596</v>
      </c>
      <c r="B271" s="329" t="s">
        <v>597</v>
      </c>
      <c r="C271" s="330">
        <v>4191</v>
      </c>
      <c r="D271" s="330">
        <v>0</v>
      </c>
      <c r="E271" s="330">
        <v>560</v>
      </c>
      <c r="F271" s="330">
        <v>923</v>
      </c>
      <c r="G271" s="330">
        <v>1129</v>
      </c>
      <c r="H271" s="330">
        <v>6803</v>
      </c>
      <c r="I271" s="330">
        <v>5674</v>
      </c>
      <c r="J271" s="330">
        <v>2</v>
      </c>
      <c r="K271" s="330">
        <v>100.41</v>
      </c>
      <c r="L271" s="330">
        <v>97.88</v>
      </c>
      <c r="M271" s="330">
        <v>6.82</v>
      </c>
      <c r="N271" s="330">
        <v>105.74</v>
      </c>
      <c r="O271" s="333">
        <v>3086</v>
      </c>
      <c r="P271" s="330">
        <v>88.59</v>
      </c>
      <c r="Q271" s="330">
        <v>85.97</v>
      </c>
      <c r="R271" s="330">
        <v>53.17</v>
      </c>
      <c r="S271" s="330">
        <v>139.72</v>
      </c>
      <c r="T271" s="333">
        <v>1433</v>
      </c>
      <c r="U271" s="330">
        <v>139.68</v>
      </c>
      <c r="V271" s="333">
        <v>921</v>
      </c>
      <c r="W271" s="330">
        <v>124.19</v>
      </c>
      <c r="X271" s="333">
        <v>1</v>
      </c>
      <c r="Y271" s="330">
        <v>0</v>
      </c>
      <c r="Z271" s="330">
        <v>0</v>
      </c>
      <c r="AA271" s="330">
        <v>1</v>
      </c>
      <c r="AB271" s="330">
        <v>58</v>
      </c>
      <c r="AC271" s="330">
        <v>34</v>
      </c>
      <c r="AD271" s="330">
        <v>4135</v>
      </c>
      <c r="AE271" s="330">
        <v>23</v>
      </c>
      <c r="AF271" s="330">
        <v>11</v>
      </c>
      <c r="AG271" s="330">
        <v>34</v>
      </c>
    </row>
    <row r="272" spans="1:33" x14ac:dyDescent="0.3">
      <c r="A272" s="329" t="s">
        <v>598</v>
      </c>
      <c r="B272" s="329" t="s">
        <v>599</v>
      </c>
      <c r="C272" s="330">
        <v>20186</v>
      </c>
      <c r="D272" s="330">
        <v>0</v>
      </c>
      <c r="E272" s="330">
        <v>655</v>
      </c>
      <c r="F272" s="330">
        <v>1373</v>
      </c>
      <c r="G272" s="330">
        <v>225</v>
      </c>
      <c r="H272" s="330">
        <v>22439</v>
      </c>
      <c r="I272" s="330">
        <v>22214</v>
      </c>
      <c r="J272" s="330">
        <v>15</v>
      </c>
      <c r="K272" s="330">
        <v>83.75</v>
      </c>
      <c r="L272" s="330">
        <v>80.78</v>
      </c>
      <c r="M272" s="330">
        <v>3.8</v>
      </c>
      <c r="N272" s="330">
        <v>87.2</v>
      </c>
      <c r="O272" s="333">
        <v>16664</v>
      </c>
      <c r="P272" s="330">
        <v>84.1</v>
      </c>
      <c r="Q272" s="330">
        <v>74.349999999999994</v>
      </c>
      <c r="R272" s="330">
        <v>40.229999999999997</v>
      </c>
      <c r="S272" s="330">
        <v>122.12</v>
      </c>
      <c r="T272" s="333">
        <v>1841</v>
      </c>
      <c r="U272" s="330">
        <v>108.21</v>
      </c>
      <c r="V272" s="333">
        <v>2528</v>
      </c>
      <c r="W272" s="330">
        <v>133.37</v>
      </c>
      <c r="X272" s="333">
        <v>52</v>
      </c>
      <c r="Y272" s="330">
        <v>0</v>
      </c>
      <c r="Z272" s="330">
        <v>74</v>
      </c>
      <c r="AA272" s="330">
        <v>0</v>
      </c>
      <c r="AB272" s="330">
        <v>1</v>
      </c>
      <c r="AC272" s="330">
        <v>4</v>
      </c>
      <c r="AD272" s="330">
        <v>19211</v>
      </c>
      <c r="AE272" s="330">
        <v>173</v>
      </c>
      <c r="AF272" s="330">
        <v>34</v>
      </c>
      <c r="AG272" s="330">
        <v>207</v>
      </c>
    </row>
    <row r="273" spans="1:33" x14ac:dyDescent="0.3">
      <c r="A273" s="329" t="s">
        <v>600</v>
      </c>
      <c r="B273" s="329" t="s">
        <v>601</v>
      </c>
      <c r="C273" s="330">
        <v>1670</v>
      </c>
      <c r="D273" s="330">
        <v>0</v>
      </c>
      <c r="E273" s="330">
        <v>130</v>
      </c>
      <c r="F273" s="330">
        <v>110</v>
      </c>
      <c r="G273" s="330">
        <v>246</v>
      </c>
      <c r="H273" s="330">
        <v>2156</v>
      </c>
      <c r="I273" s="330">
        <v>1910</v>
      </c>
      <c r="J273" s="330">
        <v>0</v>
      </c>
      <c r="K273" s="330">
        <v>90.38</v>
      </c>
      <c r="L273" s="330">
        <v>86.94</v>
      </c>
      <c r="M273" s="330">
        <v>5.67</v>
      </c>
      <c r="N273" s="330">
        <v>95.23</v>
      </c>
      <c r="O273" s="333">
        <v>1241</v>
      </c>
      <c r="P273" s="330">
        <v>84.55</v>
      </c>
      <c r="Q273" s="330">
        <v>79.34</v>
      </c>
      <c r="R273" s="330">
        <v>39.24</v>
      </c>
      <c r="S273" s="330">
        <v>123.78</v>
      </c>
      <c r="T273" s="333">
        <v>190</v>
      </c>
      <c r="U273" s="330">
        <v>118.24</v>
      </c>
      <c r="V273" s="333">
        <v>415</v>
      </c>
      <c r="W273" s="330">
        <v>0</v>
      </c>
      <c r="X273" s="333">
        <v>0</v>
      </c>
      <c r="Y273" s="330">
        <v>15</v>
      </c>
      <c r="Z273" s="330">
        <v>0</v>
      </c>
      <c r="AA273" s="330">
        <v>0</v>
      </c>
      <c r="AB273" s="330">
        <v>44</v>
      </c>
      <c r="AC273" s="330">
        <v>4</v>
      </c>
      <c r="AD273" s="330">
        <v>1670</v>
      </c>
      <c r="AE273" s="330">
        <v>17</v>
      </c>
      <c r="AF273" s="330">
        <v>2</v>
      </c>
      <c r="AG273" s="330">
        <v>19</v>
      </c>
    </row>
    <row r="274" spans="1:33" x14ac:dyDescent="0.3">
      <c r="A274" s="329" t="s">
        <v>602</v>
      </c>
      <c r="B274" s="329" t="s">
        <v>603</v>
      </c>
      <c r="C274" s="330">
        <v>1192</v>
      </c>
      <c r="D274" s="330">
        <v>0</v>
      </c>
      <c r="E274" s="330">
        <v>128</v>
      </c>
      <c r="F274" s="330">
        <v>75</v>
      </c>
      <c r="G274" s="330">
        <v>367</v>
      </c>
      <c r="H274" s="330">
        <v>1762</v>
      </c>
      <c r="I274" s="330">
        <v>1395</v>
      </c>
      <c r="J274" s="330">
        <v>1</v>
      </c>
      <c r="K274" s="330">
        <v>127.27</v>
      </c>
      <c r="L274" s="330">
        <v>125.16</v>
      </c>
      <c r="M274" s="330">
        <v>8.32</v>
      </c>
      <c r="N274" s="330">
        <v>135.21</v>
      </c>
      <c r="O274" s="333">
        <v>721</v>
      </c>
      <c r="P274" s="330">
        <v>153.46</v>
      </c>
      <c r="Q274" s="330">
        <v>97.45</v>
      </c>
      <c r="R274" s="330">
        <v>51.26</v>
      </c>
      <c r="S274" s="330">
        <v>201.94</v>
      </c>
      <c r="T274" s="333">
        <v>92</v>
      </c>
      <c r="U274" s="330">
        <v>188.35</v>
      </c>
      <c r="V274" s="333">
        <v>366</v>
      </c>
      <c r="W274" s="330">
        <v>147.69999999999999</v>
      </c>
      <c r="X274" s="333">
        <v>8</v>
      </c>
      <c r="Y274" s="330">
        <v>0</v>
      </c>
      <c r="Z274" s="330">
        <v>0</v>
      </c>
      <c r="AA274" s="330">
        <v>0</v>
      </c>
      <c r="AB274" s="330">
        <v>26</v>
      </c>
      <c r="AC274" s="330">
        <v>7</v>
      </c>
      <c r="AD274" s="330">
        <v>1150</v>
      </c>
      <c r="AE274" s="330">
        <v>9</v>
      </c>
      <c r="AF274" s="330">
        <v>0</v>
      </c>
      <c r="AG274" s="330">
        <v>9</v>
      </c>
    </row>
    <row r="275" spans="1:33" x14ac:dyDescent="0.3">
      <c r="A275" s="329" t="s">
        <v>604</v>
      </c>
      <c r="B275" s="329" t="s">
        <v>605</v>
      </c>
      <c r="C275" s="330">
        <v>4310</v>
      </c>
      <c r="D275" s="330">
        <v>0</v>
      </c>
      <c r="E275" s="330">
        <v>218</v>
      </c>
      <c r="F275" s="330">
        <v>1383</v>
      </c>
      <c r="G275" s="330">
        <v>700</v>
      </c>
      <c r="H275" s="330">
        <v>6611</v>
      </c>
      <c r="I275" s="330">
        <v>5911</v>
      </c>
      <c r="J275" s="330">
        <v>0</v>
      </c>
      <c r="K275" s="330">
        <v>88.62</v>
      </c>
      <c r="L275" s="330">
        <v>88</v>
      </c>
      <c r="M275" s="330">
        <v>4.0999999999999996</v>
      </c>
      <c r="N275" s="330">
        <v>92.53</v>
      </c>
      <c r="O275" s="333">
        <v>3388</v>
      </c>
      <c r="P275" s="330">
        <v>86.27</v>
      </c>
      <c r="Q275" s="330">
        <v>81.98</v>
      </c>
      <c r="R275" s="330">
        <v>15.47</v>
      </c>
      <c r="S275" s="330">
        <v>101.61</v>
      </c>
      <c r="T275" s="333">
        <v>1273</v>
      </c>
      <c r="U275" s="330">
        <v>131.38999999999999</v>
      </c>
      <c r="V275" s="333">
        <v>843</v>
      </c>
      <c r="W275" s="330">
        <v>100.53</v>
      </c>
      <c r="X275" s="333">
        <v>10</v>
      </c>
      <c r="Y275" s="330">
        <v>6</v>
      </c>
      <c r="Z275" s="330">
        <v>12</v>
      </c>
      <c r="AA275" s="330">
        <v>7</v>
      </c>
      <c r="AB275" s="330">
        <v>19</v>
      </c>
      <c r="AC275" s="330">
        <v>21</v>
      </c>
      <c r="AD275" s="330">
        <v>4290</v>
      </c>
      <c r="AE275" s="330">
        <v>6</v>
      </c>
      <c r="AF275" s="330">
        <v>13</v>
      </c>
      <c r="AG275" s="330">
        <v>19</v>
      </c>
    </row>
    <row r="276" spans="1:33" x14ac:dyDescent="0.3">
      <c r="A276" s="329" t="s">
        <v>606</v>
      </c>
      <c r="B276" s="329" t="s">
        <v>607</v>
      </c>
      <c r="C276" s="330">
        <v>11531</v>
      </c>
      <c r="D276" s="330">
        <v>0</v>
      </c>
      <c r="E276" s="330">
        <v>361</v>
      </c>
      <c r="F276" s="330">
        <v>1958</v>
      </c>
      <c r="G276" s="330">
        <v>621</v>
      </c>
      <c r="H276" s="330">
        <v>14471</v>
      </c>
      <c r="I276" s="330">
        <v>13850</v>
      </c>
      <c r="J276" s="330">
        <v>129</v>
      </c>
      <c r="K276" s="330">
        <v>92.03</v>
      </c>
      <c r="L276" s="330">
        <v>89.13</v>
      </c>
      <c r="M276" s="330">
        <v>6.18</v>
      </c>
      <c r="N276" s="330">
        <v>94.54</v>
      </c>
      <c r="O276" s="333">
        <v>9575</v>
      </c>
      <c r="P276" s="330">
        <v>91.53</v>
      </c>
      <c r="Q276" s="330">
        <v>88.18</v>
      </c>
      <c r="R276" s="330">
        <v>42.28</v>
      </c>
      <c r="S276" s="330">
        <v>133.77000000000001</v>
      </c>
      <c r="T276" s="333">
        <v>1909</v>
      </c>
      <c r="U276" s="330">
        <v>118.47</v>
      </c>
      <c r="V276" s="333">
        <v>1576</v>
      </c>
      <c r="W276" s="330">
        <v>205.71</v>
      </c>
      <c r="X276" s="333">
        <v>263</v>
      </c>
      <c r="Y276" s="330">
        <v>0</v>
      </c>
      <c r="Z276" s="330">
        <v>50</v>
      </c>
      <c r="AA276" s="330">
        <v>72</v>
      </c>
      <c r="AB276" s="330">
        <v>68</v>
      </c>
      <c r="AC276" s="330">
        <v>9</v>
      </c>
      <c r="AD276" s="330">
        <v>11527</v>
      </c>
      <c r="AE276" s="330">
        <v>259</v>
      </c>
      <c r="AF276" s="330">
        <v>60</v>
      </c>
      <c r="AG276" s="330">
        <v>319</v>
      </c>
    </row>
    <row r="277" spans="1:33" x14ac:dyDescent="0.3">
      <c r="A277" s="329" t="s">
        <v>608</v>
      </c>
      <c r="B277" s="329" t="s">
        <v>609</v>
      </c>
      <c r="C277" s="330">
        <v>2131</v>
      </c>
      <c r="D277" s="330">
        <v>0</v>
      </c>
      <c r="E277" s="330">
        <v>246</v>
      </c>
      <c r="F277" s="330">
        <v>553</v>
      </c>
      <c r="G277" s="330">
        <v>198</v>
      </c>
      <c r="H277" s="330">
        <v>3128</v>
      </c>
      <c r="I277" s="330">
        <v>2930</v>
      </c>
      <c r="J277" s="330">
        <v>4</v>
      </c>
      <c r="K277" s="330">
        <v>102.03</v>
      </c>
      <c r="L277" s="330">
        <v>99.93</v>
      </c>
      <c r="M277" s="330">
        <v>4.53</v>
      </c>
      <c r="N277" s="330">
        <v>105.82</v>
      </c>
      <c r="O277" s="333">
        <v>1723</v>
      </c>
      <c r="P277" s="330">
        <v>92.02</v>
      </c>
      <c r="Q277" s="330">
        <v>84.61</v>
      </c>
      <c r="R277" s="330">
        <v>38.880000000000003</v>
      </c>
      <c r="S277" s="330">
        <v>129.21</v>
      </c>
      <c r="T277" s="333">
        <v>762</v>
      </c>
      <c r="U277" s="330">
        <v>135.33000000000001</v>
      </c>
      <c r="V277" s="333">
        <v>359</v>
      </c>
      <c r="W277" s="330">
        <v>0</v>
      </c>
      <c r="X277" s="333">
        <v>0</v>
      </c>
      <c r="Y277" s="330">
        <v>12</v>
      </c>
      <c r="Z277" s="330">
        <v>0</v>
      </c>
      <c r="AA277" s="330">
        <v>2</v>
      </c>
      <c r="AB277" s="330">
        <v>13</v>
      </c>
      <c r="AC277" s="330">
        <v>2</v>
      </c>
      <c r="AD277" s="330">
        <v>2131</v>
      </c>
      <c r="AE277" s="330">
        <v>15</v>
      </c>
      <c r="AF277" s="330">
        <v>12</v>
      </c>
      <c r="AG277" s="330">
        <v>27</v>
      </c>
    </row>
    <row r="278" spans="1:33" x14ac:dyDescent="0.3">
      <c r="A278" s="329" t="s">
        <v>610</v>
      </c>
      <c r="B278" s="329" t="s">
        <v>611</v>
      </c>
      <c r="C278" s="330">
        <v>7707</v>
      </c>
      <c r="D278" s="330">
        <v>0</v>
      </c>
      <c r="E278" s="330">
        <v>363</v>
      </c>
      <c r="F278" s="330">
        <v>347</v>
      </c>
      <c r="G278" s="330">
        <v>1118</v>
      </c>
      <c r="H278" s="330">
        <v>9535</v>
      </c>
      <c r="I278" s="330">
        <v>8417</v>
      </c>
      <c r="J278" s="330">
        <v>4</v>
      </c>
      <c r="K278" s="330">
        <v>110.47</v>
      </c>
      <c r="L278" s="330">
        <v>108.31</v>
      </c>
      <c r="M278" s="330">
        <v>4.8099999999999996</v>
      </c>
      <c r="N278" s="330">
        <v>114.48</v>
      </c>
      <c r="O278" s="333">
        <v>6273</v>
      </c>
      <c r="P278" s="330">
        <v>97.13</v>
      </c>
      <c r="Q278" s="330">
        <v>92.7</v>
      </c>
      <c r="R278" s="330">
        <v>39.619999999999997</v>
      </c>
      <c r="S278" s="330">
        <v>135.79</v>
      </c>
      <c r="T278" s="333">
        <v>539</v>
      </c>
      <c r="U278" s="330">
        <v>156.32</v>
      </c>
      <c r="V278" s="333">
        <v>1194</v>
      </c>
      <c r="W278" s="330">
        <v>270.05</v>
      </c>
      <c r="X278" s="333">
        <v>40</v>
      </c>
      <c r="Y278" s="330">
        <v>68</v>
      </c>
      <c r="Z278" s="330">
        <v>14</v>
      </c>
      <c r="AA278" s="330">
        <v>12</v>
      </c>
      <c r="AB278" s="330">
        <v>146</v>
      </c>
      <c r="AC278" s="330">
        <v>36</v>
      </c>
      <c r="AD278" s="330">
        <v>7547</v>
      </c>
      <c r="AE278" s="330">
        <v>57</v>
      </c>
      <c r="AF278" s="330">
        <v>34</v>
      </c>
      <c r="AG278" s="330">
        <v>91</v>
      </c>
    </row>
    <row r="279" spans="1:33" x14ac:dyDescent="0.3">
      <c r="A279" s="329" t="s">
        <v>612</v>
      </c>
      <c r="B279" s="329" t="s">
        <v>613</v>
      </c>
      <c r="C279" s="330">
        <v>4813</v>
      </c>
      <c r="D279" s="330">
        <v>0</v>
      </c>
      <c r="E279" s="330">
        <v>78</v>
      </c>
      <c r="F279" s="330">
        <v>571</v>
      </c>
      <c r="G279" s="330">
        <v>974</v>
      </c>
      <c r="H279" s="330">
        <v>6436</v>
      </c>
      <c r="I279" s="330">
        <v>5462</v>
      </c>
      <c r="J279" s="330">
        <v>0</v>
      </c>
      <c r="K279" s="330">
        <v>97.86</v>
      </c>
      <c r="L279" s="330">
        <v>94.14</v>
      </c>
      <c r="M279" s="330">
        <v>5.88</v>
      </c>
      <c r="N279" s="330">
        <v>100.98</v>
      </c>
      <c r="O279" s="333">
        <v>3849</v>
      </c>
      <c r="P279" s="330">
        <v>90.45</v>
      </c>
      <c r="Q279" s="330">
        <v>83.4</v>
      </c>
      <c r="R279" s="330">
        <v>42.24</v>
      </c>
      <c r="S279" s="330">
        <v>132.56</v>
      </c>
      <c r="T279" s="333">
        <v>624</v>
      </c>
      <c r="U279" s="330">
        <v>138.71</v>
      </c>
      <c r="V279" s="333">
        <v>954</v>
      </c>
      <c r="W279" s="330">
        <v>124.85</v>
      </c>
      <c r="X279" s="333">
        <v>17</v>
      </c>
      <c r="Y279" s="330">
        <v>0</v>
      </c>
      <c r="Z279" s="330">
        <v>7</v>
      </c>
      <c r="AA279" s="330">
        <v>6</v>
      </c>
      <c r="AB279" s="330">
        <v>116</v>
      </c>
      <c r="AC279" s="330">
        <v>29</v>
      </c>
      <c r="AD279" s="330">
        <v>4807</v>
      </c>
      <c r="AE279" s="330">
        <v>93</v>
      </c>
      <c r="AF279" s="330">
        <v>5</v>
      </c>
      <c r="AG279" s="330">
        <v>98</v>
      </c>
    </row>
    <row r="280" spans="1:33" x14ac:dyDescent="0.3">
      <c r="A280" s="329" t="s">
        <v>614</v>
      </c>
      <c r="B280" s="329" t="s">
        <v>615</v>
      </c>
      <c r="C280" s="330">
        <v>3877</v>
      </c>
      <c r="D280" s="330">
        <v>0</v>
      </c>
      <c r="E280" s="330">
        <v>96</v>
      </c>
      <c r="F280" s="330">
        <v>691</v>
      </c>
      <c r="G280" s="330">
        <v>230</v>
      </c>
      <c r="H280" s="330">
        <v>4894</v>
      </c>
      <c r="I280" s="330">
        <v>4664</v>
      </c>
      <c r="J280" s="330">
        <v>26</v>
      </c>
      <c r="K280" s="330">
        <v>94.32</v>
      </c>
      <c r="L280" s="330">
        <v>91.36</v>
      </c>
      <c r="M280" s="330">
        <v>8.7200000000000006</v>
      </c>
      <c r="N280" s="330">
        <v>100.56</v>
      </c>
      <c r="O280" s="333">
        <v>3511</v>
      </c>
      <c r="P280" s="330">
        <v>97.63</v>
      </c>
      <c r="Q280" s="330">
        <v>80.45</v>
      </c>
      <c r="R280" s="330">
        <v>60.09</v>
      </c>
      <c r="S280" s="330">
        <v>154.74</v>
      </c>
      <c r="T280" s="333">
        <v>765</v>
      </c>
      <c r="U280" s="330">
        <v>123.51</v>
      </c>
      <c r="V280" s="333">
        <v>329</v>
      </c>
      <c r="W280" s="330">
        <v>0</v>
      </c>
      <c r="X280" s="333">
        <v>0</v>
      </c>
      <c r="Y280" s="330">
        <v>0</v>
      </c>
      <c r="Z280" s="330">
        <v>0</v>
      </c>
      <c r="AA280" s="330">
        <v>30</v>
      </c>
      <c r="AB280" s="330">
        <v>46</v>
      </c>
      <c r="AC280" s="330">
        <v>6</v>
      </c>
      <c r="AD280" s="330">
        <v>3876</v>
      </c>
      <c r="AE280" s="330">
        <v>48</v>
      </c>
      <c r="AF280" s="330">
        <v>16</v>
      </c>
      <c r="AG280" s="330">
        <v>64</v>
      </c>
    </row>
    <row r="281" spans="1:33" x14ac:dyDescent="0.3">
      <c r="A281" s="329" t="s">
        <v>616</v>
      </c>
      <c r="B281" s="329" t="s">
        <v>617</v>
      </c>
      <c r="C281" s="330">
        <v>4617</v>
      </c>
      <c r="D281" s="330">
        <v>21</v>
      </c>
      <c r="E281" s="330">
        <v>61</v>
      </c>
      <c r="F281" s="330">
        <v>856</v>
      </c>
      <c r="G281" s="330">
        <v>340</v>
      </c>
      <c r="H281" s="330">
        <v>5895</v>
      </c>
      <c r="I281" s="330">
        <v>5555</v>
      </c>
      <c r="J281" s="330">
        <v>19</v>
      </c>
      <c r="K281" s="330">
        <v>116.4</v>
      </c>
      <c r="L281" s="330">
        <v>122.93</v>
      </c>
      <c r="M281" s="330">
        <v>6.9</v>
      </c>
      <c r="N281" s="330">
        <v>119.46</v>
      </c>
      <c r="O281" s="333">
        <v>4302</v>
      </c>
      <c r="P281" s="330">
        <v>103.82</v>
      </c>
      <c r="Q281" s="330">
        <v>99.15</v>
      </c>
      <c r="R281" s="330">
        <v>20.86</v>
      </c>
      <c r="S281" s="330">
        <v>122.71</v>
      </c>
      <c r="T281" s="333">
        <v>869</v>
      </c>
      <c r="U281" s="330">
        <v>172.73</v>
      </c>
      <c r="V281" s="333">
        <v>227</v>
      </c>
      <c r="W281" s="330">
        <v>188.31</v>
      </c>
      <c r="X281" s="333">
        <v>4</v>
      </c>
      <c r="Y281" s="330">
        <v>35</v>
      </c>
      <c r="Z281" s="330">
        <v>2</v>
      </c>
      <c r="AA281" s="330">
        <v>28</v>
      </c>
      <c r="AB281" s="330">
        <v>40</v>
      </c>
      <c r="AC281" s="330">
        <v>4</v>
      </c>
      <c r="AD281" s="330">
        <v>4617</v>
      </c>
      <c r="AE281" s="330">
        <v>70</v>
      </c>
      <c r="AF281" s="330">
        <v>8</v>
      </c>
      <c r="AG281" s="330">
        <v>78</v>
      </c>
    </row>
    <row r="282" spans="1:33" x14ac:dyDescent="0.3">
      <c r="A282" s="329" t="s">
        <v>618</v>
      </c>
      <c r="B282" s="329" t="s">
        <v>619</v>
      </c>
      <c r="C282" s="330">
        <v>1926</v>
      </c>
      <c r="D282" s="330">
        <v>0</v>
      </c>
      <c r="E282" s="330">
        <v>137</v>
      </c>
      <c r="F282" s="330">
        <v>93</v>
      </c>
      <c r="G282" s="330">
        <v>459</v>
      </c>
      <c r="H282" s="330">
        <v>2615</v>
      </c>
      <c r="I282" s="330">
        <v>2156</v>
      </c>
      <c r="J282" s="330">
        <v>23</v>
      </c>
      <c r="K282" s="330">
        <v>105.18</v>
      </c>
      <c r="L282" s="330">
        <v>106.32</v>
      </c>
      <c r="M282" s="330">
        <v>9.35</v>
      </c>
      <c r="N282" s="330">
        <v>111.72</v>
      </c>
      <c r="O282" s="333">
        <v>1189</v>
      </c>
      <c r="P282" s="330">
        <v>125.24</v>
      </c>
      <c r="Q282" s="330">
        <v>106.38</v>
      </c>
      <c r="R282" s="330">
        <v>87.96</v>
      </c>
      <c r="S282" s="330">
        <v>210.47</v>
      </c>
      <c r="T282" s="333">
        <v>194</v>
      </c>
      <c r="U282" s="330">
        <v>164.53</v>
      </c>
      <c r="V282" s="333">
        <v>585</v>
      </c>
      <c r="W282" s="330">
        <v>165.01</v>
      </c>
      <c r="X282" s="333">
        <v>4</v>
      </c>
      <c r="Y282" s="330">
        <v>0</v>
      </c>
      <c r="Z282" s="330">
        <v>0</v>
      </c>
      <c r="AA282" s="330">
        <v>0</v>
      </c>
      <c r="AB282" s="330">
        <v>22</v>
      </c>
      <c r="AC282" s="330">
        <v>12</v>
      </c>
      <c r="AD282" s="330">
        <v>1907</v>
      </c>
      <c r="AE282" s="330">
        <v>39</v>
      </c>
      <c r="AF282" s="330">
        <v>3</v>
      </c>
      <c r="AG282" s="330">
        <v>42</v>
      </c>
    </row>
    <row r="283" spans="1:33" x14ac:dyDescent="0.3">
      <c r="A283" s="329" t="s">
        <v>620</v>
      </c>
      <c r="B283" s="329" t="s">
        <v>621</v>
      </c>
      <c r="C283" s="330">
        <v>7769</v>
      </c>
      <c r="D283" s="330">
        <v>1</v>
      </c>
      <c r="E283" s="330">
        <v>147</v>
      </c>
      <c r="F283" s="330">
        <v>640</v>
      </c>
      <c r="G283" s="330">
        <v>1121</v>
      </c>
      <c r="H283" s="330">
        <v>9678</v>
      </c>
      <c r="I283" s="330">
        <v>8557</v>
      </c>
      <c r="J283" s="330">
        <v>4</v>
      </c>
      <c r="K283" s="330">
        <v>116.74</v>
      </c>
      <c r="L283" s="330">
        <v>116.64</v>
      </c>
      <c r="M283" s="330">
        <v>5.65</v>
      </c>
      <c r="N283" s="330">
        <v>117.8</v>
      </c>
      <c r="O283" s="333">
        <v>6493</v>
      </c>
      <c r="P283" s="330">
        <v>101.39</v>
      </c>
      <c r="Q283" s="330">
        <v>92.74</v>
      </c>
      <c r="R283" s="330">
        <v>43.09</v>
      </c>
      <c r="S283" s="330">
        <v>141.41</v>
      </c>
      <c r="T283" s="333">
        <v>560</v>
      </c>
      <c r="U283" s="330">
        <v>152.59</v>
      </c>
      <c r="V283" s="333">
        <v>1212</v>
      </c>
      <c r="W283" s="330">
        <v>243.94</v>
      </c>
      <c r="X283" s="333">
        <v>131</v>
      </c>
      <c r="Y283" s="330">
        <v>0</v>
      </c>
      <c r="Z283" s="330">
        <v>2</v>
      </c>
      <c r="AA283" s="330">
        <v>0</v>
      </c>
      <c r="AB283" s="330">
        <v>46</v>
      </c>
      <c r="AC283" s="330">
        <v>16</v>
      </c>
      <c r="AD283" s="330">
        <v>7762</v>
      </c>
      <c r="AE283" s="330">
        <v>137</v>
      </c>
      <c r="AF283" s="330">
        <v>4</v>
      </c>
      <c r="AG283" s="330">
        <v>141</v>
      </c>
    </row>
    <row r="284" spans="1:33" x14ac:dyDescent="0.3">
      <c r="A284" s="329" t="s">
        <v>622</v>
      </c>
      <c r="B284" s="329" t="s">
        <v>623</v>
      </c>
      <c r="C284" s="330">
        <v>4251</v>
      </c>
      <c r="D284" s="330">
        <v>11</v>
      </c>
      <c r="E284" s="330">
        <v>290</v>
      </c>
      <c r="F284" s="330">
        <v>879</v>
      </c>
      <c r="G284" s="330">
        <v>542</v>
      </c>
      <c r="H284" s="330">
        <v>5973</v>
      </c>
      <c r="I284" s="330">
        <v>5431</v>
      </c>
      <c r="J284" s="330">
        <v>4</v>
      </c>
      <c r="K284" s="330">
        <v>90.09</v>
      </c>
      <c r="L284" s="330">
        <v>89.2</v>
      </c>
      <c r="M284" s="330">
        <v>6.43</v>
      </c>
      <c r="N284" s="330">
        <v>95.62</v>
      </c>
      <c r="O284" s="333">
        <v>3684</v>
      </c>
      <c r="P284" s="330">
        <v>90.69</v>
      </c>
      <c r="Q284" s="330">
        <v>83.69</v>
      </c>
      <c r="R284" s="330">
        <v>41.82</v>
      </c>
      <c r="S284" s="330">
        <v>131.82</v>
      </c>
      <c r="T284" s="333">
        <v>896</v>
      </c>
      <c r="U284" s="330">
        <v>123.03</v>
      </c>
      <c r="V284" s="333">
        <v>473</v>
      </c>
      <c r="W284" s="330">
        <v>111.27</v>
      </c>
      <c r="X284" s="333">
        <v>17</v>
      </c>
      <c r="Y284" s="330">
        <v>0</v>
      </c>
      <c r="Z284" s="330">
        <v>5</v>
      </c>
      <c r="AA284" s="330">
        <v>20</v>
      </c>
      <c r="AB284" s="330">
        <v>2</v>
      </c>
      <c r="AC284" s="330">
        <v>14</v>
      </c>
      <c r="AD284" s="330">
        <v>4173</v>
      </c>
      <c r="AE284" s="330">
        <v>12</v>
      </c>
      <c r="AF284" s="330">
        <v>22</v>
      </c>
      <c r="AG284" s="330">
        <v>34</v>
      </c>
    </row>
    <row r="285" spans="1:33" x14ac:dyDescent="0.3">
      <c r="A285" s="329" t="s">
        <v>624</v>
      </c>
      <c r="B285" s="329" t="s">
        <v>625</v>
      </c>
      <c r="C285" s="330">
        <v>2422</v>
      </c>
      <c r="D285" s="330">
        <v>0</v>
      </c>
      <c r="E285" s="330">
        <v>32</v>
      </c>
      <c r="F285" s="330">
        <v>386</v>
      </c>
      <c r="G285" s="330">
        <v>203</v>
      </c>
      <c r="H285" s="330">
        <v>3043</v>
      </c>
      <c r="I285" s="330">
        <v>2840</v>
      </c>
      <c r="J285" s="330">
        <v>0</v>
      </c>
      <c r="K285" s="330">
        <v>85.58</v>
      </c>
      <c r="L285" s="330">
        <v>84.94</v>
      </c>
      <c r="M285" s="330">
        <v>3.52</v>
      </c>
      <c r="N285" s="330">
        <v>87.75</v>
      </c>
      <c r="O285" s="333">
        <v>2274</v>
      </c>
      <c r="P285" s="330">
        <v>73.77</v>
      </c>
      <c r="Q285" s="330">
        <v>71.17</v>
      </c>
      <c r="R285" s="330">
        <v>31.17</v>
      </c>
      <c r="S285" s="330">
        <v>100.86</v>
      </c>
      <c r="T285" s="333">
        <v>344</v>
      </c>
      <c r="U285" s="330">
        <v>111.82</v>
      </c>
      <c r="V285" s="333">
        <v>144</v>
      </c>
      <c r="W285" s="330">
        <v>213.16</v>
      </c>
      <c r="X285" s="333">
        <v>41</v>
      </c>
      <c r="Y285" s="330">
        <v>0</v>
      </c>
      <c r="Z285" s="330">
        <v>5</v>
      </c>
      <c r="AA285" s="330">
        <v>2</v>
      </c>
      <c r="AB285" s="330">
        <v>11</v>
      </c>
      <c r="AC285" s="330">
        <v>8</v>
      </c>
      <c r="AD285" s="330">
        <v>2406</v>
      </c>
      <c r="AE285" s="330">
        <v>2</v>
      </c>
      <c r="AF285" s="330">
        <v>2</v>
      </c>
      <c r="AG285" s="330">
        <v>4</v>
      </c>
    </row>
    <row r="286" spans="1:33" x14ac:dyDescent="0.3">
      <c r="A286" s="329" t="s">
        <v>626</v>
      </c>
      <c r="B286" s="329" t="s">
        <v>627</v>
      </c>
      <c r="C286" s="330">
        <v>30278</v>
      </c>
      <c r="D286" s="330">
        <v>86</v>
      </c>
      <c r="E286" s="330">
        <v>1466</v>
      </c>
      <c r="F286" s="330">
        <v>904</v>
      </c>
      <c r="G286" s="330">
        <v>3754</v>
      </c>
      <c r="H286" s="330">
        <v>36488</v>
      </c>
      <c r="I286" s="330">
        <v>32734</v>
      </c>
      <c r="J286" s="330">
        <v>312</v>
      </c>
      <c r="K286" s="330">
        <v>128.69999999999999</v>
      </c>
      <c r="L286" s="330">
        <v>132.58000000000001</v>
      </c>
      <c r="M286" s="330">
        <v>18.36</v>
      </c>
      <c r="N286" s="330">
        <v>145.54</v>
      </c>
      <c r="O286" s="333">
        <v>25372</v>
      </c>
      <c r="P286" s="330">
        <v>117.91</v>
      </c>
      <c r="Q286" s="330">
        <v>112.18</v>
      </c>
      <c r="R286" s="330">
        <v>77.56</v>
      </c>
      <c r="S286" s="330">
        <v>194.27</v>
      </c>
      <c r="T286" s="333">
        <v>1819</v>
      </c>
      <c r="U286" s="330">
        <v>221.81</v>
      </c>
      <c r="V286" s="333">
        <v>3174</v>
      </c>
      <c r="W286" s="330">
        <v>233.91</v>
      </c>
      <c r="X286" s="333">
        <v>214</v>
      </c>
      <c r="Y286" s="330">
        <v>32</v>
      </c>
      <c r="Z286" s="330">
        <v>10</v>
      </c>
      <c r="AA286" s="330">
        <v>111</v>
      </c>
      <c r="AB286" s="330">
        <v>324</v>
      </c>
      <c r="AC286" s="330">
        <v>124</v>
      </c>
      <c r="AD286" s="330">
        <v>29111</v>
      </c>
      <c r="AE286" s="330">
        <v>230</v>
      </c>
      <c r="AF286" s="330">
        <v>399</v>
      </c>
      <c r="AG286" s="330">
        <v>629</v>
      </c>
    </row>
    <row r="287" spans="1:33" x14ac:dyDescent="0.3">
      <c r="A287" s="329" t="s">
        <v>628</v>
      </c>
      <c r="B287" s="329" t="s">
        <v>629</v>
      </c>
      <c r="C287" s="330">
        <v>11814</v>
      </c>
      <c r="D287" s="330">
        <v>0</v>
      </c>
      <c r="E287" s="330">
        <v>504</v>
      </c>
      <c r="F287" s="330">
        <v>3251</v>
      </c>
      <c r="G287" s="330">
        <v>600</v>
      </c>
      <c r="H287" s="330">
        <v>16169</v>
      </c>
      <c r="I287" s="330">
        <v>15569</v>
      </c>
      <c r="J287" s="330">
        <v>0</v>
      </c>
      <c r="K287" s="330">
        <v>90.1</v>
      </c>
      <c r="L287" s="330">
        <v>89.96</v>
      </c>
      <c r="M287" s="330">
        <v>5.35</v>
      </c>
      <c r="N287" s="330">
        <v>94.08</v>
      </c>
      <c r="O287" s="333">
        <v>9805</v>
      </c>
      <c r="P287" s="330">
        <v>92.49</v>
      </c>
      <c r="Q287" s="330">
        <v>88.19</v>
      </c>
      <c r="R287" s="330">
        <v>27.82</v>
      </c>
      <c r="S287" s="330">
        <v>120.25</v>
      </c>
      <c r="T287" s="333">
        <v>3570</v>
      </c>
      <c r="U287" s="330">
        <v>124.47</v>
      </c>
      <c r="V287" s="333">
        <v>1901</v>
      </c>
      <c r="W287" s="330">
        <v>168.91</v>
      </c>
      <c r="X287" s="333">
        <v>117</v>
      </c>
      <c r="Y287" s="330">
        <v>0</v>
      </c>
      <c r="Z287" s="330">
        <v>28</v>
      </c>
      <c r="AA287" s="330">
        <v>5</v>
      </c>
      <c r="AB287" s="330">
        <v>24</v>
      </c>
      <c r="AC287" s="330">
        <v>22</v>
      </c>
      <c r="AD287" s="330">
        <v>11763</v>
      </c>
      <c r="AE287" s="330">
        <v>62</v>
      </c>
      <c r="AF287" s="330">
        <v>121</v>
      </c>
      <c r="AG287" s="330">
        <v>183</v>
      </c>
    </row>
    <row r="288" spans="1:33" x14ac:dyDescent="0.3">
      <c r="A288" s="329" t="s">
        <v>630</v>
      </c>
      <c r="B288" s="329" t="s">
        <v>631</v>
      </c>
      <c r="C288" s="330">
        <v>6416</v>
      </c>
      <c r="D288" s="330">
        <v>0</v>
      </c>
      <c r="E288" s="330">
        <v>178</v>
      </c>
      <c r="F288" s="330">
        <v>789</v>
      </c>
      <c r="G288" s="330">
        <v>556</v>
      </c>
      <c r="H288" s="330">
        <v>7939</v>
      </c>
      <c r="I288" s="330">
        <v>7383</v>
      </c>
      <c r="J288" s="330">
        <v>6</v>
      </c>
      <c r="K288" s="330">
        <v>113.43</v>
      </c>
      <c r="L288" s="330">
        <v>108.44</v>
      </c>
      <c r="M288" s="330">
        <v>4.54</v>
      </c>
      <c r="N288" s="330">
        <v>117.2</v>
      </c>
      <c r="O288" s="333">
        <v>5452</v>
      </c>
      <c r="P288" s="330">
        <v>104.89</v>
      </c>
      <c r="Q288" s="330">
        <v>87.87</v>
      </c>
      <c r="R288" s="330">
        <v>35.54</v>
      </c>
      <c r="S288" s="330">
        <v>138.91999999999999</v>
      </c>
      <c r="T288" s="333">
        <v>682</v>
      </c>
      <c r="U288" s="330">
        <v>164.15</v>
      </c>
      <c r="V288" s="333">
        <v>743</v>
      </c>
      <c r="W288" s="330">
        <v>135.49</v>
      </c>
      <c r="X288" s="333">
        <v>131</v>
      </c>
      <c r="Y288" s="330">
        <v>27</v>
      </c>
      <c r="Z288" s="330">
        <v>2</v>
      </c>
      <c r="AA288" s="330">
        <v>18</v>
      </c>
      <c r="AB288" s="330">
        <v>45</v>
      </c>
      <c r="AC288" s="330">
        <v>5</v>
      </c>
      <c r="AD288" s="330">
        <v>6251</v>
      </c>
      <c r="AE288" s="330">
        <v>62</v>
      </c>
      <c r="AF288" s="330">
        <v>61</v>
      </c>
      <c r="AG288" s="330">
        <v>123</v>
      </c>
    </row>
    <row r="289" spans="1:33" x14ac:dyDescent="0.3">
      <c r="A289" s="329" t="s">
        <v>632</v>
      </c>
      <c r="B289" s="329" t="s">
        <v>633</v>
      </c>
      <c r="C289" s="330">
        <v>1914</v>
      </c>
      <c r="D289" s="330">
        <v>0</v>
      </c>
      <c r="E289" s="330">
        <v>86</v>
      </c>
      <c r="F289" s="330">
        <v>260</v>
      </c>
      <c r="G289" s="330">
        <v>588</v>
      </c>
      <c r="H289" s="330">
        <v>2848</v>
      </c>
      <c r="I289" s="330">
        <v>2260</v>
      </c>
      <c r="J289" s="330">
        <v>1</v>
      </c>
      <c r="K289" s="330">
        <v>111.07</v>
      </c>
      <c r="L289" s="330">
        <v>109.98</v>
      </c>
      <c r="M289" s="330">
        <v>6.5</v>
      </c>
      <c r="N289" s="330">
        <v>115.65</v>
      </c>
      <c r="O289" s="333">
        <v>995</v>
      </c>
      <c r="P289" s="330">
        <v>108.92</v>
      </c>
      <c r="Q289" s="330">
        <v>96.87</v>
      </c>
      <c r="R289" s="330">
        <v>64.73</v>
      </c>
      <c r="S289" s="330">
        <v>172.67</v>
      </c>
      <c r="T289" s="333">
        <v>266</v>
      </c>
      <c r="U289" s="330">
        <v>165.3</v>
      </c>
      <c r="V289" s="333">
        <v>899</v>
      </c>
      <c r="W289" s="330">
        <v>178.78</v>
      </c>
      <c r="X289" s="333">
        <v>79</v>
      </c>
      <c r="Y289" s="330">
        <v>1</v>
      </c>
      <c r="Z289" s="330">
        <v>0</v>
      </c>
      <c r="AA289" s="330">
        <v>0</v>
      </c>
      <c r="AB289" s="330">
        <v>19</v>
      </c>
      <c r="AC289" s="330">
        <v>15</v>
      </c>
      <c r="AD289" s="330">
        <v>1913</v>
      </c>
      <c r="AE289" s="330">
        <v>9</v>
      </c>
      <c r="AF289" s="330">
        <v>10</v>
      </c>
      <c r="AG289" s="330">
        <v>19</v>
      </c>
    </row>
    <row r="290" spans="1:33" x14ac:dyDescent="0.3">
      <c r="A290" s="329" t="s">
        <v>634</v>
      </c>
      <c r="B290" s="329" t="s">
        <v>635</v>
      </c>
      <c r="C290" s="330">
        <v>7725</v>
      </c>
      <c r="D290" s="330">
        <v>0</v>
      </c>
      <c r="E290" s="330">
        <v>253</v>
      </c>
      <c r="F290" s="330">
        <v>433</v>
      </c>
      <c r="G290" s="330">
        <v>1078</v>
      </c>
      <c r="H290" s="330">
        <v>9489</v>
      </c>
      <c r="I290" s="330">
        <v>8411</v>
      </c>
      <c r="J290" s="330">
        <v>1</v>
      </c>
      <c r="K290" s="330">
        <v>110.04</v>
      </c>
      <c r="L290" s="330">
        <v>107.05</v>
      </c>
      <c r="M290" s="330">
        <v>6.19</v>
      </c>
      <c r="N290" s="330">
        <v>111.29</v>
      </c>
      <c r="O290" s="333">
        <v>5543</v>
      </c>
      <c r="P290" s="330">
        <v>101.29</v>
      </c>
      <c r="Q290" s="330">
        <v>93.99</v>
      </c>
      <c r="R290" s="330">
        <v>28.57</v>
      </c>
      <c r="S290" s="330">
        <v>127.46</v>
      </c>
      <c r="T290" s="333">
        <v>595</v>
      </c>
      <c r="U290" s="330">
        <v>176.1</v>
      </c>
      <c r="V290" s="333">
        <v>2175</v>
      </c>
      <c r="W290" s="330">
        <v>190.51</v>
      </c>
      <c r="X290" s="333">
        <v>27</v>
      </c>
      <c r="Y290" s="330">
        <v>46</v>
      </c>
      <c r="Z290" s="330">
        <v>2</v>
      </c>
      <c r="AA290" s="330">
        <v>12</v>
      </c>
      <c r="AB290" s="330">
        <v>85</v>
      </c>
      <c r="AC290" s="330">
        <v>25</v>
      </c>
      <c r="AD290" s="330">
        <v>7676</v>
      </c>
      <c r="AE290" s="330">
        <v>86</v>
      </c>
      <c r="AF290" s="330">
        <v>7</v>
      </c>
      <c r="AG290" s="330">
        <v>93</v>
      </c>
    </row>
    <row r="291" spans="1:33" x14ac:dyDescent="0.3">
      <c r="A291" s="329" t="s">
        <v>636</v>
      </c>
      <c r="B291" s="329" t="s">
        <v>637</v>
      </c>
      <c r="C291" s="330">
        <v>32452</v>
      </c>
      <c r="D291" s="330">
        <v>1</v>
      </c>
      <c r="E291" s="330">
        <v>2106</v>
      </c>
      <c r="F291" s="330">
        <v>655</v>
      </c>
      <c r="G291" s="330">
        <v>1167</v>
      </c>
      <c r="H291" s="330">
        <v>36381</v>
      </c>
      <c r="I291" s="330">
        <v>35214</v>
      </c>
      <c r="J291" s="330">
        <v>0</v>
      </c>
      <c r="K291" s="330">
        <v>84.79</v>
      </c>
      <c r="L291" s="330">
        <v>85.07</v>
      </c>
      <c r="M291" s="330">
        <v>4.47</v>
      </c>
      <c r="N291" s="330">
        <v>85.59</v>
      </c>
      <c r="O291" s="333">
        <v>29698</v>
      </c>
      <c r="P291" s="330">
        <v>85.21</v>
      </c>
      <c r="Q291" s="330">
        <v>79.2</v>
      </c>
      <c r="R291" s="330">
        <v>40.29</v>
      </c>
      <c r="S291" s="330">
        <v>125.25</v>
      </c>
      <c r="T291" s="333">
        <v>2507</v>
      </c>
      <c r="U291" s="330">
        <v>101.86</v>
      </c>
      <c r="V291" s="333">
        <v>2436</v>
      </c>
      <c r="W291" s="330">
        <v>149.22999999999999</v>
      </c>
      <c r="X291" s="333">
        <v>26</v>
      </c>
      <c r="Y291" s="330">
        <v>9</v>
      </c>
      <c r="Z291" s="330">
        <v>176</v>
      </c>
      <c r="AA291" s="330">
        <v>7</v>
      </c>
      <c r="AB291" s="330">
        <v>125</v>
      </c>
      <c r="AC291" s="330">
        <v>31</v>
      </c>
      <c r="AD291" s="330">
        <v>32428</v>
      </c>
      <c r="AE291" s="330">
        <v>190</v>
      </c>
      <c r="AF291" s="330">
        <v>186</v>
      </c>
      <c r="AG291" s="330">
        <v>376</v>
      </c>
    </row>
    <row r="292" spans="1:33" x14ac:dyDescent="0.3">
      <c r="A292" s="329" t="s">
        <v>638</v>
      </c>
      <c r="B292" s="329" t="s">
        <v>639</v>
      </c>
      <c r="C292" s="330">
        <v>26485</v>
      </c>
      <c r="D292" s="330">
        <v>7</v>
      </c>
      <c r="E292" s="330">
        <v>495</v>
      </c>
      <c r="F292" s="330">
        <v>792</v>
      </c>
      <c r="G292" s="330">
        <v>512</v>
      </c>
      <c r="H292" s="330">
        <v>28291</v>
      </c>
      <c r="I292" s="330">
        <v>27779</v>
      </c>
      <c r="J292" s="330">
        <v>17</v>
      </c>
      <c r="K292" s="330">
        <v>87.3</v>
      </c>
      <c r="L292" s="330">
        <v>87.29</v>
      </c>
      <c r="M292" s="330">
        <v>10.35</v>
      </c>
      <c r="N292" s="330">
        <v>92.57</v>
      </c>
      <c r="O292" s="333">
        <v>23930</v>
      </c>
      <c r="P292" s="330">
        <v>102.02</v>
      </c>
      <c r="Q292" s="330">
        <v>90.79</v>
      </c>
      <c r="R292" s="330">
        <v>51.82</v>
      </c>
      <c r="S292" s="330">
        <v>151.9</v>
      </c>
      <c r="T292" s="333">
        <v>1015</v>
      </c>
      <c r="U292" s="330">
        <v>113.75</v>
      </c>
      <c r="V292" s="333">
        <v>2324</v>
      </c>
      <c r="W292" s="330">
        <v>146.74</v>
      </c>
      <c r="X292" s="333">
        <v>201</v>
      </c>
      <c r="Y292" s="330">
        <v>0</v>
      </c>
      <c r="Z292" s="330">
        <v>104</v>
      </c>
      <c r="AA292" s="330">
        <v>8</v>
      </c>
      <c r="AB292" s="330">
        <v>4</v>
      </c>
      <c r="AC292" s="330">
        <v>16</v>
      </c>
      <c r="AD292" s="330">
        <v>26428</v>
      </c>
      <c r="AE292" s="330">
        <v>252</v>
      </c>
      <c r="AF292" s="330">
        <v>43</v>
      </c>
      <c r="AG292" s="330">
        <v>295</v>
      </c>
    </row>
    <row r="293" spans="1:33" x14ac:dyDescent="0.3">
      <c r="A293" s="329" t="s">
        <v>640</v>
      </c>
      <c r="B293" s="329" t="s">
        <v>641</v>
      </c>
      <c r="C293" s="330">
        <v>10965</v>
      </c>
      <c r="D293" s="330">
        <v>13</v>
      </c>
      <c r="E293" s="330">
        <v>1001</v>
      </c>
      <c r="F293" s="330">
        <v>861</v>
      </c>
      <c r="G293" s="330">
        <v>1722</v>
      </c>
      <c r="H293" s="330">
        <v>14562</v>
      </c>
      <c r="I293" s="330">
        <v>12840</v>
      </c>
      <c r="J293" s="330">
        <v>61</v>
      </c>
      <c r="K293" s="330">
        <v>119.66</v>
      </c>
      <c r="L293" s="330">
        <v>118.18</v>
      </c>
      <c r="M293" s="330">
        <v>12.42</v>
      </c>
      <c r="N293" s="330">
        <v>126.61</v>
      </c>
      <c r="O293" s="333">
        <v>8762</v>
      </c>
      <c r="P293" s="330">
        <v>104.47</v>
      </c>
      <c r="Q293" s="330">
        <v>97.67</v>
      </c>
      <c r="R293" s="330">
        <v>44.75</v>
      </c>
      <c r="S293" s="330">
        <v>148.68</v>
      </c>
      <c r="T293" s="333">
        <v>1178</v>
      </c>
      <c r="U293" s="330">
        <v>190.36</v>
      </c>
      <c r="V293" s="333">
        <v>1727</v>
      </c>
      <c r="W293" s="330">
        <v>229.99</v>
      </c>
      <c r="X293" s="333">
        <v>82</v>
      </c>
      <c r="Y293" s="330">
        <v>76</v>
      </c>
      <c r="Z293" s="330">
        <v>8</v>
      </c>
      <c r="AA293" s="330">
        <v>6</v>
      </c>
      <c r="AB293" s="330">
        <v>135</v>
      </c>
      <c r="AC293" s="330">
        <v>70</v>
      </c>
      <c r="AD293" s="330">
        <v>10709</v>
      </c>
      <c r="AE293" s="330">
        <v>135</v>
      </c>
      <c r="AF293" s="330">
        <v>56</v>
      </c>
      <c r="AG293" s="330">
        <v>191</v>
      </c>
    </row>
    <row r="294" spans="1:33" x14ac:dyDescent="0.3">
      <c r="A294" s="329" t="s">
        <v>642</v>
      </c>
      <c r="B294" s="329" t="s">
        <v>643</v>
      </c>
      <c r="C294" s="330">
        <v>9020</v>
      </c>
      <c r="D294" s="330">
        <v>6</v>
      </c>
      <c r="E294" s="330">
        <v>1112</v>
      </c>
      <c r="F294" s="330">
        <v>981</v>
      </c>
      <c r="G294" s="330">
        <v>2559</v>
      </c>
      <c r="H294" s="330">
        <v>13678</v>
      </c>
      <c r="I294" s="330">
        <v>11119</v>
      </c>
      <c r="J294" s="330">
        <v>102</v>
      </c>
      <c r="K294" s="330">
        <v>132.52000000000001</v>
      </c>
      <c r="L294" s="330">
        <v>141.71</v>
      </c>
      <c r="M294" s="330">
        <v>10.8</v>
      </c>
      <c r="N294" s="330">
        <v>139.51</v>
      </c>
      <c r="O294" s="333">
        <v>6790</v>
      </c>
      <c r="P294" s="330">
        <v>122.9</v>
      </c>
      <c r="Q294" s="330">
        <v>119.52</v>
      </c>
      <c r="R294" s="330">
        <v>42.54</v>
      </c>
      <c r="S294" s="330">
        <v>162.02000000000001</v>
      </c>
      <c r="T294" s="333">
        <v>1879</v>
      </c>
      <c r="U294" s="330">
        <v>211.68</v>
      </c>
      <c r="V294" s="333">
        <v>929</v>
      </c>
      <c r="W294" s="330">
        <v>237.24</v>
      </c>
      <c r="X294" s="333">
        <v>37</v>
      </c>
      <c r="Y294" s="330">
        <v>0</v>
      </c>
      <c r="Z294" s="330">
        <v>8</v>
      </c>
      <c r="AA294" s="330">
        <v>18</v>
      </c>
      <c r="AB294" s="330">
        <v>116</v>
      </c>
      <c r="AC294" s="330">
        <v>123</v>
      </c>
      <c r="AD294" s="330">
        <v>8653</v>
      </c>
      <c r="AE294" s="330">
        <v>187</v>
      </c>
      <c r="AF294" s="330">
        <v>107</v>
      </c>
      <c r="AG294" s="330">
        <v>294</v>
      </c>
    </row>
    <row r="295" spans="1:33" x14ac:dyDescent="0.3">
      <c r="A295" s="329" t="s">
        <v>644</v>
      </c>
      <c r="B295" s="329" t="s">
        <v>645</v>
      </c>
      <c r="C295" s="330">
        <v>11904</v>
      </c>
      <c r="D295" s="330">
        <v>0</v>
      </c>
      <c r="E295" s="330">
        <v>585</v>
      </c>
      <c r="F295" s="330">
        <v>2166</v>
      </c>
      <c r="G295" s="330">
        <v>698</v>
      </c>
      <c r="H295" s="330">
        <v>15353</v>
      </c>
      <c r="I295" s="330">
        <v>14655</v>
      </c>
      <c r="J295" s="330">
        <v>0</v>
      </c>
      <c r="K295" s="330">
        <v>86.45</v>
      </c>
      <c r="L295" s="330">
        <v>87.04</v>
      </c>
      <c r="M295" s="330">
        <v>4.67</v>
      </c>
      <c r="N295" s="330">
        <v>87.95</v>
      </c>
      <c r="O295" s="333">
        <v>10965</v>
      </c>
      <c r="P295" s="330">
        <v>89.62</v>
      </c>
      <c r="Q295" s="330">
        <v>80.16</v>
      </c>
      <c r="R295" s="330">
        <v>39.44</v>
      </c>
      <c r="S295" s="330">
        <v>125.33</v>
      </c>
      <c r="T295" s="333">
        <v>2591</v>
      </c>
      <c r="U295" s="330">
        <v>109.39</v>
      </c>
      <c r="V295" s="333">
        <v>848</v>
      </c>
      <c r="W295" s="330">
        <v>168.34</v>
      </c>
      <c r="X295" s="333">
        <v>48</v>
      </c>
      <c r="Y295" s="330">
        <v>8</v>
      </c>
      <c r="Z295" s="330">
        <v>73</v>
      </c>
      <c r="AA295" s="330">
        <v>0</v>
      </c>
      <c r="AB295" s="330">
        <v>58</v>
      </c>
      <c r="AC295" s="330">
        <v>26</v>
      </c>
      <c r="AD295" s="330">
        <v>11904</v>
      </c>
      <c r="AE295" s="330">
        <v>82</v>
      </c>
      <c r="AF295" s="330">
        <v>56</v>
      </c>
      <c r="AG295" s="330">
        <v>138</v>
      </c>
    </row>
    <row r="296" spans="1:33" x14ac:dyDescent="0.3">
      <c r="A296" s="329" t="s">
        <v>646</v>
      </c>
      <c r="B296" s="329" t="s">
        <v>647</v>
      </c>
      <c r="C296" s="330">
        <v>3424</v>
      </c>
      <c r="D296" s="330">
        <v>0</v>
      </c>
      <c r="E296" s="330">
        <v>158</v>
      </c>
      <c r="F296" s="330">
        <v>629</v>
      </c>
      <c r="G296" s="330">
        <v>1178</v>
      </c>
      <c r="H296" s="330">
        <v>5389</v>
      </c>
      <c r="I296" s="330">
        <v>4211</v>
      </c>
      <c r="J296" s="330">
        <v>6</v>
      </c>
      <c r="K296" s="330">
        <v>109.52</v>
      </c>
      <c r="L296" s="330">
        <v>107.07</v>
      </c>
      <c r="M296" s="330">
        <v>7.25</v>
      </c>
      <c r="N296" s="330">
        <v>115.64</v>
      </c>
      <c r="O296" s="333">
        <v>2540</v>
      </c>
      <c r="P296" s="330">
        <v>107.36</v>
      </c>
      <c r="Q296" s="330">
        <v>93.03</v>
      </c>
      <c r="R296" s="330">
        <v>55.18</v>
      </c>
      <c r="S296" s="330">
        <v>162.46</v>
      </c>
      <c r="T296" s="333">
        <v>657</v>
      </c>
      <c r="U296" s="330">
        <v>151.66999999999999</v>
      </c>
      <c r="V296" s="333">
        <v>797</v>
      </c>
      <c r="W296" s="330">
        <v>166.11</v>
      </c>
      <c r="X296" s="333">
        <v>25</v>
      </c>
      <c r="Y296" s="330">
        <v>132</v>
      </c>
      <c r="Z296" s="330">
        <v>1</v>
      </c>
      <c r="AA296" s="330">
        <v>2</v>
      </c>
      <c r="AB296" s="330">
        <v>110</v>
      </c>
      <c r="AC296" s="330">
        <v>9</v>
      </c>
      <c r="AD296" s="330">
        <v>3360</v>
      </c>
      <c r="AE296" s="330">
        <v>50</v>
      </c>
      <c r="AF296" s="330">
        <v>67</v>
      </c>
      <c r="AG296" s="330">
        <v>117</v>
      </c>
    </row>
    <row r="297" spans="1:33" x14ac:dyDescent="0.3">
      <c r="A297" s="329" t="s">
        <v>648</v>
      </c>
      <c r="B297" s="329" t="s">
        <v>649</v>
      </c>
      <c r="C297" s="330">
        <v>5689</v>
      </c>
      <c r="D297" s="330">
        <v>156</v>
      </c>
      <c r="E297" s="330">
        <v>371</v>
      </c>
      <c r="F297" s="330">
        <v>589</v>
      </c>
      <c r="G297" s="330">
        <v>340</v>
      </c>
      <c r="H297" s="330">
        <v>7145</v>
      </c>
      <c r="I297" s="330">
        <v>6805</v>
      </c>
      <c r="J297" s="330">
        <v>105</v>
      </c>
      <c r="K297" s="330">
        <v>116.88</v>
      </c>
      <c r="L297" s="330">
        <v>126.39</v>
      </c>
      <c r="M297" s="330">
        <v>9.98</v>
      </c>
      <c r="N297" s="330">
        <v>121.45</v>
      </c>
      <c r="O297" s="333">
        <v>4974</v>
      </c>
      <c r="P297" s="330">
        <v>94.7</v>
      </c>
      <c r="Q297" s="330">
        <v>93.58</v>
      </c>
      <c r="R297" s="330">
        <v>29.27</v>
      </c>
      <c r="S297" s="330">
        <v>122.51</v>
      </c>
      <c r="T297" s="333">
        <v>700</v>
      </c>
      <c r="U297" s="330">
        <v>192.8</v>
      </c>
      <c r="V297" s="333">
        <v>607</v>
      </c>
      <c r="W297" s="330">
        <v>167.5</v>
      </c>
      <c r="X297" s="333">
        <v>2</v>
      </c>
      <c r="Y297" s="330">
        <v>80</v>
      </c>
      <c r="Z297" s="330">
        <v>10</v>
      </c>
      <c r="AA297" s="330">
        <v>2</v>
      </c>
      <c r="AB297" s="330">
        <v>37</v>
      </c>
      <c r="AC297" s="330">
        <v>14</v>
      </c>
      <c r="AD297" s="330">
        <v>5676</v>
      </c>
      <c r="AE297" s="330">
        <v>58</v>
      </c>
      <c r="AF297" s="330">
        <v>34</v>
      </c>
      <c r="AG297" s="330">
        <v>92</v>
      </c>
    </row>
    <row r="298" spans="1:33" x14ac:dyDescent="0.3">
      <c r="A298" s="329" t="s">
        <v>650</v>
      </c>
      <c r="B298" s="329" t="s">
        <v>651</v>
      </c>
      <c r="C298" s="330">
        <v>1473</v>
      </c>
      <c r="D298" s="330">
        <v>0</v>
      </c>
      <c r="E298" s="330">
        <v>146</v>
      </c>
      <c r="F298" s="330">
        <v>164</v>
      </c>
      <c r="G298" s="330">
        <v>596</v>
      </c>
      <c r="H298" s="330">
        <v>2379</v>
      </c>
      <c r="I298" s="330">
        <v>1783</v>
      </c>
      <c r="J298" s="330">
        <v>13</v>
      </c>
      <c r="K298" s="330">
        <v>120.72</v>
      </c>
      <c r="L298" s="330">
        <v>117.13</v>
      </c>
      <c r="M298" s="330">
        <v>5.39</v>
      </c>
      <c r="N298" s="330">
        <v>125.68</v>
      </c>
      <c r="O298" s="333">
        <v>910</v>
      </c>
      <c r="P298" s="330">
        <v>109.4</v>
      </c>
      <c r="Q298" s="330">
        <v>97.63</v>
      </c>
      <c r="R298" s="330">
        <v>41.19</v>
      </c>
      <c r="S298" s="330">
        <v>139.31</v>
      </c>
      <c r="T298" s="333">
        <v>135</v>
      </c>
      <c r="U298" s="330">
        <v>200</v>
      </c>
      <c r="V298" s="333">
        <v>511</v>
      </c>
      <c r="W298" s="330">
        <v>141.81</v>
      </c>
      <c r="X298" s="333">
        <v>12</v>
      </c>
      <c r="Y298" s="330">
        <v>3</v>
      </c>
      <c r="Z298" s="330">
        <v>0</v>
      </c>
      <c r="AA298" s="330">
        <v>0</v>
      </c>
      <c r="AB298" s="330">
        <v>55</v>
      </c>
      <c r="AC298" s="330">
        <v>21</v>
      </c>
      <c r="AD298" s="330">
        <v>1381</v>
      </c>
      <c r="AE298" s="330">
        <v>24</v>
      </c>
      <c r="AF298" s="330">
        <v>2</v>
      </c>
      <c r="AG298" s="330">
        <v>26</v>
      </c>
    </row>
    <row r="299" spans="1:33" x14ac:dyDescent="0.3">
      <c r="A299" s="329" t="s">
        <v>652</v>
      </c>
      <c r="B299" s="329" t="s">
        <v>653</v>
      </c>
      <c r="C299" s="330">
        <v>2627</v>
      </c>
      <c r="D299" s="330">
        <v>0</v>
      </c>
      <c r="E299" s="330">
        <v>95</v>
      </c>
      <c r="F299" s="330">
        <v>325</v>
      </c>
      <c r="G299" s="330">
        <v>771</v>
      </c>
      <c r="H299" s="330">
        <v>3818</v>
      </c>
      <c r="I299" s="330">
        <v>3047</v>
      </c>
      <c r="J299" s="330">
        <v>2</v>
      </c>
      <c r="K299" s="330">
        <v>105.51</v>
      </c>
      <c r="L299" s="330">
        <v>101.15</v>
      </c>
      <c r="M299" s="330">
        <v>6.37</v>
      </c>
      <c r="N299" s="330">
        <v>110.48</v>
      </c>
      <c r="O299" s="333">
        <v>1417</v>
      </c>
      <c r="P299" s="330">
        <v>82.97</v>
      </c>
      <c r="Q299" s="330">
        <v>78.19</v>
      </c>
      <c r="R299" s="330">
        <v>43.32</v>
      </c>
      <c r="S299" s="330">
        <v>124.38</v>
      </c>
      <c r="T299" s="333">
        <v>227</v>
      </c>
      <c r="U299" s="330">
        <v>156.41999999999999</v>
      </c>
      <c r="V299" s="333">
        <v>1183</v>
      </c>
      <c r="W299" s="330">
        <v>201.44</v>
      </c>
      <c r="X299" s="333">
        <v>55</v>
      </c>
      <c r="Y299" s="330">
        <v>30</v>
      </c>
      <c r="Z299" s="330">
        <v>1</v>
      </c>
      <c r="AA299" s="330">
        <v>0</v>
      </c>
      <c r="AB299" s="330">
        <v>77</v>
      </c>
      <c r="AC299" s="330">
        <v>9</v>
      </c>
      <c r="AD299" s="330">
        <v>2621</v>
      </c>
      <c r="AE299" s="330">
        <v>30</v>
      </c>
      <c r="AF299" s="330">
        <v>2</v>
      </c>
      <c r="AG299" s="330">
        <v>32</v>
      </c>
    </row>
    <row r="300" spans="1:33" x14ac:dyDescent="0.3">
      <c r="A300" s="329" t="s">
        <v>654</v>
      </c>
      <c r="B300" s="329" t="s">
        <v>655</v>
      </c>
      <c r="C300" s="330">
        <v>2932</v>
      </c>
      <c r="D300" s="330">
        <v>0</v>
      </c>
      <c r="E300" s="330">
        <v>374</v>
      </c>
      <c r="F300" s="330">
        <v>320</v>
      </c>
      <c r="G300" s="330">
        <v>763</v>
      </c>
      <c r="H300" s="330">
        <v>4389</v>
      </c>
      <c r="I300" s="330">
        <v>3626</v>
      </c>
      <c r="J300" s="330">
        <v>130</v>
      </c>
      <c r="K300" s="330">
        <v>114.04</v>
      </c>
      <c r="L300" s="330">
        <v>112.26</v>
      </c>
      <c r="M300" s="330">
        <v>8.34</v>
      </c>
      <c r="N300" s="330">
        <v>121.15</v>
      </c>
      <c r="O300" s="333">
        <v>2280</v>
      </c>
      <c r="P300" s="330">
        <v>110.32</v>
      </c>
      <c r="Q300" s="330">
        <v>100.02</v>
      </c>
      <c r="R300" s="330">
        <v>46.48</v>
      </c>
      <c r="S300" s="330">
        <v>156.71</v>
      </c>
      <c r="T300" s="333">
        <v>503</v>
      </c>
      <c r="U300" s="330">
        <v>154.66999999999999</v>
      </c>
      <c r="V300" s="333">
        <v>584</v>
      </c>
      <c r="W300" s="330">
        <v>0</v>
      </c>
      <c r="X300" s="333">
        <v>0</v>
      </c>
      <c r="Y300" s="330">
        <v>0</v>
      </c>
      <c r="Z300" s="330">
        <v>0</v>
      </c>
      <c r="AA300" s="330">
        <v>0</v>
      </c>
      <c r="AB300" s="330">
        <v>100</v>
      </c>
      <c r="AC300" s="330">
        <v>14</v>
      </c>
      <c r="AD300" s="330">
        <v>2889</v>
      </c>
      <c r="AE300" s="330">
        <v>25</v>
      </c>
      <c r="AF300" s="330">
        <v>7</v>
      </c>
      <c r="AG300" s="330">
        <v>32</v>
      </c>
    </row>
    <row r="301" spans="1:33" x14ac:dyDescent="0.3">
      <c r="A301" s="329" t="s">
        <v>656</v>
      </c>
      <c r="B301" s="329" t="s">
        <v>657</v>
      </c>
      <c r="C301" s="330">
        <v>8098</v>
      </c>
      <c r="D301" s="330">
        <v>0</v>
      </c>
      <c r="E301" s="330">
        <v>372</v>
      </c>
      <c r="F301" s="330">
        <v>882</v>
      </c>
      <c r="G301" s="330">
        <v>810</v>
      </c>
      <c r="H301" s="330">
        <v>10162</v>
      </c>
      <c r="I301" s="330">
        <v>9352</v>
      </c>
      <c r="J301" s="330">
        <v>7</v>
      </c>
      <c r="K301" s="330">
        <v>121.15</v>
      </c>
      <c r="L301" s="330">
        <v>119.43</v>
      </c>
      <c r="M301" s="330">
        <v>5.64</v>
      </c>
      <c r="N301" s="330">
        <v>124.11</v>
      </c>
      <c r="O301" s="333">
        <v>7680</v>
      </c>
      <c r="P301" s="330">
        <v>110.27</v>
      </c>
      <c r="Q301" s="330">
        <v>102.76</v>
      </c>
      <c r="R301" s="330">
        <v>35.28</v>
      </c>
      <c r="S301" s="330">
        <v>144.75</v>
      </c>
      <c r="T301" s="333">
        <v>1104</v>
      </c>
      <c r="U301" s="330">
        <v>156.83000000000001</v>
      </c>
      <c r="V301" s="333">
        <v>409</v>
      </c>
      <c r="W301" s="330">
        <v>157.31</v>
      </c>
      <c r="X301" s="333">
        <v>42</v>
      </c>
      <c r="Y301" s="330">
        <v>8</v>
      </c>
      <c r="Z301" s="330">
        <v>0</v>
      </c>
      <c r="AA301" s="330">
        <v>9</v>
      </c>
      <c r="AB301" s="330">
        <v>70</v>
      </c>
      <c r="AC301" s="330">
        <v>21</v>
      </c>
      <c r="AD301" s="330">
        <v>8082</v>
      </c>
      <c r="AE301" s="330">
        <v>44</v>
      </c>
      <c r="AF301" s="330">
        <v>42</v>
      </c>
      <c r="AG301" s="330">
        <v>86</v>
      </c>
    </row>
    <row r="302" spans="1:33" x14ac:dyDescent="0.3">
      <c r="A302" s="329" t="s">
        <v>658</v>
      </c>
      <c r="B302" s="329" t="s">
        <v>659</v>
      </c>
      <c r="C302" s="330">
        <v>2203</v>
      </c>
      <c r="D302" s="330">
        <v>2</v>
      </c>
      <c r="E302" s="330">
        <v>21</v>
      </c>
      <c r="F302" s="330">
        <v>319</v>
      </c>
      <c r="G302" s="330">
        <v>150</v>
      </c>
      <c r="H302" s="330">
        <v>2695</v>
      </c>
      <c r="I302" s="330">
        <v>2545</v>
      </c>
      <c r="J302" s="330">
        <v>0</v>
      </c>
      <c r="K302" s="330">
        <v>88.4</v>
      </c>
      <c r="L302" s="330">
        <v>85.05</v>
      </c>
      <c r="M302" s="330">
        <v>3.31</v>
      </c>
      <c r="N302" s="330">
        <v>90.69</v>
      </c>
      <c r="O302" s="333">
        <v>1920</v>
      </c>
      <c r="P302" s="330">
        <v>82.63</v>
      </c>
      <c r="Q302" s="330">
        <v>76.510000000000005</v>
      </c>
      <c r="R302" s="330">
        <v>21.6</v>
      </c>
      <c r="S302" s="330">
        <v>103.99</v>
      </c>
      <c r="T302" s="333">
        <v>272</v>
      </c>
      <c r="U302" s="330">
        <v>122.38</v>
      </c>
      <c r="V302" s="333">
        <v>204</v>
      </c>
      <c r="W302" s="330">
        <v>100.11</v>
      </c>
      <c r="X302" s="333">
        <v>4</v>
      </c>
      <c r="Y302" s="330">
        <v>0</v>
      </c>
      <c r="Z302" s="330">
        <v>2</v>
      </c>
      <c r="AA302" s="330">
        <v>7</v>
      </c>
      <c r="AB302" s="330">
        <v>25</v>
      </c>
      <c r="AC302" s="330">
        <v>7</v>
      </c>
      <c r="AD302" s="330">
        <v>2108</v>
      </c>
      <c r="AE302" s="330">
        <v>11</v>
      </c>
      <c r="AF302" s="330">
        <v>4</v>
      </c>
      <c r="AG302" s="330">
        <v>15</v>
      </c>
    </row>
    <row r="303" spans="1:33" x14ac:dyDescent="0.3">
      <c r="A303" s="329" t="s">
        <v>660</v>
      </c>
      <c r="B303" s="329" t="s">
        <v>661</v>
      </c>
      <c r="C303" s="330">
        <v>1011</v>
      </c>
      <c r="D303" s="330">
        <v>0</v>
      </c>
      <c r="E303" s="330">
        <v>203</v>
      </c>
      <c r="F303" s="330">
        <v>371</v>
      </c>
      <c r="G303" s="330">
        <v>440</v>
      </c>
      <c r="H303" s="330">
        <v>2025</v>
      </c>
      <c r="I303" s="330">
        <v>1585</v>
      </c>
      <c r="J303" s="330">
        <v>3</v>
      </c>
      <c r="K303" s="330">
        <v>94.5</v>
      </c>
      <c r="L303" s="330">
        <v>92.95</v>
      </c>
      <c r="M303" s="330">
        <v>5.59</v>
      </c>
      <c r="N303" s="330">
        <v>98.14</v>
      </c>
      <c r="O303" s="333">
        <v>551</v>
      </c>
      <c r="P303" s="330">
        <v>104.46</v>
      </c>
      <c r="Q303" s="330">
        <v>84.28</v>
      </c>
      <c r="R303" s="330">
        <v>43.72</v>
      </c>
      <c r="S303" s="330">
        <v>147.63</v>
      </c>
      <c r="T303" s="333">
        <v>480</v>
      </c>
      <c r="U303" s="330">
        <v>112.85</v>
      </c>
      <c r="V303" s="333">
        <v>389</v>
      </c>
      <c r="W303" s="330">
        <v>0</v>
      </c>
      <c r="X303" s="333">
        <v>0</v>
      </c>
      <c r="Y303" s="330">
        <v>32</v>
      </c>
      <c r="Z303" s="330">
        <v>2</v>
      </c>
      <c r="AA303" s="330">
        <v>0</v>
      </c>
      <c r="AB303" s="330">
        <v>3</v>
      </c>
      <c r="AC303" s="330">
        <v>6</v>
      </c>
      <c r="AD303" s="330">
        <v>976</v>
      </c>
      <c r="AE303" s="330">
        <v>10</v>
      </c>
      <c r="AF303" s="330">
        <v>0</v>
      </c>
      <c r="AG303" s="330">
        <v>10</v>
      </c>
    </row>
    <row r="304" spans="1:33" x14ac:dyDescent="0.3">
      <c r="A304" s="329" t="s">
        <v>662</v>
      </c>
      <c r="B304" s="329" t="s">
        <v>663</v>
      </c>
      <c r="C304" s="330">
        <v>4314</v>
      </c>
      <c r="D304" s="330">
        <v>0</v>
      </c>
      <c r="E304" s="330">
        <v>128</v>
      </c>
      <c r="F304" s="330">
        <v>422</v>
      </c>
      <c r="G304" s="330">
        <v>360</v>
      </c>
      <c r="H304" s="330">
        <v>5224</v>
      </c>
      <c r="I304" s="330">
        <v>4864</v>
      </c>
      <c r="J304" s="330">
        <v>0</v>
      </c>
      <c r="K304" s="330">
        <v>81.38</v>
      </c>
      <c r="L304" s="330">
        <v>81.22</v>
      </c>
      <c r="M304" s="330">
        <v>4.17</v>
      </c>
      <c r="N304" s="330">
        <v>82.72</v>
      </c>
      <c r="O304" s="333">
        <v>3770</v>
      </c>
      <c r="P304" s="330">
        <v>81.05</v>
      </c>
      <c r="Q304" s="330">
        <v>74.430000000000007</v>
      </c>
      <c r="R304" s="330">
        <v>37.47</v>
      </c>
      <c r="S304" s="330">
        <v>118.53</v>
      </c>
      <c r="T304" s="333">
        <v>491</v>
      </c>
      <c r="U304" s="330">
        <v>104.6</v>
      </c>
      <c r="V304" s="333">
        <v>519</v>
      </c>
      <c r="W304" s="330">
        <v>122.16</v>
      </c>
      <c r="X304" s="333">
        <v>36</v>
      </c>
      <c r="Y304" s="330">
        <v>0</v>
      </c>
      <c r="Z304" s="330">
        <v>10</v>
      </c>
      <c r="AA304" s="330">
        <v>1</v>
      </c>
      <c r="AB304" s="330">
        <v>8</v>
      </c>
      <c r="AC304" s="330">
        <v>5</v>
      </c>
      <c r="AD304" s="330">
        <v>4261</v>
      </c>
      <c r="AE304" s="330">
        <v>18</v>
      </c>
      <c r="AF304" s="330">
        <v>18</v>
      </c>
      <c r="AG304" s="330">
        <v>36</v>
      </c>
    </row>
    <row r="305" spans="1:33" x14ac:dyDescent="0.3">
      <c r="A305" s="329" t="s">
        <v>800</v>
      </c>
      <c r="B305" s="329" t="s">
        <v>798</v>
      </c>
      <c r="C305" s="330">
        <v>11804</v>
      </c>
      <c r="D305" s="330">
        <v>9</v>
      </c>
      <c r="E305" s="330">
        <v>472</v>
      </c>
      <c r="F305" s="330">
        <v>2259</v>
      </c>
      <c r="G305" s="330">
        <v>2627</v>
      </c>
      <c r="H305" s="330">
        <v>17171</v>
      </c>
      <c r="I305" s="330">
        <v>14544</v>
      </c>
      <c r="J305" s="330">
        <v>1</v>
      </c>
      <c r="K305" s="330">
        <v>99.82</v>
      </c>
      <c r="L305" s="330">
        <v>99.42</v>
      </c>
      <c r="M305" s="330">
        <v>6.11</v>
      </c>
      <c r="N305" s="330">
        <v>103.65</v>
      </c>
      <c r="O305" s="333">
        <v>9196</v>
      </c>
      <c r="P305" s="330">
        <v>99.52</v>
      </c>
      <c r="Q305" s="330">
        <v>91.56</v>
      </c>
      <c r="R305" s="330">
        <v>37.61</v>
      </c>
      <c r="S305" s="330">
        <v>128.53</v>
      </c>
      <c r="T305" s="333">
        <v>2693</v>
      </c>
      <c r="U305" s="330">
        <v>133.04</v>
      </c>
      <c r="V305" s="333">
        <v>2157</v>
      </c>
      <c r="W305" s="330">
        <v>116.51</v>
      </c>
      <c r="X305" s="333">
        <v>2</v>
      </c>
      <c r="Y305" s="330">
        <v>12</v>
      </c>
      <c r="Z305" s="330">
        <v>21</v>
      </c>
      <c r="AA305" s="330">
        <v>1</v>
      </c>
      <c r="AB305" s="330">
        <v>205</v>
      </c>
      <c r="AC305" s="330">
        <v>43</v>
      </c>
      <c r="AD305" s="330">
        <v>11537</v>
      </c>
      <c r="AE305" s="330">
        <v>126</v>
      </c>
      <c r="AF305" s="330">
        <v>41</v>
      </c>
      <c r="AG305" s="330">
        <v>167</v>
      </c>
    </row>
    <row r="306" spans="1:33" x14ac:dyDescent="0.3">
      <c r="A306" s="329" t="s">
        <v>664</v>
      </c>
      <c r="B306" s="329" t="s">
        <v>665</v>
      </c>
      <c r="C306" s="330">
        <v>6314</v>
      </c>
      <c r="D306" s="330">
        <v>2</v>
      </c>
      <c r="E306" s="330">
        <v>132</v>
      </c>
      <c r="F306" s="330">
        <v>219</v>
      </c>
      <c r="G306" s="330">
        <v>1032</v>
      </c>
      <c r="H306" s="330">
        <v>7699</v>
      </c>
      <c r="I306" s="330">
        <v>6667</v>
      </c>
      <c r="J306" s="330">
        <v>2</v>
      </c>
      <c r="K306" s="330">
        <v>113.01</v>
      </c>
      <c r="L306" s="330">
        <v>115.15</v>
      </c>
      <c r="M306" s="330">
        <v>4.24</v>
      </c>
      <c r="N306" s="330">
        <v>114.88</v>
      </c>
      <c r="O306" s="333">
        <v>5001</v>
      </c>
      <c r="P306" s="330">
        <v>105.15</v>
      </c>
      <c r="Q306" s="330">
        <v>98.41</v>
      </c>
      <c r="R306" s="330">
        <v>56.22</v>
      </c>
      <c r="S306" s="330">
        <v>157.83000000000001</v>
      </c>
      <c r="T306" s="333">
        <v>349</v>
      </c>
      <c r="U306" s="330">
        <v>177.15</v>
      </c>
      <c r="V306" s="333">
        <v>1315</v>
      </c>
      <c r="W306" s="330">
        <v>154.74</v>
      </c>
      <c r="X306" s="333">
        <v>2</v>
      </c>
      <c r="Y306" s="330">
        <v>79</v>
      </c>
      <c r="Z306" s="330">
        <v>4</v>
      </c>
      <c r="AA306" s="330">
        <v>9</v>
      </c>
      <c r="AB306" s="330">
        <v>102</v>
      </c>
      <c r="AC306" s="330">
        <v>19</v>
      </c>
      <c r="AD306" s="330">
        <v>6282</v>
      </c>
      <c r="AE306" s="330">
        <v>79</v>
      </c>
      <c r="AF306" s="330">
        <v>63</v>
      </c>
      <c r="AG306" s="330">
        <v>142</v>
      </c>
    </row>
    <row r="307" spans="1:33" x14ac:dyDescent="0.3">
      <c r="A307" s="329" t="s">
        <v>666</v>
      </c>
      <c r="B307" s="329" t="s">
        <v>667</v>
      </c>
      <c r="C307" s="330">
        <v>11169</v>
      </c>
      <c r="D307" s="330">
        <v>0</v>
      </c>
      <c r="E307" s="330">
        <v>428</v>
      </c>
      <c r="F307" s="330">
        <v>1098</v>
      </c>
      <c r="G307" s="330">
        <v>934</v>
      </c>
      <c r="H307" s="330">
        <v>13629</v>
      </c>
      <c r="I307" s="330">
        <v>12695</v>
      </c>
      <c r="J307" s="330">
        <v>0</v>
      </c>
      <c r="K307" s="330">
        <v>93.13</v>
      </c>
      <c r="L307" s="330">
        <v>92.11</v>
      </c>
      <c r="M307" s="330">
        <v>5.16</v>
      </c>
      <c r="N307" s="330">
        <v>94.75</v>
      </c>
      <c r="O307" s="333">
        <v>8933</v>
      </c>
      <c r="P307" s="330">
        <v>89.6</v>
      </c>
      <c r="Q307" s="330">
        <v>84.52</v>
      </c>
      <c r="R307" s="330">
        <v>44.59</v>
      </c>
      <c r="S307" s="330">
        <v>132.16999999999999</v>
      </c>
      <c r="T307" s="333">
        <v>1498</v>
      </c>
      <c r="U307" s="330">
        <v>135.75</v>
      </c>
      <c r="V307" s="333">
        <v>1991</v>
      </c>
      <c r="W307" s="330">
        <v>108.46</v>
      </c>
      <c r="X307" s="333">
        <v>15</v>
      </c>
      <c r="Y307" s="330">
        <v>80</v>
      </c>
      <c r="Z307" s="330">
        <v>23</v>
      </c>
      <c r="AA307" s="330">
        <v>10</v>
      </c>
      <c r="AB307" s="330">
        <v>106</v>
      </c>
      <c r="AC307" s="330">
        <v>18</v>
      </c>
      <c r="AD307" s="330">
        <v>11120</v>
      </c>
      <c r="AE307" s="330">
        <v>86</v>
      </c>
      <c r="AF307" s="330">
        <v>84</v>
      </c>
      <c r="AG307" s="330">
        <v>170</v>
      </c>
    </row>
    <row r="308" spans="1:33" x14ac:dyDescent="0.3">
      <c r="A308" s="329" t="s">
        <v>668</v>
      </c>
      <c r="B308" s="329" t="s">
        <v>669</v>
      </c>
      <c r="C308" s="330">
        <v>12362</v>
      </c>
      <c r="D308" s="330">
        <v>821</v>
      </c>
      <c r="E308" s="330">
        <v>1347</v>
      </c>
      <c r="F308" s="330">
        <v>759</v>
      </c>
      <c r="G308" s="330">
        <v>566</v>
      </c>
      <c r="H308" s="330">
        <v>15855</v>
      </c>
      <c r="I308" s="330">
        <v>15289</v>
      </c>
      <c r="J308" s="330">
        <v>55</v>
      </c>
      <c r="K308" s="330">
        <v>134.88</v>
      </c>
      <c r="L308" s="330">
        <v>148.31</v>
      </c>
      <c r="M308" s="330">
        <v>12.93</v>
      </c>
      <c r="N308" s="330">
        <v>145.38999999999999</v>
      </c>
      <c r="O308" s="333">
        <v>9517</v>
      </c>
      <c r="P308" s="330">
        <v>115.01</v>
      </c>
      <c r="Q308" s="330">
        <v>119.82</v>
      </c>
      <c r="R308" s="330">
        <v>79.900000000000006</v>
      </c>
      <c r="S308" s="330">
        <v>184.81</v>
      </c>
      <c r="T308" s="333">
        <v>1866</v>
      </c>
      <c r="U308" s="330">
        <v>208.25</v>
      </c>
      <c r="V308" s="333">
        <v>807</v>
      </c>
      <c r="W308" s="330">
        <v>177.44</v>
      </c>
      <c r="X308" s="333">
        <v>2</v>
      </c>
      <c r="Y308" s="330">
        <v>0</v>
      </c>
      <c r="Z308" s="330">
        <v>1</v>
      </c>
      <c r="AA308" s="330">
        <v>21</v>
      </c>
      <c r="AB308" s="330">
        <v>0</v>
      </c>
      <c r="AC308" s="330">
        <v>15</v>
      </c>
      <c r="AD308" s="330">
        <v>10555</v>
      </c>
      <c r="AE308" s="330">
        <v>72</v>
      </c>
      <c r="AF308" s="330">
        <v>66</v>
      </c>
      <c r="AG308" s="330">
        <v>138</v>
      </c>
    </row>
    <row r="309" spans="1:33" x14ac:dyDescent="0.3">
      <c r="A309" s="329" t="s">
        <v>670</v>
      </c>
      <c r="B309" s="329" t="s">
        <v>671</v>
      </c>
      <c r="C309" s="330">
        <v>2641</v>
      </c>
      <c r="D309" s="330">
        <v>0</v>
      </c>
      <c r="E309" s="330">
        <v>932</v>
      </c>
      <c r="F309" s="330">
        <v>831</v>
      </c>
      <c r="G309" s="330">
        <v>649</v>
      </c>
      <c r="H309" s="330">
        <v>5053</v>
      </c>
      <c r="I309" s="330">
        <v>4404</v>
      </c>
      <c r="J309" s="330">
        <v>2</v>
      </c>
      <c r="K309" s="330">
        <v>81.3</v>
      </c>
      <c r="L309" s="330">
        <v>77.88</v>
      </c>
      <c r="M309" s="330">
        <v>7.8</v>
      </c>
      <c r="N309" s="330">
        <v>85.76</v>
      </c>
      <c r="O309" s="333">
        <v>1735</v>
      </c>
      <c r="P309" s="330">
        <v>96.46</v>
      </c>
      <c r="Q309" s="330">
        <v>70.42</v>
      </c>
      <c r="R309" s="330">
        <v>84.17</v>
      </c>
      <c r="S309" s="330">
        <v>180.42</v>
      </c>
      <c r="T309" s="333">
        <v>1584</v>
      </c>
      <c r="U309" s="330">
        <v>102.68</v>
      </c>
      <c r="V309" s="333">
        <v>814</v>
      </c>
      <c r="W309" s="330">
        <v>206.52</v>
      </c>
      <c r="X309" s="333">
        <v>2</v>
      </c>
      <c r="Y309" s="330">
        <v>6</v>
      </c>
      <c r="Z309" s="330">
        <v>1</v>
      </c>
      <c r="AA309" s="330">
        <v>11</v>
      </c>
      <c r="AB309" s="330">
        <v>96</v>
      </c>
      <c r="AC309" s="330">
        <v>19</v>
      </c>
      <c r="AD309" s="330">
        <v>2617</v>
      </c>
      <c r="AE309" s="330">
        <v>33</v>
      </c>
      <c r="AF309" s="330">
        <v>13</v>
      </c>
      <c r="AG309" s="330">
        <v>46</v>
      </c>
    </row>
    <row r="310" spans="1:33" x14ac:dyDescent="0.3">
      <c r="A310" s="329" t="s">
        <v>672</v>
      </c>
      <c r="B310" s="329" t="s">
        <v>673</v>
      </c>
      <c r="C310" s="330">
        <v>22797</v>
      </c>
      <c r="D310" s="330">
        <v>0</v>
      </c>
      <c r="E310" s="330">
        <v>627</v>
      </c>
      <c r="F310" s="330">
        <v>2961</v>
      </c>
      <c r="G310" s="330">
        <v>2427</v>
      </c>
      <c r="H310" s="330">
        <v>28812</v>
      </c>
      <c r="I310" s="330">
        <v>26385</v>
      </c>
      <c r="J310" s="330">
        <v>21</v>
      </c>
      <c r="K310" s="330">
        <v>102.16</v>
      </c>
      <c r="L310" s="330">
        <v>101.38</v>
      </c>
      <c r="M310" s="330">
        <v>4.03</v>
      </c>
      <c r="N310" s="330">
        <v>104.59</v>
      </c>
      <c r="O310" s="333">
        <v>18858</v>
      </c>
      <c r="P310" s="330">
        <v>96.53</v>
      </c>
      <c r="Q310" s="330">
        <v>90.5</v>
      </c>
      <c r="R310" s="330">
        <v>28.31</v>
      </c>
      <c r="S310" s="330">
        <v>123.9</v>
      </c>
      <c r="T310" s="333">
        <v>3163</v>
      </c>
      <c r="U310" s="330">
        <v>137</v>
      </c>
      <c r="V310" s="333">
        <v>3527</v>
      </c>
      <c r="W310" s="330">
        <v>173.81</v>
      </c>
      <c r="X310" s="333">
        <v>74</v>
      </c>
      <c r="Y310" s="330">
        <v>18</v>
      </c>
      <c r="Z310" s="330">
        <v>56</v>
      </c>
      <c r="AA310" s="330">
        <v>45</v>
      </c>
      <c r="AB310" s="330">
        <v>254</v>
      </c>
      <c r="AC310" s="330">
        <v>50</v>
      </c>
      <c r="AD310" s="330">
        <v>22404</v>
      </c>
      <c r="AE310" s="330">
        <v>134</v>
      </c>
      <c r="AF310" s="330">
        <v>153</v>
      </c>
      <c r="AG310" s="330">
        <v>287</v>
      </c>
    </row>
    <row r="311" spans="1:33" x14ac:dyDescent="0.3">
      <c r="A311" s="329" t="s">
        <v>674</v>
      </c>
      <c r="B311" s="329" t="s">
        <v>675</v>
      </c>
      <c r="C311" s="330">
        <v>2774</v>
      </c>
      <c r="D311" s="330">
        <v>8</v>
      </c>
      <c r="E311" s="330">
        <v>240</v>
      </c>
      <c r="F311" s="330">
        <v>244</v>
      </c>
      <c r="G311" s="330">
        <v>697</v>
      </c>
      <c r="H311" s="330">
        <v>3963</v>
      </c>
      <c r="I311" s="330">
        <v>3266</v>
      </c>
      <c r="J311" s="330">
        <v>1</v>
      </c>
      <c r="K311" s="330">
        <v>116.41</v>
      </c>
      <c r="L311" s="330">
        <v>112.58</v>
      </c>
      <c r="M311" s="330">
        <v>7.98</v>
      </c>
      <c r="N311" s="330">
        <v>123.86</v>
      </c>
      <c r="O311" s="333">
        <v>1838</v>
      </c>
      <c r="P311" s="330">
        <v>103.59</v>
      </c>
      <c r="Q311" s="330">
        <v>92.14</v>
      </c>
      <c r="R311" s="330">
        <v>53.88</v>
      </c>
      <c r="S311" s="330">
        <v>153.97</v>
      </c>
      <c r="T311" s="333">
        <v>431</v>
      </c>
      <c r="U311" s="330">
        <v>173.46</v>
      </c>
      <c r="V311" s="333">
        <v>788</v>
      </c>
      <c r="W311" s="330">
        <v>0</v>
      </c>
      <c r="X311" s="333">
        <v>0</v>
      </c>
      <c r="Y311" s="330">
        <v>0</v>
      </c>
      <c r="Z311" s="330">
        <v>2</v>
      </c>
      <c r="AA311" s="330">
        <v>1</v>
      </c>
      <c r="AB311" s="330">
        <v>151</v>
      </c>
      <c r="AC311" s="330">
        <v>18</v>
      </c>
      <c r="AD311" s="330">
        <v>2545</v>
      </c>
      <c r="AE311" s="330">
        <v>12</v>
      </c>
      <c r="AF311" s="330">
        <v>11</v>
      </c>
      <c r="AG311" s="330">
        <v>23</v>
      </c>
    </row>
    <row r="312" spans="1:33" x14ac:dyDescent="0.3">
      <c r="A312" s="329" t="s">
        <v>676</v>
      </c>
      <c r="B312" s="329" t="s">
        <v>677</v>
      </c>
      <c r="C312" s="330">
        <v>6797</v>
      </c>
      <c r="D312" s="330">
        <v>16</v>
      </c>
      <c r="E312" s="330">
        <v>187</v>
      </c>
      <c r="F312" s="330">
        <v>860</v>
      </c>
      <c r="G312" s="330">
        <v>388</v>
      </c>
      <c r="H312" s="330">
        <v>8248</v>
      </c>
      <c r="I312" s="330">
        <v>7860</v>
      </c>
      <c r="J312" s="330">
        <v>0</v>
      </c>
      <c r="K312" s="330">
        <v>124.64</v>
      </c>
      <c r="L312" s="330">
        <v>126.34</v>
      </c>
      <c r="M312" s="330">
        <v>5.5</v>
      </c>
      <c r="N312" s="330">
        <v>128.94999999999999</v>
      </c>
      <c r="O312" s="333">
        <v>6227</v>
      </c>
      <c r="P312" s="330">
        <v>111.86</v>
      </c>
      <c r="Q312" s="330">
        <v>108.62</v>
      </c>
      <c r="R312" s="330">
        <v>30.09</v>
      </c>
      <c r="S312" s="330">
        <v>141.6</v>
      </c>
      <c r="T312" s="333">
        <v>1043</v>
      </c>
      <c r="U312" s="330">
        <v>188.14</v>
      </c>
      <c r="V312" s="333">
        <v>349</v>
      </c>
      <c r="W312" s="330">
        <v>148.41</v>
      </c>
      <c r="X312" s="333">
        <v>1</v>
      </c>
      <c r="Y312" s="330">
        <v>0</v>
      </c>
      <c r="Z312" s="330">
        <v>8</v>
      </c>
      <c r="AA312" s="330">
        <v>2</v>
      </c>
      <c r="AB312" s="330">
        <v>65</v>
      </c>
      <c r="AC312" s="330">
        <v>11</v>
      </c>
      <c r="AD312" s="330">
        <v>6790</v>
      </c>
      <c r="AE312" s="330">
        <v>22</v>
      </c>
      <c r="AF312" s="330">
        <v>37</v>
      </c>
      <c r="AG312" s="330">
        <v>59</v>
      </c>
    </row>
    <row r="313" spans="1:33" x14ac:dyDescent="0.3">
      <c r="A313" s="329" t="s">
        <v>678</v>
      </c>
      <c r="B313" s="329" t="s">
        <v>679</v>
      </c>
      <c r="C313" s="330">
        <v>18058</v>
      </c>
      <c r="D313" s="330">
        <v>0</v>
      </c>
      <c r="E313" s="330">
        <v>1351</v>
      </c>
      <c r="F313" s="330">
        <v>3835</v>
      </c>
      <c r="G313" s="330">
        <v>610</v>
      </c>
      <c r="H313" s="330">
        <v>23854</v>
      </c>
      <c r="I313" s="330">
        <v>23244</v>
      </c>
      <c r="J313" s="330">
        <v>19</v>
      </c>
      <c r="K313" s="330">
        <v>87.94</v>
      </c>
      <c r="L313" s="330">
        <v>85.61</v>
      </c>
      <c r="M313" s="330">
        <v>9.19</v>
      </c>
      <c r="N313" s="330">
        <v>91.23</v>
      </c>
      <c r="O313" s="333">
        <v>13717</v>
      </c>
      <c r="P313" s="330">
        <v>89.43</v>
      </c>
      <c r="Q313" s="330">
        <v>78.27</v>
      </c>
      <c r="R313" s="330">
        <v>29.83</v>
      </c>
      <c r="S313" s="330">
        <v>117.68</v>
      </c>
      <c r="T313" s="333">
        <v>3878</v>
      </c>
      <c r="U313" s="330">
        <v>111.68</v>
      </c>
      <c r="V313" s="333">
        <v>2385</v>
      </c>
      <c r="W313" s="330">
        <v>190.18</v>
      </c>
      <c r="X313" s="333">
        <v>159</v>
      </c>
      <c r="Y313" s="330">
        <v>0</v>
      </c>
      <c r="Z313" s="330">
        <v>80</v>
      </c>
      <c r="AA313" s="330">
        <v>44</v>
      </c>
      <c r="AB313" s="330">
        <v>18</v>
      </c>
      <c r="AC313" s="330">
        <v>2</v>
      </c>
      <c r="AD313" s="330">
        <v>16026</v>
      </c>
      <c r="AE313" s="330">
        <v>68</v>
      </c>
      <c r="AF313" s="330">
        <v>126</v>
      </c>
      <c r="AG313" s="330">
        <v>194</v>
      </c>
    </row>
    <row r="314" spans="1:33" x14ac:dyDescent="0.3">
      <c r="A314" s="329" t="s">
        <v>680</v>
      </c>
      <c r="B314" s="329" t="s">
        <v>681</v>
      </c>
      <c r="C314" s="330">
        <v>1135</v>
      </c>
      <c r="D314" s="330">
        <v>4</v>
      </c>
      <c r="E314" s="330">
        <v>173</v>
      </c>
      <c r="F314" s="330">
        <v>342</v>
      </c>
      <c r="G314" s="330">
        <v>250</v>
      </c>
      <c r="H314" s="330">
        <v>1904</v>
      </c>
      <c r="I314" s="330">
        <v>1654</v>
      </c>
      <c r="J314" s="330">
        <v>11</v>
      </c>
      <c r="K314" s="330">
        <v>134.05000000000001</v>
      </c>
      <c r="L314" s="330">
        <v>123.12</v>
      </c>
      <c r="M314" s="330">
        <v>9.24</v>
      </c>
      <c r="N314" s="330">
        <v>142.03</v>
      </c>
      <c r="O314" s="333">
        <v>954</v>
      </c>
      <c r="P314" s="330">
        <v>104.6</v>
      </c>
      <c r="Q314" s="330">
        <v>97.7</v>
      </c>
      <c r="R314" s="330">
        <v>35.450000000000003</v>
      </c>
      <c r="S314" s="330">
        <v>134.66999999999999</v>
      </c>
      <c r="T314" s="333">
        <v>244</v>
      </c>
      <c r="U314" s="330">
        <v>212.8</v>
      </c>
      <c r="V314" s="333">
        <v>67</v>
      </c>
      <c r="W314" s="330">
        <v>157.62</v>
      </c>
      <c r="X314" s="333">
        <v>34</v>
      </c>
      <c r="Y314" s="330">
        <v>0</v>
      </c>
      <c r="Z314" s="330">
        <v>0</v>
      </c>
      <c r="AA314" s="330">
        <v>17</v>
      </c>
      <c r="AB314" s="330">
        <v>9</v>
      </c>
      <c r="AC314" s="330">
        <v>11</v>
      </c>
      <c r="AD314" s="330">
        <v>1025</v>
      </c>
      <c r="AE314" s="330">
        <v>7</v>
      </c>
      <c r="AF314" s="330">
        <v>2</v>
      </c>
      <c r="AG314" s="330">
        <v>9</v>
      </c>
    </row>
    <row r="315" spans="1:33" x14ac:dyDescent="0.3">
      <c r="A315" s="329" t="s">
        <v>682</v>
      </c>
      <c r="B315" s="329" t="s">
        <v>683</v>
      </c>
      <c r="C315" s="330">
        <v>2222</v>
      </c>
      <c r="D315" s="330">
        <v>0</v>
      </c>
      <c r="E315" s="330">
        <v>192</v>
      </c>
      <c r="F315" s="330">
        <v>219</v>
      </c>
      <c r="G315" s="330">
        <v>1409</v>
      </c>
      <c r="H315" s="330">
        <v>4042</v>
      </c>
      <c r="I315" s="330">
        <v>2633</v>
      </c>
      <c r="J315" s="330">
        <v>1</v>
      </c>
      <c r="K315" s="330">
        <v>134.62</v>
      </c>
      <c r="L315" s="330">
        <v>132.54</v>
      </c>
      <c r="M315" s="330">
        <v>7.91</v>
      </c>
      <c r="N315" s="330">
        <v>141.72999999999999</v>
      </c>
      <c r="O315" s="333">
        <v>1909</v>
      </c>
      <c r="P315" s="330">
        <v>114.27</v>
      </c>
      <c r="Q315" s="330">
        <v>111.15</v>
      </c>
      <c r="R315" s="330">
        <v>49.93</v>
      </c>
      <c r="S315" s="330">
        <v>164.02</v>
      </c>
      <c r="T315" s="333">
        <v>283</v>
      </c>
      <c r="U315" s="330">
        <v>177.89</v>
      </c>
      <c r="V315" s="333">
        <v>238</v>
      </c>
      <c r="W315" s="330">
        <v>158.29</v>
      </c>
      <c r="X315" s="333">
        <v>63</v>
      </c>
      <c r="Y315" s="330">
        <v>25</v>
      </c>
      <c r="Z315" s="330">
        <v>0</v>
      </c>
      <c r="AA315" s="330">
        <v>2</v>
      </c>
      <c r="AB315" s="330">
        <v>107</v>
      </c>
      <c r="AC315" s="330">
        <v>31</v>
      </c>
      <c r="AD315" s="330">
        <v>2166</v>
      </c>
      <c r="AE315" s="330">
        <v>6</v>
      </c>
      <c r="AF315" s="330">
        <v>7</v>
      </c>
      <c r="AG315" s="330">
        <v>13</v>
      </c>
    </row>
    <row r="316" spans="1:33" x14ac:dyDescent="0.3">
      <c r="A316" s="329" t="s">
        <v>684</v>
      </c>
      <c r="B316" s="329" t="s">
        <v>685</v>
      </c>
      <c r="C316" s="330">
        <v>5121</v>
      </c>
      <c r="D316" s="330">
        <v>34</v>
      </c>
      <c r="E316" s="330">
        <v>539</v>
      </c>
      <c r="F316" s="330">
        <v>1281</v>
      </c>
      <c r="G316" s="330">
        <v>337</v>
      </c>
      <c r="H316" s="330">
        <v>7312</v>
      </c>
      <c r="I316" s="330">
        <v>6975</v>
      </c>
      <c r="J316" s="330">
        <v>15</v>
      </c>
      <c r="K316" s="330">
        <v>90.33</v>
      </c>
      <c r="L316" s="330">
        <v>86.51</v>
      </c>
      <c r="M316" s="330">
        <v>7.69</v>
      </c>
      <c r="N316" s="330">
        <v>97.11</v>
      </c>
      <c r="O316" s="333">
        <v>4076</v>
      </c>
      <c r="P316" s="330">
        <v>100.94</v>
      </c>
      <c r="Q316" s="330">
        <v>85.83</v>
      </c>
      <c r="R316" s="330">
        <v>64.56</v>
      </c>
      <c r="S316" s="330">
        <v>164.12</v>
      </c>
      <c r="T316" s="333">
        <v>1582</v>
      </c>
      <c r="U316" s="330">
        <v>115.8</v>
      </c>
      <c r="V316" s="333">
        <v>925</v>
      </c>
      <c r="W316" s="330">
        <v>178.93</v>
      </c>
      <c r="X316" s="333">
        <v>36</v>
      </c>
      <c r="Y316" s="330">
        <v>22</v>
      </c>
      <c r="Z316" s="330">
        <v>2</v>
      </c>
      <c r="AA316" s="330">
        <v>0</v>
      </c>
      <c r="AB316" s="330">
        <v>35</v>
      </c>
      <c r="AC316" s="330">
        <v>11</v>
      </c>
      <c r="AD316" s="330">
        <v>5085</v>
      </c>
      <c r="AE316" s="330">
        <v>54</v>
      </c>
      <c r="AF316" s="330">
        <v>5</v>
      </c>
      <c r="AG316" s="330">
        <v>59</v>
      </c>
    </row>
    <row r="317" spans="1:33" x14ac:dyDescent="0.3">
      <c r="A317" s="329" t="s">
        <v>686</v>
      </c>
      <c r="B317" s="329" t="s">
        <v>687</v>
      </c>
      <c r="C317" s="330">
        <v>6331</v>
      </c>
      <c r="D317" s="330">
        <v>46</v>
      </c>
      <c r="E317" s="330">
        <v>457</v>
      </c>
      <c r="F317" s="330">
        <v>993</v>
      </c>
      <c r="G317" s="330">
        <v>442</v>
      </c>
      <c r="H317" s="330">
        <v>8269</v>
      </c>
      <c r="I317" s="330">
        <v>7827</v>
      </c>
      <c r="J317" s="330">
        <v>15</v>
      </c>
      <c r="K317" s="330">
        <v>89.18</v>
      </c>
      <c r="L317" s="330">
        <v>90.48</v>
      </c>
      <c r="M317" s="330">
        <v>5.83</v>
      </c>
      <c r="N317" s="330">
        <v>94.57</v>
      </c>
      <c r="O317" s="333">
        <v>5322</v>
      </c>
      <c r="P317" s="330">
        <v>86.31</v>
      </c>
      <c r="Q317" s="330">
        <v>81.900000000000006</v>
      </c>
      <c r="R317" s="330">
        <v>47.98</v>
      </c>
      <c r="S317" s="330">
        <v>133.43</v>
      </c>
      <c r="T317" s="333">
        <v>1121</v>
      </c>
      <c r="U317" s="330">
        <v>115.59</v>
      </c>
      <c r="V317" s="333">
        <v>962</v>
      </c>
      <c r="W317" s="330">
        <v>202.84</v>
      </c>
      <c r="X317" s="333">
        <v>163</v>
      </c>
      <c r="Y317" s="330">
        <v>0</v>
      </c>
      <c r="Z317" s="330">
        <v>13</v>
      </c>
      <c r="AA317" s="330">
        <v>2</v>
      </c>
      <c r="AB317" s="330">
        <v>73</v>
      </c>
      <c r="AC317" s="330">
        <v>11</v>
      </c>
      <c r="AD317" s="330">
        <v>6257</v>
      </c>
      <c r="AE317" s="330">
        <v>46</v>
      </c>
      <c r="AF317" s="330">
        <v>13</v>
      </c>
      <c r="AG317" s="330">
        <v>59</v>
      </c>
    </row>
    <row r="318" spans="1:33" x14ac:dyDescent="0.3">
      <c r="A318" s="329" t="s">
        <v>688</v>
      </c>
      <c r="B318" s="329" t="s">
        <v>689</v>
      </c>
      <c r="C318" s="330">
        <v>4119</v>
      </c>
      <c r="D318" s="330">
        <v>0</v>
      </c>
      <c r="E318" s="330">
        <v>173</v>
      </c>
      <c r="F318" s="330">
        <v>556</v>
      </c>
      <c r="G318" s="330">
        <v>203</v>
      </c>
      <c r="H318" s="330">
        <v>5051</v>
      </c>
      <c r="I318" s="330">
        <v>4848</v>
      </c>
      <c r="J318" s="330">
        <v>35</v>
      </c>
      <c r="K318" s="330">
        <v>104.09</v>
      </c>
      <c r="L318" s="330">
        <v>102.53</v>
      </c>
      <c r="M318" s="330">
        <v>7.6</v>
      </c>
      <c r="N318" s="330">
        <v>108.46</v>
      </c>
      <c r="O318" s="333">
        <v>3726</v>
      </c>
      <c r="P318" s="330">
        <v>91.15</v>
      </c>
      <c r="Q318" s="330">
        <v>84.56</v>
      </c>
      <c r="R318" s="330">
        <v>42.12</v>
      </c>
      <c r="S318" s="330">
        <v>132.80000000000001</v>
      </c>
      <c r="T318" s="333">
        <v>529</v>
      </c>
      <c r="U318" s="330">
        <v>154.61000000000001</v>
      </c>
      <c r="V318" s="333">
        <v>246</v>
      </c>
      <c r="W318" s="330">
        <v>0</v>
      </c>
      <c r="X318" s="333">
        <v>0</v>
      </c>
      <c r="Y318" s="330">
        <v>0</v>
      </c>
      <c r="Z318" s="330">
        <v>6</v>
      </c>
      <c r="AA318" s="330">
        <v>10</v>
      </c>
      <c r="AB318" s="330">
        <v>6</v>
      </c>
      <c r="AC318" s="330">
        <v>2</v>
      </c>
      <c r="AD318" s="330">
        <v>4103</v>
      </c>
      <c r="AE318" s="330">
        <v>19</v>
      </c>
      <c r="AF318" s="330">
        <v>8</v>
      </c>
      <c r="AG318" s="330">
        <v>27</v>
      </c>
    </row>
    <row r="319" spans="1:33" x14ac:dyDescent="0.3">
      <c r="A319" s="329" t="s">
        <v>690</v>
      </c>
      <c r="B319" s="329" t="s">
        <v>691</v>
      </c>
      <c r="C319" s="330">
        <v>8292</v>
      </c>
      <c r="D319" s="330">
        <v>0</v>
      </c>
      <c r="E319" s="330">
        <v>121</v>
      </c>
      <c r="F319" s="330">
        <v>906</v>
      </c>
      <c r="G319" s="330">
        <v>705</v>
      </c>
      <c r="H319" s="330">
        <v>10024</v>
      </c>
      <c r="I319" s="330">
        <v>9319</v>
      </c>
      <c r="J319" s="330">
        <v>36</v>
      </c>
      <c r="K319" s="330">
        <v>97.06</v>
      </c>
      <c r="L319" s="330">
        <v>95.28</v>
      </c>
      <c r="M319" s="330">
        <v>4.28</v>
      </c>
      <c r="N319" s="330">
        <v>99.44</v>
      </c>
      <c r="O319" s="333">
        <v>7083</v>
      </c>
      <c r="P319" s="330">
        <v>90.3</v>
      </c>
      <c r="Q319" s="330">
        <v>85.73</v>
      </c>
      <c r="R319" s="330">
        <v>39.22</v>
      </c>
      <c r="S319" s="330">
        <v>127.7</v>
      </c>
      <c r="T319" s="333">
        <v>883</v>
      </c>
      <c r="U319" s="330">
        <v>122.14</v>
      </c>
      <c r="V319" s="333">
        <v>1191</v>
      </c>
      <c r="W319" s="330">
        <v>228</v>
      </c>
      <c r="X319" s="333">
        <v>84</v>
      </c>
      <c r="Y319" s="330">
        <v>0</v>
      </c>
      <c r="Z319" s="330">
        <v>3</v>
      </c>
      <c r="AA319" s="330">
        <v>1</v>
      </c>
      <c r="AB319" s="330">
        <v>62</v>
      </c>
      <c r="AC319" s="330">
        <v>14</v>
      </c>
      <c r="AD319" s="330">
        <v>8282</v>
      </c>
      <c r="AE319" s="330">
        <v>70</v>
      </c>
      <c r="AF319" s="330">
        <v>22</v>
      </c>
      <c r="AG319" s="330">
        <v>92</v>
      </c>
    </row>
    <row r="320" spans="1:33" x14ac:dyDescent="0.3">
      <c r="A320" s="329" t="s">
        <v>692</v>
      </c>
      <c r="B320" s="329" t="s">
        <v>693</v>
      </c>
      <c r="C320" s="330">
        <v>3389</v>
      </c>
      <c r="D320" s="330">
        <v>0</v>
      </c>
      <c r="E320" s="330">
        <v>252</v>
      </c>
      <c r="F320" s="330">
        <v>475</v>
      </c>
      <c r="G320" s="330">
        <v>327</v>
      </c>
      <c r="H320" s="330">
        <v>4443</v>
      </c>
      <c r="I320" s="330">
        <v>4116</v>
      </c>
      <c r="J320" s="330">
        <v>49</v>
      </c>
      <c r="K320" s="330">
        <v>88.62</v>
      </c>
      <c r="L320" s="330">
        <v>88.02</v>
      </c>
      <c r="M320" s="330">
        <v>4.4400000000000004</v>
      </c>
      <c r="N320" s="330">
        <v>91.27</v>
      </c>
      <c r="O320" s="333">
        <v>2835</v>
      </c>
      <c r="P320" s="330">
        <v>97.18</v>
      </c>
      <c r="Q320" s="330">
        <v>87.82</v>
      </c>
      <c r="R320" s="330">
        <v>35.619999999999997</v>
      </c>
      <c r="S320" s="330">
        <v>131.27000000000001</v>
      </c>
      <c r="T320" s="333">
        <v>557</v>
      </c>
      <c r="U320" s="330">
        <v>112.33</v>
      </c>
      <c r="V320" s="333">
        <v>500</v>
      </c>
      <c r="W320" s="330">
        <v>169.37</v>
      </c>
      <c r="X320" s="333">
        <v>88</v>
      </c>
      <c r="Y320" s="330">
        <v>7</v>
      </c>
      <c r="Z320" s="330">
        <v>5</v>
      </c>
      <c r="AA320" s="330">
        <v>0</v>
      </c>
      <c r="AB320" s="330">
        <v>53</v>
      </c>
      <c r="AC320" s="330">
        <v>8</v>
      </c>
      <c r="AD320" s="330">
        <v>3341</v>
      </c>
      <c r="AE320" s="330">
        <v>13</v>
      </c>
      <c r="AF320" s="330">
        <v>20</v>
      </c>
      <c r="AG320" s="330">
        <v>33</v>
      </c>
    </row>
    <row r="321" spans="1:33" x14ac:dyDescent="0.3">
      <c r="A321" s="329" t="s">
        <v>694</v>
      </c>
      <c r="B321" s="329" t="s">
        <v>695</v>
      </c>
      <c r="C321" s="330">
        <v>4506</v>
      </c>
      <c r="D321" s="330">
        <v>0</v>
      </c>
      <c r="E321" s="330">
        <v>2154</v>
      </c>
      <c r="F321" s="330">
        <v>69</v>
      </c>
      <c r="G321" s="330">
        <v>532</v>
      </c>
      <c r="H321" s="330">
        <v>7261</v>
      </c>
      <c r="I321" s="330">
        <v>6729</v>
      </c>
      <c r="J321" s="330">
        <v>44</v>
      </c>
      <c r="K321" s="330">
        <v>90.06</v>
      </c>
      <c r="L321" s="330">
        <v>87.26</v>
      </c>
      <c r="M321" s="330">
        <v>8.44</v>
      </c>
      <c r="N321" s="330">
        <v>94.02</v>
      </c>
      <c r="O321" s="333">
        <v>4028</v>
      </c>
      <c r="P321" s="330">
        <v>88.8</v>
      </c>
      <c r="Q321" s="330">
        <v>80.86</v>
      </c>
      <c r="R321" s="330">
        <v>17.72</v>
      </c>
      <c r="S321" s="330">
        <v>106.51</v>
      </c>
      <c r="T321" s="333">
        <v>2090</v>
      </c>
      <c r="U321" s="330">
        <v>109.4</v>
      </c>
      <c r="V321" s="333">
        <v>450</v>
      </c>
      <c r="W321" s="330">
        <v>210.73</v>
      </c>
      <c r="X321" s="333">
        <v>126</v>
      </c>
      <c r="Y321" s="330">
        <v>0</v>
      </c>
      <c r="Z321" s="330">
        <v>22</v>
      </c>
      <c r="AA321" s="330">
        <v>15</v>
      </c>
      <c r="AB321" s="330">
        <v>67</v>
      </c>
      <c r="AC321" s="330">
        <v>19</v>
      </c>
      <c r="AD321" s="330">
        <v>4506</v>
      </c>
      <c r="AE321" s="330">
        <v>32</v>
      </c>
      <c r="AF321" s="330">
        <v>43</v>
      </c>
      <c r="AG321" s="330">
        <v>75</v>
      </c>
    </row>
    <row r="322" spans="1:33" x14ac:dyDescent="0.3">
      <c r="A322" s="329" t="s">
        <v>696</v>
      </c>
      <c r="B322" s="329" t="s">
        <v>697</v>
      </c>
      <c r="C322" s="330">
        <v>4080</v>
      </c>
      <c r="D322" s="330">
        <v>6</v>
      </c>
      <c r="E322" s="330">
        <v>290</v>
      </c>
      <c r="F322" s="330">
        <v>713</v>
      </c>
      <c r="G322" s="330">
        <v>554</v>
      </c>
      <c r="H322" s="330">
        <v>5643</v>
      </c>
      <c r="I322" s="330">
        <v>5089</v>
      </c>
      <c r="J322" s="330">
        <v>4</v>
      </c>
      <c r="K322" s="330">
        <v>96.01</v>
      </c>
      <c r="L322" s="330">
        <v>94.89</v>
      </c>
      <c r="M322" s="330">
        <v>7.79</v>
      </c>
      <c r="N322" s="330">
        <v>99.76</v>
      </c>
      <c r="O322" s="333">
        <v>3066</v>
      </c>
      <c r="P322" s="330">
        <v>89.01</v>
      </c>
      <c r="Q322" s="330">
        <v>77.53</v>
      </c>
      <c r="R322" s="330">
        <v>32.69</v>
      </c>
      <c r="S322" s="330">
        <v>121.42</v>
      </c>
      <c r="T322" s="333">
        <v>718</v>
      </c>
      <c r="U322" s="330">
        <v>112.32</v>
      </c>
      <c r="V322" s="333">
        <v>568</v>
      </c>
      <c r="W322" s="330">
        <v>0</v>
      </c>
      <c r="X322" s="333">
        <v>0</v>
      </c>
      <c r="Y322" s="330">
        <v>0</v>
      </c>
      <c r="Z322" s="330">
        <v>1</v>
      </c>
      <c r="AA322" s="330">
        <v>3</v>
      </c>
      <c r="AB322" s="330">
        <v>31</v>
      </c>
      <c r="AC322" s="330">
        <v>6</v>
      </c>
      <c r="AD322" s="330">
        <v>3723</v>
      </c>
      <c r="AE322" s="330">
        <v>25</v>
      </c>
      <c r="AF322" s="330">
        <v>12</v>
      </c>
      <c r="AG322" s="330">
        <v>37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EDB58-3BC1-4464-B929-B2A8BCEAE1F9}">
  <sheetPr codeName="Sheet16">
    <tabColor rgb="FFFFFF00"/>
  </sheetPr>
  <dimension ref="A1:FC322"/>
  <sheetViews>
    <sheetView zoomScale="80" zoomScaleNormal="80" workbookViewId="0"/>
  </sheetViews>
  <sheetFormatPr defaultColWidth="9.1796875" defaultRowHeight="12.5" x14ac:dyDescent="0.25"/>
  <cols>
    <col min="1" max="8" width="9.1796875" style="145"/>
    <col min="9" max="10" width="10.453125" style="145" customWidth="1"/>
    <col min="11" max="11" width="10.453125" style="145" bestFit="1" customWidth="1"/>
    <col min="12" max="16384" width="9.1796875" style="145"/>
  </cols>
  <sheetData>
    <row r="1" spans="1:159" s="144" customFormat="1" ht="13" x14ac:dyDescent="0.3">
      <c r="A1" s="134"/>
      <c r="B1" s="134"/>
      <c r="C1" s="135" t="s">
        <v>38</v>
      </c>
      <c r="D1" s="135" t="s">
        <v>38</v>
      </c>
      <c r="E1" s="135" t="s">
        <v>38</v>
      </c>
      <c r="F1" s="135" t="s">
        <v>38</v>
      </c>
      <c r="G1" s="135" t="s">
        <v>38</v>
      </c>
      <c r="H1" s="135" t="s">
        <v>38</v>
      </c>
      <c r="I1" s="136" t="s">
        <v>39</v>
      </c>
      <c r="J1" s="136" t="s">
        <v>39</v>
      </c>
      <c r="K1" s="137" t="s">
        <v>40</v>
      </c>
      <c r="L1" s="137" t="s">
        <v>40</v>
      </c>
      <c r="M1" s="137" t="s">
        <v>40</v>
      </c>
      <c r="N1" s="138" t="s">
        <v>40</v>
      </c>
      <c r="O1" s="137" t="s">
        <v>40</v>
      </c>
      <c r="P1" s="139" t="s">
        <v>41</v>
      </c>
      <c r="Q1" s="139" t="s">
        <v>41</v>
      </c>
      <c r="R1" s="139" t="s">
        <v>41</v>
      </c>
      <c r="S1" s="139" t="s">
        <v>41</v>
      </c>
      <c r="T1" s="139" t="s">
        <v>41</v>
      </c>
      <c r="U1" s="140" t="s">
        <v>42</v>
      </c>
      <c r="V1" s="140" t="s">
        <v>42</v>
      </c>
      <c r="W1" s="141" t="s">
        <v>43</v>
      </c>
      <c r="X1" s="141" t="s">
        <v>43</v>
      </c>
      <c r="Y1" s="142" t="s">
        <v>44</v>
      </c>
      <c r="Z1" s="142" t="s">
        <v>44</v>
      </c>
      <c r="AA1" s="142" t="s">
        <v>44</v>
      </c>
      <c r="AB1" s="142" t="s">
        <v>44</v>
      </c>
      <c r="AC1" s="142" t="s">
        <v>44</v>
      </c>
      <c r="AD1" s="143" t="s">
        <v>45</v>
      </c>
      <c r="AE1" s="143" t="s">
        <v>45</v>
      </c>
      <c r="AF1" s="143" t="s">
        <v>45</v>
      </c>
      <c r="AG1" s="143" t="s">
        <v>45</v>
      </c>
    </row>
    <row r="2" spans="1:159" x14ac:dyDescent="0.25">
      <c r="B2" s="146">
        <v>1</v>
      </c>
      <c r="C2" s="146">
        <v>2</v>
      </c>
      <c r="D2" s="146">
        <v>3</v>
      </c>
      <c r="E2" s="146">
        <v>4</v>
      </c>
      <c r="F2" s="146">
        <v>5</v>
      </c>
      <c r="G2" s="146">
        <v>6</v>
      </c>
      <c r="H2" s="146">
        <v>7</v>
      </c>
      <c r="I2" s="146">
        <v>8</v>
      </c>
      <c r="J2" s="146">
        <v>9</v>
      </c>
      <c r="K2" s="146">
        <v>10</v>
      </c>
      <c r="L2" s="146">
        <v>11</v>
      </c>
      <c r="M2" s="146">
        <v>12</v>
      </c>
      <c r="N2" s="146">
        <v>13</v>
      </c>
      <c r="O2" s="146">
        <v>14</v>
      </c>
      <c r="P2" s="146">
        <v>15</v>
      </c>
      <c r="Q2" s="146">
        <v>16</v>
      </c>
      <c r="R2" s="146">
        <v>17</v>
      </c>
      <c r="S2" s="146">
        <v>18</v>
      </c>
      <c r="T2" s="146">
        <v>19</v>
      </c>
      <c r="U2" s="146">
        <v>20</v>
      </c>
      <c r="V2" s="146">
        <v>21</v>
      </c>
      <c r="W2" s="146">
        <v>22</v>
      </c>
      <c r="X2" s="146">
        <v>23</v>
      </c>
      <c r="Y2" s="146">
        <v>24</v>
      </c>
      <c r="Z2" s="146">
        <v>25</v>
      </c>
      <c r="AA2" s="146">
        <v>26</v>
      </c>
      <c r="AB2" s="146">
        <v>27</v>
      </c>
      <c r="AC2" s="146">
        <v>28</v>
      </c>
      <c r="AD2" s="146">
        <v>29</v>
      </c>
      <c r="AE2" s="146">
        <v>30</v>
      </c>
      <c r="AF2" s="146">
        <v>31</v>
      </c>
      <c r="AG2" s="146">
        <v>32</v>
      </c>
    </row>
    <row r="3" spans="1:159" ht="87.5" x14ac:dyDescent="0.25">
      <c r="A3" s="145" t="s">
        <v>46</v>
      </c>
      <c r="B3" s="145" t="s">
        <v>47</v>
      </c>
      <c r="C3" s="147" t="s">
        <v>48</v>
      </c>
      <c r="D3" s="147" t="s">
        <v>49</v>
      </c>
      <c r="E3" s="147" t="s">
        <v>50</v>
      </c>
      <c r="F3" s="147" t="s">
        <v>51</v>
      </c>
      <c r="G3" s="147" t="s">
        <v>52</v>
      </c>
      <c r="H3" s="147" t="s">
        <v>53</v>
      </c>
      <c r="I3" s="148" t="s">
        <v>54</v>
      </c>
      <c r="J3" s="148" t="s">
        <v>55</v>
      </c>
      <c r="K3" s="149" t="s">
        <v>56</v>
      </c>
      <c r="L3" s="149" t="s">
        <v>57</v>
      </c>
      <c r="M3" s="149" t="s">
        <v>58</v>
      </c>
      <c r="N3" s="150" t="s">
        <v>59</v>
      </c>
      <c r="O3" s="149" t="s">
        <v>60</v>
      </c>
      <c r="P3" s="151" t="s">
        <v>61</v>
      </c>
      <c r="Q3" s="151" t="s">
        <v>62</v>
      </c>
      <c r="R3" s="151" t="s">
        <v>58</v>
      </c>
      <c r="S3" s="151" t="s">
        <v>63</v>
      </c>
      <c r="T3" s="151" t="s">
        <v>64</v>
      </c>
      <c r="U3" s="152" t="s">
        <v>65</v>
      </c>
      <c r="V3" s="152" t="s">
        <v>66</v>
      </c>
      <c r="W3" s="153" t="s">
        <v>67</v>
      </c>
      <c r="X3" s="153" t="s">
        <v>68</v>
      </c>
      <c r="Y3" s="154" t="s">
        <v>69</v>
      </c>
      <c r="Z3" s="154" t="s">
        <v>70</v>
      </c>
      <c r="AA3" s="154" t="s">
        <v>71</v>
      </c>
      <c r="AB3" s="154" t="s">
        <v>72</v>
      </c>
      <c r="AC3" s="154" t="s">
        <v>73</v>
      </c>
      <c r="AD3" s="155" t="s">
        <v>74</v>
      </c>
      <c r="AE3" s="155" t="s">
        <v>75</v>
      </c>
      <c r="AF3" s="155" t="s">
        <v>76</v>
      </c>
      <c r="AG3" s="155" t="s">
        <v>77</v>
      </c>
    </row>
    <row r="4" spans="1:159" ht="14.5" x14ac:dyDescent="0.35">
      <c r="A4" t="s">
        <v>13</v>
      </c>
      <c r="B4" t="s">
        <v>13</v>
      </c>
      <c r="C4">
        <v>2234560</v>
      </c>
      <c r="D4">
        <v>9807</v>
      </c>
      <c r="E4">
        <v>139334</v>
      </c>
      <c r="F4">
        <v>261627</v>
      </c>
      <c r="G4">
        <v>237359</v>
      </c>
      <c r="H4">
        <v>2882687</v>
      </c>
      <c r="I4">
        <v>2645328</v>
      </c>
      <c r="J4">
        <v>15497</v>
      </c>
      <c r="K4">
        <v>102.15</v>
      </c>
      <c r="L4">
        <v>101.55</v>
      </c>
      <c r="M4">
        <v>7.58</v>
      </c>
      <c r="N4">
        <v>106.83</v>
      </c>
      <c r="O4">
        <v>1831331</v>
      </c>
      <c r="P4">
        <v>100.43</v>
      </c>
      <c r="Q4">
        <v>90.29</v>
      </c>
      <c r="R4">
        <v>48.03</v>
      </c>
      <c r="S4">
        <v>146.16</v>
      </c>
      <c r="T4">
        <v>332898</v>
      </c>
      <c r="U4">
        <v>143.80000000000001</v>
      </c>
      <c r="V4">
        <v>315847</v>
      </c>
      <c r="W4">
        <v>193.03</v>
      </c>
      <c r="X4">
        <v>15683</v>
      </c>
      <c r="Y4">
        <v>4878</v>
      </c>
      <c r="Z4">
        <v>4581</v>
      </c>
      <c r="AA4">
        <v>2675</v>
      </c>
      <c r="AB4">
        <v>17126</v>
      </c>
      <c r="AC4">
        <v>5517</v>
      </c>
      <c r="AD4">
        <v>2178923</v>
      </c>
      <c r="AE4">
        <v>16534</v>
      </c>
      <c r="AF4">
        <v>18990</v>
      </c>
      <c r="AG4">
        <v>35524</v>
      </c>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row>
    <row r="5" spans="1:159" ht="14.5" x14ac:dyDescent="0.35">
      <c r="A5" t="s">
        <v>78</v>
      </c>
      <c r="B5" t="s">
        <v>78</v>
      </c>
      <c r="C5">
        <v>120656</v>
      </c>
      <c r="D5">
        <v>480</v>
      </c>
      <c r="E5">
        <v>9275</v>
      </c>
      <c r="F5">
        <v>22400</v>
      </c>
      <c r="G5">
        <v>17369</v>
      </c>
      <c r="H5">
        <v>170180</v>
      </c>
      <c r="I5">
        <v>152811</v>
      </c>
      <c r="J5">
        <v>1026</v>
      </c>
      <c r="K5">
        <v>94.24</v>
      </c>
      <c r="L5">
        <v>93.27</v>
      </c>
      <c r="M5">
        <v>5.59</v>
      </c>
      <c r="N5">
        <v>97.92</v>
      </c>
      <c r="O5">
        <v>94932</v>
      </c>
      <c r="P5">
        <v>97.1</v>
      </c>
      <c r="Q5">
        <v>85.2</v>
      </c>
      <c r="R5">
        <v>45.1</v>
      </c>
      <c r="S5">
        <v>140.02000000000001</v>
      </c>
      <c r="T5">
        <v>27984</v>
      </c>
      <c r="U5">
        <v>119.1</v>
      </c>
      <c r="V5">
        <v>21114</v>
      </c>
      <c r="W5">
        <v>196.55</v>
      </c>
      <c r="X5">
        <v>733</v>
      </c>
      <c r="Y5">
        <v>464</v>
      </c>
      <c r="Z5">
        <v>186</v>
      </c>
      <c r="AA5">
        <v>154</v>
      </c>
      <c r="AB5">
        <v>1307</v>
      </c>
      <c r="AC5">
        <v>365</v>
      </c>
      <c r="AD5">
        <v>118191</v>
      </c>
      <c r="AE5">
        <v>719</v>
      </c>
      <c r="AF5">
        <v>718</v>
      </c>
      <c r="AG5">
        <v>1437</v>
      </c>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row>
    <row r="6" spans="1:159" ht="14.5" x14ac:dyDescent="0.35">
      <c r="A6" t="s">
        <v>79</v>
      </c>
      <c r="B6" t="s">
        <v>79</v>
      </c>
      <c r="C6">
        <v>232030</v>
      </c>
      <c r="D6">
        <v>1741</v>
      </c>
      <c r="E6">
        <v>12200</v>
      </c>
      <c r="F6">
        <v>26160</v>
      </c>
      <c r="G6">
        <v>27111</v>
      </c>
      <c r="H6">
        <v>299242</v>
      </c>
      <c r="I6">
        <v>272131</v>
      </c>
      <c r="J6">
        <v>2503</v>
      </c>
      <c r="K6">
        <v>105.96</v>
      </c>
      <c r="L6">
        <v>105.28</v>
      </c>
      <c r="M6">
        <v>6.89</v>
      </c>
      <c r="N6">
        <v>109.79</v>
      </c>
      <c r="O6">
        <v>185749</v>
      </c>
      <c r="P6">
        <v>102.71</v>
      </c>
      <c r="Q6">
        <v>92.64</v>
      </c>
      <c r="R6">
        <v>46.13</v>
      </c>
      <c r="S6">
        <v>147.16999999999999</v>
      </c>
      <c r="T6">
        <v>32663</v>
      </c>
      <c r="U6">
        <v>152.5</v>
      </c>
      <c r="V6">
        <v>39943</v>
      </c>
      <c r="W6">
        <v>200.03</v>
      </c>
      <c r="X6">
        <v>795</v>
      </c>
      <c r="Y6">
        <v>410</v>
      </c>
      <c r="Z6">
        <v>252</v>
      </c>
      <c r="AA6">
        <v>259</v>
      </c>
      <c r="AB6">
        <v>2089</v>
      </c>
      <c r="AC6">
        <v>569</v>
      </c>
      <c r="AD6">
        <v>229873</v>
      </c>
      <c r="AE6">
        <v>1827</v>
      </c>
      <c r="AF6">
        <v>1822</v>
      </c>
      <c r="AG6">
        <v>3649</v>
      </c>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row>
    <row r="7" spans="1:159" ht="14.5" x14ac:dyDescent="0.35">
      <c r="A7" t="s">
        <v>80</v>
      </c>
      <c r="B7" t="s">
        <v>80</v>
      </c>
      <c r="C7">
        <v>365450</v>
      </c>
      <c r="D7">
        <v>5387</v>
      </c>
      <c r="E7">
        <v>26626</v>
      </c>
      <c r="F7">
        <v>28956</v>
      </c>
      <c r="G7">
        <v>54705</v>
      </c>
      <c r="H7">
        <v>481124</v>
      </c>
      <c r="I7">
        <v>426419</v>
      </c>
      <c r="J7">
        <v>3376</v>
      </c>
      <c r="K7">
        <v>130.27000000000001</v>
      </c>
      <c r="L7">
        <v>133.77000000000001</v>
      </c>
      <c r="M7">
        <v>13.23</v>
      </c>
      <c r="N7">
        <v>140.30000000000001</v>
      </c>
      <c r="O7">
        <v>288639</v>
      </c>
      <c r="P7">
        <v>120.59</v>
      </c>
      <c r="Q7">
        <v>113.28</v>
      </c>
      <c r="R7">
        <v>64.44</v>
      </c>
      <c r="S7">
        <v>181.24</v>
      </c>
      <c r="T7">
        <v>43824</v>
      </c>
      <c r="U7">
        <v>208.93</v>
      </c>
      <c r="V7">
        <v>41789</v>
      </c>
      <c r="W7">
        <v>236.77</v>
      </c>
      <c r="X7">
        <v>1814</v>
      </c>
      <c r="Y7">
        <v>1166</v>
      </c>
      <c r="Z7">
        <v>199</v>
      </c>
      <c r="AA7">
        <v>570</v>
      </c>
      <c r="AB7">
        <v>2923</v>
      </c>
      <c r="AC7">
        <v>1647</v>
      </c>
      <c r="AD7">
        <v>342726</v>
      </c>
      <c r="AE7">
        <v>3834</v>
      </c>
      <c r="AF7">
        <v>3002</v>
      </c>
      <c r="AG7">
        <v>6836</v>
      </c>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row>
    <row r="8" spans="1:159" ht="14.5" x14ac:dyDescent="0.35">
      <c r="A8" t="s">
        <v>81</v>
      </c>
      <c r="B8" t="s">
        <v>81</v>
      </c>
      <c r="C8">
        <v>159370</v>
      </c>
      <c r="D8">
        <v>133</v>
      </c>
      <c r="E8">
        <v>7194</v>
      </c>
      <c r="F8">
        <v>17124</v>
      </c>
      <c r="G8">
        <v>4451</v>
      </c>
      <c r="H8">
        <v>188272</v>
      </c>
      <c r="I8">
        <v>183821</v>
      </c>
      <c r="J8">
        <v>1090</v>
      </c>
      <c r="K8">
        <v>83.85</v>
      </c>
      <c r="L8">
        <v>82.74</v>
      </c>
      <c r="M8">
        <v>6.53</v>
      </c>
      <c r="N8">
        <v>85.99</v>
      </c>
      <c r="O8">
        <v>138236</v>
      </c>
      <c r="P8">
        <v>93.71</v>
      </c>
      <c r="Q8">
        <v>80.09</v>
      </c>
      <c r="R8">
        <v>54.56</v>
      </c>
      <c r="S8">
        <v>143.38999999999999</v>
      </c>
      <c r="T8">
        <v>20151</v>
      </c>
      <c r="U8">
        <v>105.24</v>
      </c>
      <c r="V8">
        <v>18513</v>
      </c>
      <c r="W8">
        <v>176.74</v>
      </c>
      <c r="X8">
        <v>2047</v>
      </c>
      <c r="Y8">
        <v>15</v>
      </c>
      <c r="Z8">
        <v>618</v>
      </c>
      <c r="AA8">
        <v>81</v>
      </c>
      <c r="AB8">
        <v>330</v>
      </c>
      <c r="AC8">
        <v>113</v>
      </c>
      <c r="AD8">
        <v>157213</v>
      </c>
      <c r="AE8">
        <v>1139</v>
      </c>
      <c r="AF8">
        <v>1968</v>
      </c>
      <c r="AG8">
        <v>3107</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row>
    <row r="9" spans="1:159" ht="14.5" x14ac:dyDescent="0.35">
      <c r="A9" t="s">
        <v>82</v>
      </c>
      <c r="B9" t="s">
        <v>82</v>
      </c>
      <c r="C9">
        <v>435431</v>
      </c>
      <c r="D9">
        <v>129</v>
      </c>
      <c r="E9">
        <v>23462</v>
      </c>
      <c r="F9">
        <v>51860</v>
      </c>
      <c r="G9">
        <v>20964</v>
      </c>
      <c r="H9">
        <v>531846</v>
      </c>
      <c r="I9">
        <v>510882</v>
      </c>
      <c r="J9">
        <v>771</v>
      </c>
      <c r="K9">
        <v>88.34</v>
      </c>
      <c r="L9">
        <v>87.56</v>
      </c>
      <c r="M9">
        <v>5.65</v>
      </c>
      <c r="N9">
        <v>91.53</v>
      </c>
      <c r="O9">
        <v>366860</v>
      </c>
      <c r="P9">
        <v>91.89</v>
      </c>
      <c r="Q9">
        <v>81.27</v>
      </c>
      <c r="R9">
        <v>41.08</v>
      </c>
      <c r="S9">
        <v>130.43</v>
      </c>
      <c r="T9">
        <v>65589</v>
      </c>
      <c r="U9">
        <v>112.98</v>
      </c>
      <c r="V9">
        <v>57898</v>
      </c>
      <c r="W9">
        <v>176.67</v>
      </c>
      <c r="X9">
        <v>3011</v>
      </c>
      <c r="Y9">
        <v>27</v>
      </c>
      <c r="Z9">
        <v>1980</v>
      </c>
      <c r="AA9">
        <v>257</v>
      </c>
      <c r="AB9">
        <v>1921</v>
      </c>
      <c r="AC9">
        <v>508</v>
      </c>
      <c r="AD9">
        <v>426855</v>
      </c>
      <c r="AE9">
        <v>2864</v>
      </c>
      <c r="AF9">
        <v>4330</v>
      </c>
      <c r="AG9">
        <v>7194</v>
      </c>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row>
    <row r="10" spans="1:159" ht="14.5" x14ac:dyDescent="0.35">
      <c r="A10" t="s">
        <v>83</v>
      </c>
      <c r="B10" t="s">
        <v>83</v>
      </c>
      <c r="C10">
        <v>314158</v>
      </c>
      <c r="D10">
        <v>1155</v>
      </c>
      <c r="E10">
        <v>15900</v>
      </c>
      <c r="F10">
        <v>39161</v>
      </c>
      <c r="G10">
        <v>55381</v>
      </c>
      <c r="H10">
        <v>425755</v>
      </c>
      <c r="I10">
        <v>370374</v>
      </c>
      <c r="J10">
        <v>2065</v>
      </c>
      <c r="K10">
        <v>115.85</v>
      </c>
      <c r="L10">
        <v>114.21</v>
      </c>
      <c r="M10">
        <v>7.27</v>
      </c>
      <c r="N10">
        <v>120.49</v>
      </c>
      <c r="O10">
        <v>247974</v>
      </c>
      <c r="P10">
        <v>106.55</v>
      </c>
      <c r="Q10">
        <v>96.12</v>
      </c>
      <c r="R10">
        <v>44.82</v>
      </c>
      <c r="S10">
        <v>149.53</v>
      </c>
      <c r="T10">
        <v>43531</v>
      </c>
      <c r="U10">
        <v>172.63</v>
      </c>
      <c r="V10">
        <v>55216</v>
      </c>
      <c r="W10">
        <v>194.7</v>
      </c>
      <c r="X10">
        <v>2026</v>
      </c>
      <c r="Y10">
        <v>2260</v>
      </c>
      <c r="Z10">
        <v>181</v>
      </c>
      <c r="AA10">
        <v>344</v>
      </c>
      <c r="AB10">
        <v>4051</v>
      </c>
      <c r="AC10">
        <v>1054</v>
      </c>
      <c r="AD10">
        <v>306889</v>
      </c>
      <c r="AE10">
        <v>2391</v>
      </c>
      <c r="AF10">
        <v>2473</v>
      </c>
      <c r="AG10">
        <v>4864</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row>
    <row r="11" spans="1:159" ht="14.5" x14ac:dyDescent="0.35">
      <c r="A11" t="s">
        <v>84</v>
      </c>
      <c r="B11" t="s">
        <v>84</v>
      </c>
      <c r="C11">
        <v>206188</v>
      </c>
      <c r="D11">
        <v>166</v>
      </c>
      <c r="E11">
        <v>15347</v>
      </c>
      <c r="F11">
        <v>29788</v>
      </c>
      <c r="G11">
        <v>26156</v>
      </c>
      <c r="H11">
        <v>277645</v>
      </c>
      <c r="I11">
        <v>251489</v>
      </c>
      <c r="J11">
        <v>1258</v>
      </c>
      <c r="K11">
        <v>99.44</v>
      </c>
      <c r="L11">
        <v>96.98</v>
      </c>
      <c r="M11">
        <v>5.71</v>
      </c>
      <c r="N11">
        <v>103.38</v>
      </c>
      <c r="O11">
        <v>168320</v>
      </c>
      <c r="P11">
        <v>95.02</v>
      </c>
      <c r="Q11">
        <v>86.67</v>
      </c>
      <c r="R11">
        <v>37.39</v>
      </c>
      <c r="S11">
        <v>131.28</v>
      </c>
      <c r="T11">
        <v>38382</v>
      </c>
      <c r="U11">
        <v>134.84</v>
      </c>
      <c r="V11">
        <v>30715</v>
      </c>
      <c r="W11">
        <v>144.44</v>
      </c>
      <c r="X11">
        <v>1542</v>
      </c>
      <c r="Y11">
        <v>70</v>
      </c>
      <c r="Z11">
        <v>230</v>
      </c>
      <c r="AA11">
        <v>436</v>
      </c>
      <c r="AB11">
        <v>2079</v>
      </c>
      <c r="AC11">
        <v>551</v>
      </c>
      <c r="AD11">
        <v>201409</v>
      </c>
      <c r="AE11">
        <v>1049</v>
      </c>
      <c r="AF11">
        <v>1479</v>
      </c>
      <c r="AG11">
        <v>2528</v>
      </c>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row>
    <row r="12" spans="1:159" ht="14.5" x14ac:dyDescent="0.35">
      <c r="A12" t="s">
        <v>85</v>
      </c>
      <c r="B12" t="s">
        <v>85</v>
      </c>
      <c r="C12">
        <v>230044</v>
      </c>
      <c r="D12">
        <v>581</v>
      </c>
      <c r="E12">
        <v>16450</v>
      </c>
      <c r="F12">
        <v>27780</v>
      </c>
      <c r="G12">
        <v>20143</v>
      </c>
      <c r="H12">
        <v>294998</v>
      </c>
      <c r="I12">
        <v>274855</v>
      </c>
      <c r="J12">
        <v>1857</v>
      </c>
      <c r="K12">
        <v>95.28</v>
      </c>
      <c r="L12">
        <v>94.01</v>
      </c>
      <c r="M12">
        <v>6.67</v>
      </c>
      <c r="N12">
        <v>99.8</v>
      </c>
      <c r="O12">
        <v>196192</v>
      </c>
      <c r="P12">
        <v>96.68</v>
      </c>
      <c r="Q12">
        <v>88.01</v>
      </c>
      <c r="R12">
        <v>57.26</v>
      </c>
      <c r="S12">
        <v>152.1</v>
      </c>
      <c r="T12">
        <v>35009</v>
      </c>
      <c r="U12">
        <v>122.48</v>
      </c>
      <c r="V12">
        <v>27349</v>
      </c>
      <c r="W12">
        <v>207.72</v>
      </c>
      <c r="X12">
        <v>2539</v>
      </c>
      <c r="Y12">
        <v>435</v>
      </c>
      <c r="Z12">
        <v>430</v>
      </c>
      <c r="AA12">
        <v>423</v>
      </c>
      <c r="AB12">
        <v>1454</v>
      </c>
      <c r="AC12">
        <v>429</v>
      </c>
      <c r="AD12">
        <v>226162</v>
      </c>
      <c r="AE12">
        <v>1383</v>
      </c>
      <c r="AF12">
        <v>2026</v>
      </c>
      <c r="AG12">
        <v>3409</v>
      </c>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row>
    <row r="13" spans="1:159" ht="14.5" x14ac:dyDescent="0.35">
      <c r="A13" t="s">
        <v>807</v>
      </c>
      <c r="B13" t="s">
        <v>807</v>
      </c>
      <c r="C13">
        <v>171233</v>
      </c>
      <c r="D13">
        <v>35</v>
      </c>
      <c r="E13">
        <v>12880</v>
      </c>
      <c r="F13">
        <v>18398</v>
      </c>
      <c r="G13">
        <v>11079</v>
      </c>
      <c r="H13">
        <v>213625</v>
      </c>
      <c r="I13">
        <v>202546</v>
      </c>
      <c r="J13">
        <v>1551</v>
      </c>
      <c r="K13">
        <v>87.78</v>
      </c>
      <c r="L13">
        <v>85.47</v>
      </c>
      <c r="M13">
        <v>5.18</v>
      </c>
      <c r="N13">
        <v>90.86</v>
      </c>
      <c r="O13">
        <v>144429</v>
      </c>
      <c r="P13">
        <v>96.69</v>
      </c>
      <c r="Q13">
        <v>81.36</v>
      </c>
      <c r="R13">
        <v>47.42</v>
      </c>
      <c r="S13">
        <v>142.47</v>
      </c>
      <c r="T13">
        <v>25765</v>
      </c>
      <c r="U13">
        <v>110.16</v>
      </c>
      <c r="V13">
        <v>23310</v>
      </c>
      <c r="W13">
        <v>218.01</v>
      </c>
      <c r="X13">
        <v>1176</v>
      </c>
      <c r="Y13">
        <v>31</v>
      </c>
      <c r="Z13">
        <v>505</v>
      </c>
      <c r="AA13">
        <v>151</v>
      </c>
      <c r="AB13">
        <v>972</v>
      </c>
      <c r="AC13">
        <v>281</v>
      </c>
      <c r="AD13">
        <v>169605</v>
      </c>
      <c r="AE13">
        <v>1328</v>
      </c>
      <c r="AF13">
        <v>1172</v>
      </c>
      <c r="AG13">
        <v>2500</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row>
    <row r="14" spans="1:159" ht="14.5" x14ac:dyDescent="0.35">
      <c r="A14" t="s">
        <v>86</v>
      </c>
      <c r="B14" t="s">
        <v>87</v>
      </c>
      <c r="C14">
        <v>842</v>
      </c>
      <c r="D14">
        <v>0</v>
      </c>
      <c r="E14">
        <v>64</v>
      </c>
      <c r="F14">
        <v>138</v>
      </c>
      <c r="G14">
        <v>173</v>
      </c>
      <c r="H14">
        <v>1217</v>
      </c>
      <c r="I14">
        <v>1044</v>
      </c>
      <c r="J14">
        <v>16</v>
      </c>
      <c r="K14">
        <v>121.09</v>
      </c>
      <c r="L14">
        <v>117.99</v>
      </c>
      <c r="M14">
        <v>6.49</v>
      </c>
      <c r="N14">
        <v>126.21</v>
      </c>
      <c r="O14">
        <v>684</v>
      </c>
      <c r="P14">
        <v>91.47</v>
      </c>
      <c r="Q14">
        <v>87.11</v>
      </c>
      <c r="R14">
        <v>51.57</v>
      </c>
      <c r="S14">
        <v>142.77000000000001</v>
      </c>
      <c r="T14">
        <v>190</v>
      </c>
      <c r="U14">
        <v>173.99</v>
      </c>
      <c r="V14">
        <v>125</v>
      </c>
      <c r="W14">
        <v>0</v>
      </c>
      <c r="X14">
        <v>0</v>
      </c>
      <c r="Y14">
        <v>0</v>
      </c>
      <c r="Z14">
        <v>0</v>
      </c>
      <c r="AA14">
        <v>0</v>
      </c>
      <c r="AB14">
        <v>0</v>
      </c>
      <c r="AC14">
        <v>4</v>
      </c>
      <c r="AD14">
        <v>821</v>
      </c>
      <c r="AE14">
        <v>5</v>
      </c>
      <c r="AF14">
        <v>1</v>
      </c>
      <c r="AG14">
        <v>6</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row>
    <row r="15" spans="1:159" ht="14.5" x14ac:dyDescent="0.35">
      <c r="A15" t="s">
        <v>88</v>
      </c>
      <c r="B15" t="s">
        <v>89</v>
      </c>
      <c r="C15">
        <v>8322</v>
      </c>
      <c r="D15">
        <v>0</v>
      </c>
      <c r="E15">
        <v>181</v>
      </c>
      <c r="F15">
        <v>404</v>
      </c>
      <c r="G15">
        <v>121</v>
      </c>
      <c r="H15">
        <v>9028</v>
      </c>
      <c r="I15">
        <v>8907</v>
      </c>
      <c r="J15">
        <v>68</v>
      </c>
      <c r="K15">
        <v>91.8</v>
      </c>
      <c r="L15">
        <v>88.66</v>
      </c>
      <c r="M15">
        <v>2.37</v>
      </c>
      <c r="N15">
        <v>93.8</v>
      </c>
      <c r="O15">
        <v>7270</v>
      </c>
      <c r="P15">
        <v>89.43</v>
      </c>
      <c r="Q15">
        <v>78.489999999999995</v>
      </c>
      <c r="R15">
        <v>42.36</v>
      </c>
      <c r="S15">
        <v>130.13</v>
      </c>
      <c r="T15">
        <v>487</v>
      </c>
      <c r="U15">
        <v>110.97</v>
      </c>
      <c r="V15">
        <v>488</v>
      </c>
      <c r="W15">
        <v>145.28</v>
      </c>
      <c r="X15">
        <v>52</v>
      </c>
      <c r="Y15">
        <v>0</v>
      </c>
      <c r="Z15">
        <v>6</v>
      </c>
      <c r="AA15">
        <v>3</v>
      </c>
      <c r="AB15">
        <v>0</v>
      </c>
      <c r="AC15">
        <v>6</v>
      </c>
      <c r="AD15">
        <v>7625</v>
      </c>
      <c r="AE15">
        <v>25</v>
      </c>
      <c r="AF15">
        <v>101</v>
      </c>
      <c r="AG15">
        <v>126</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row>
    <row r="16" spans="1:159" ht="14.5" x14ac:dyDescent="0.35">
      <c r="A16" t="s">
        <v>90</v>
      </c>
      <c r="B16" t="s">
        <v>91</v>
      </c>
      <c r="C16">
        <v>4785</v>
      </c>
      <c r="D16">
        <v>0</v>
      </c>
      <c r="E16">
        <v>170</v>
      </c>
      <c r="F16">
        <v>2442</v>
      </c>
      <c r="G16">
        <v>249</v>
      </c>
      <c r="H16">
        <v>7646</v>
      </c>
      <c r="I16">
        <v>7397</v>
      </c>
      <c r="J16">
        <v>6</v>
      </c>
      <c r="K16">
        <v>95.48</v>
      </c>
      <c r="L16">
        <v>93.63</v>
      </c>
      <c r="M16">
        <v>2.5099999999999998</v>
      </c>
      <c r="N16">
        <v>97.8</v>
      </c>
      <c r="O16">
        <v>4236</v>
      </c>
      <c r="P16">
        <v>90.86</v>
      </c>
      <c r="Q16">
        <v>84.35</v>
      </c>
      <c r="R16">
        <v>8.7899999999999991</v>
      </c>
      <c r="S16">
        <v>99.59</v>
      </c>
      <c r="T16">
        <v>2554</v>
      </c>
      <c r="U16">
        <v>113.05</v>
      </c>
      <c r="V16">
        <v>503</v>
      </c>
      <c r="W16">
        <v>0</v>
      </c>
      <c r="X16">
        <v>0</v>
      </c>
      <c r="Y16">
        <v>0</v>
      </c>
      <c r="Z16">
        <v>21</v>
      </c>
      <c r="AA16">
        <v>2</v>
      </c>
      <c r="AB16">
        <v>27</v>
      </c>
      <c r="AC16">
        <v>2</v>
      </c>
      <c r="AD16">
        <v>4779</v>
      </c>
      <c r="AE16">
        <v>16</v>
      </c>
      <c r="AF16">
        <v>6</v>
      </c>
      <c r="AG16">
        <v>22</v>
      </c>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row>
    <row r="17" spans="1:159" ht="14.5" x14ac:dyDescent="0.35">
      <c r="A17" t="s">
        <v>92</v>
      </c>
      <c r="B17" t="s">
        <v>93</v>
      </c>
      <c r="C17">
        <v>3193</v>
      </c>
      <c r="D17">
        <v>1</v>
      </c>
      <c r="E17">
        <v>237</v>
      </c>
      <c r="F17">
        <v>378</v>
      </c>
      <c r="G17">
        <v>903</v>
      </c>
      <c r="H17">
        <v>4712</v>
      </c>
      <c r="I17">
        <v>3809</v>
      </c>
      <c r="J17">
        <v>11</v>
      </c>
      <c r="K17">
        <v>116.59</v>
      </c>
      <c r="L17">
        <v>114.3</v>
      </c>
      <c r="M17">
        <v>5.64</v>
      </c>
      <c r="N17">
        <v>121.38</v>
      </c>
      <c r="O17">
        <v>2277</v>
      </c>
      <c r="P17">
        <v>101.14</v>
      </c>
      <c r="Q17">
        <v>93.07</v>
      </c>
      <c r="R17">
        <v>60.7</v>
      </c>
      <c r="S17">
        <v>161.41999999999999</v>
      </c>
      <c r="T17">
        <v>423</v>
      </c>
      <c r="U17">
        <v>165.72</v>
      </c>
      <c r="V17">
        <v>848</v>
      </c>
      <c r="W17">
        <v>0</v>
      </c>
      <c r="X17">
        <v>0</v>
      </c>
      <c r="Y17">
        <v>1</v>
      </c>
      <c r="Z17">
        <v>0</v>
      </c>
      <c r="AA17">
        <v>0</v>
      </c>
      <c r="AB17">
        <v>98</v>
      </c>
      <c r="AC17">
        <v>7</v>
      </c>
      <c r="AD17">
        <v>3191</v>
      </c>
      <c r="AE17">
        <v>21</v>
      </c>
      <c r="AF17">
        <v>8</v>
      </c>
      <c r="AG17">
        <v>29</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row>
    <row r="18" spans="1:159" ht="14.5" x14ac:dyDescent="0.35">
      <c r="A18" t="s">
        <v>94</v>
      </c>
      <c r="B18" t="s">
        <v>95</v>
      </c>
      <c r="C18">
        <v>1665</v>
      </c>
      <c r="D18">
        <v>0</v>
      </c>
      <c r="E18">
        <v>221</v>
      </c>
      <c r="F18">
        <v>284</v>
      </c>
      <c r="G18">
        <v>222</v>
      </c>
      <c r="H18">
        <v>2392</v>
      </c>
      <c r="I18">
        <v>2170</v>
      </c>
      <c r="J18">
        <v>22</v>
      </c>
      <c r="K18">
        <v>92.19</v>
      </c>
      <c r="L18">
        <v>91.02</v>
      </c>
      <c r="M18">
        <v>5.38</v>
      </c>
      <c r="N18">
        <v>94.91</v>
      </c>
      <c r="O18">
        <v>1323</v>
      </c>
      <c r="P18">
        <v>114.4</v>
      </c>
      <c r="Q18">
        <v>88.5</v>
      </c>
      <c r="R18">
        <v>53.99</v>
      </c>
      <c r="S18">
        <v>164.51</v>
      </c>
      <c r="T18">
        <v>500</v>
      </c>
      <c r="U18">
        <v>113.06</v>
      </c>
      <c r="V18">
        <v>270</v>
      </c>
      <c r="W18">
        <v>0</v>
      </c>
      <c r="X18">
        <v>0</v>
      </c>
      <c r="Y18">
        <v>0</v>
      </c>
      <c r="Z18">
        <v>3</v>
      </c>
      <c r="AA18">
        <v>0</v>
      </c>
      <c r="AB18">
        <v>0</v>
      </c>
      <c r="AC18">
        <v>6</v>
      </c>
      <c r="AD18">
        <v>1665</v>
      </c>
      <c r="AE18">
        <v>10</v>
      </c>
      <c r="AF18">
        <v>6</v>
      </c>
      <c r="AG18">
        <v>16</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row>
    <row r="19" spans="1:159" ht="14.5" x14ac:dyDescent="0.35">
      <c r="A19" t="s">
        <v>96</v>
      </c>
      <c r="B19" t="s">
        <v>97</v>
      </c>
      <c r="C19">
        <v>2483</v>
      </c>
      <c r="D19">
        <v>0</v>
      </c>
      <c r="E19">
        <v>119</v>
      </c>
      <c r="F19">
        <v>276</v>
      </c>
      <c r="G19">
        <v>983</v>
      </c>
      <c r="H19">
        <v>3861</v>
      </c>
      <c r="I19">
        <v>2878</v>
      </c>
      <c r="J19">
        <v>17</v>
      </c>
      <c r="K19">
        <v>107.24</v>
      </c>
      <c r="L19">
        <v>104.93</v>
      </c>
      <c r="M19">
        <v>7.09</v>
      </c>
      <c r="N19">
        <v>112.85</v>
      </c>
      <c r="O19">
        <v>1792</v>
      </c>
      <c r="P19">
        <v>130.96</v>
      </c>
      <c r="Q19">
        <v>94.33</v>
      </c>
      <c r="R19">
        <v>61.84</v>
      </c>
      <c r="S19">
        <v>189.44</v>
      </c>
      <c r="T19">
        <v>295</v>
      </c>
      <c r="U19">
        <v>155.43</v>
      </c>
      <c r="V19">
        <v>627</v>
      </c>
      <c r="W19">
        <v>170.78</v>
      </c>
      <c r="X19">
        <v>91</v>
      </c>
      <c r="Y19">
        <v>0</v>
      </c>
      <c r="Z19">
        <v>2</v>
      </c>
      <c r="AA19">
        <v>0</v>
      </c>
      <c r="AB19">
        <v>69</v>
      </c>
      <c r="AC19">
        <v>12</v>
      </c>
      <c r="AD19">
        <v>2443</v>
      </c>
      <c r="AE19">
        <v>44</v>
      </c>
      <c r="AF19">
        <v>7</v>
      </c>
      <c r="AG19">
        <v>51</v>
      </c>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row>
    <row r="20" spans="1:159" ht="14.5" x14ac:dyDescent="0.35">
      <c r="A20" t="s">
        <v>98</v>
      </c>
      <c r="B20" t="s">
        <v>99</v>
      </c>
      <c r="C20">
        <v>2045</v>
      </c>
      <c r="D20">
        <v>0</v>
      </c>
      <c r="E20">
        <v>148</v>
      </c>
      <c r="F20">
        <v>74</v>
      </c>
      <c r="G20">
        <v>248</v>
      </c>
      <c r="H20">
        <v>2515</v>
      </c>
      <c r="I20">
        <v>2267</v>
      </c>
      <c r="J20">
        <v>44</v>
      </c>
      <c r="K20">
        <v>99.53</v>
      </c>
      <c r="L20">
        <v>97.94</v>
      </c>
      <c r="M20">
        <v>5.23</v>
      </c>
      <c r="N20">
        <v>102.35</v>
      </c>
      <c r="O20">
        <v>1297</v>
      </c>
      <c r="P20">
        <v>127.52</v>
      </c>
      <c r="Q20">
        <v>92.01</v>
      </c>
      <c r="R20">
        <v>87.02</v>
      </c>
      <c r="S20">
        <v>212.29</v>
      </c>
      <c r="T20">
        <v>194</v>
      </c>
      <c r="U20">
        <v>133.84</v>
      </c>
      <c r="V20">
        <v>698</v>
      </c>
      <c r="W20">
        <v>0</v>
      </c>
      <c r="X20">
        <v>0</v>
      </c>
      <c r="Y20">
        <v>0</v>
      </c>
      <c r="Z20">
        <v>0</v>
      </c>
      <c r="AA20">
        <v>2</v>
      </c>
      <c r="AB20">
        <v>26</v>
      </c>
      <c r="AC20">
        <v>1</v>
      </c>
      <c r="AD20">
        <v>2014</v>
      </c>
      <c r="AE20">
        <v>77</v>
      </c>
      <c r="AF20">
        <v>259</v>
      </c>
      <c r="AG20">
        <v>336</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row>
    <row r="21" spans="1:159" ht="14.5" x14ac:dyDescent="0.35">
      <c r="A21" t="s">
        <v>100</v>
      </c>
      <c r="B21" t="s">
        <v>101</v>
      </c>
      <c r="C21">
        <v>4789</v>
      </c>
      <c r="D21">
        <v>1</v>
      </c>
      <c r="E21">
        <v>391</v>
      </c>
      <c r="F21">
        <v>441</v>
      </c>
      <c r="G21">
        <v>1297</v>
      </c>
      <c r="H21">
        <v>6919</v>
      </c>
      <c r="I21">
        <v>5622</v>
      </c>
      <c r="J21">
        <v>15</v>
      </c>
      <c r="K21">
        <v>125.53</v>
      </c>
      <c r="L21">
        <v>123.31</v>
      </c>
      <c r="M21">
        <v>10.210000000000001</v>
      </c>
      <c r="N21">
        <v>131.09</v>
      </c>
      <c r="O21">
        <v>2802</v>
      </c>
      <c r="P21">
        <v>112.2</v>
      </c>
      <c r="Q21">
        <v>106.89</v>
      </c>
      <c r="R21">
        <v>67.16</v>
      </c>
      <c r="S21">
        <v>178.55</v>
      </c>
      <c r="T21">
        <v>664</v>
      </c>
      <c r="U21">
        <v>184.71</v>
      </c>
      <c r="V21">
        <v>1107</v>
      </c>
      <c r="W21">
        <v>188.7</v>
      </c>
      <c r="X21">
        <v>9</v>
      </c>
      <c r="Y21">
        <v>0</v>
      </c>
      <c r="Z21">
        <v>1</v>
      </c>
      <c r="AA21">
        <v>1</v>
      </c>
      <c r="AB21">
        <v>111</v>
      </c>
      <c r="AC21">
        <v>30</v>
      </c>
      <c r="AD21">
        <v>4693</v>
      </c>
      <c r="AE21">
        <v>117</v>
      </c>
      <c r="AF21">
        <v>21</v>
      </c>
      <c r="AG21">
        <v>138</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row>
    <row r="22" spans="1:159" ht="14.5" x14ac:dyDescent="0.35">
      <c r="A22" t="s">
        <v>102</v>
      </c>
      <c r="B22" t="s">
        <v>103</v>
      </c>
      <c r="C22">
        <v>7988</v>
      </c>
      <c r="D22">
        <v>25</v>
      </c>
      <c r="E22">
        <v>637</v>
      </c>
      <c r="F22">
        <v>1193</v>
      </c>
      <c r="G22">
        <v>1548</v>
      </c>
      <c r="H22">
        <v>11391</v>
      </c>
      <c r="I22">
        <v>9843</v>
      </c>
      <c r="J22">
        <v>105</v>
      </c>
      <c r="K22">
        <v>136.32</v>
      </c>
      <c r="L22">
        <v>135.07</v>
      </c>
      <c r="M22">
        <v>12.88</v>
      </c>
      <c r="N22">
        <v>147.36000000000001</v>
      </c>
      <c r="O22">
        <v>5800</v>
      </c>
      <c r="P22">
        <v>121.01</v>
      </c>
      <c r="Q22">
        <v>113.28</v>
      </c>
      <c r="R22">
        <v>62</v>
      </c>
      <c r="S22">
        <v>177.22</v>
      </c>
      <c r="T22">
        <v>899</v>
      </c>
      <c r="U22">
        <v>230.23</v>
      </c>
      <c r="V22">
        <v>1793</v>
      </c>
      <c r="W22">
        <v>236.26</v>
      </c>
      <c r="X22">
        <v>47</v>
      </c>
      <c r="Y22">
        <v>18</v>
      </c>
      <c r="Z22">
        <v>3</v>
      </c>
      <c r="AA22">
        <v>4</v>
      </c>
      <c r="AB22">
        <v>107</v>
      </c>
      <c r="AC22">
        <v>63</v>
      </c>
      <c r="AD22">
        <v>7262</v>
      </c>
      <c r="AE22">
        <v>29</v>
      </c>
      <c r="AF22">
        <v>106</v>
      </c>
      <c r="AG22">
        <v>135</v>
      </c>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row>
    <row r="23" spans="1:159" ht="14.5" x14ac:dyDescent="0.35">
      <c r="A23" t="s">
        <v>104</v>
      </c>
      <c r="B23" t="s">
        <v>105</v>
      </c>
      <c r="C23">
        <v>3111</v>
      </c>
      <c r="D23">
        <v>0</v>
      </c>
      <c r="E23">
        <v>297</v>
      </c>
      <c r="F23">
        <v>677</v>
      </c>
      <c r="G23">
        <v>440</v>
      </c>
      <c r="H23">
        <v>4525</v>
      </c>
      <c r="I23">
        <v>4085</v>
      </c>
      <c r="J23">
        <v>13</v>
      </c>
      <c r="K23">
        <v>91.58</v>
      </c>
      <c r="L23">
        <v>88.18</v>
      </c>
      <c r="M23">
        <v>4.8899999999999997</v>
      </c>
      <c r="N23">
        <v>93.82</v>
      </c>
      <c r="O23">
        <v>1842</v>
      </c>
      <c r="P23">
        <v>92.55</v>
      </c>
      <c r="Q23">
        <v>86.13</v>
      </c>
      <c r="R23">
        <v>31.27</v>
      </c>
      <c r="S23">
        <v>120.8</v>
      </c>
      <c r="T23">
        <v>943</v>
      </c>
      <c r="U23">
        <v>101.7</v>
      </c>
      <c r="V23">
        <v>1178</v>
      </c>
      <c r="W23">
        <v>210.69</v>
      </c>
      <c r="X23">
        <v>24</v>
      </c>
      <c r="Y23">
        <v>0</v>
      </c>
      <c r="Z23">
        <v>1</v>
      </c>
      <c r="AA23">
        <v>26</v>
      </c>
      <c r="AB23">
        <v>24</v>
      </c>
      <c r="AC23">
        <v>9</v>
      </c>
      <c r="AD23">
        <v>3105</v>
      </c>
      <c r="AE23">
        <v>27</v>
      </c>
      <c r="AF23">
        <v>11</v>
      </c>
      <c r="AG23">
        <v>38</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row>
    <row r="24" spans="1:159" ht="14.5" x14ac:dyDescent="0.35">
      <c r="A24" t="s">
        <v>106</v>
      </c>
      <c r="B24" t="s">
        <v>107</v>
      </c>
      <c r="C24">
        <v>531</v>
      </c>
      <c r="D24">
        <v>0</v>
      </c>
      <c r="E24">
        <v>170</v>
      </c>
      <c r="F24">
        <v>196</v>
      </c>
      <c r="G24">
        <v>25</v>
      </c>
      <c r="H24">
        <v>922</v>
      </c>
      <c r="I24">
        <v>897</v>
      </c>
      <c r="J24">
        <v>0</v>
      </c>
      <c r="K24">
        <v>85.62</v>
      </c>
      <c r="L24">
        <v>81.81</v>
      </c>
      <c r="M24">
        <v>8.16</v>
      </c>
      <c r="N24">
        <v>90.77</v>
      </c>
      <c r="O24">
        <v>475</v>
      </c>
      <c r="P24">
        <v>102.72</v>
      </c>
      <c r="Q24">
        <v>84.13</v>
      </c>
      <c r="R24">
        <v>64.34</v>
      </c>
      <c r="S24">
        <v>167.06</v>
      </c>
      <c r="T24">
        <v>305</v>
      </c>
      <c r="U24">
        <v>117.99</v>
      </c>
      <c r="V24">
        <v>39</v>
      </c>
      <c r="W24">
        <v>156.05000000000001</v>
      </c>
      <c r="X24">
        <v>8</v>
      </c>
      <c r="Y24">
        <v>0</v>
      </c>
      <c r="Z24">
        <v>0</v>
      </c>
      <c r="AA24">
        <v>0</v>
      </c>
      <c r="AB24">
        <v>0</v>
      </c>
      <c r="AC24">
        <v>0</v>
      </c>
      <c r="AD24">
        <v>529</v>
      </c>
      <c r="AE24">
        <v>8</v>
      </c>
      <c r="AF24">
        <v>1</v>
      </c>
      <c r="AG24">
        <v>9</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row>
    <row r="25" spans="1:159" ht="14.5" x14ac:dyDescent="0.35">
      <c r="A25" t="s">
        <v>108</v>
      </c>
      <c r="B25" t="s">
        <v>109</v>
      </c>
      <c r="C25">
        <v>5339</v>
      </c>
      <c r="D25">
        <v>0</v>
      </c>
      <c r="E25">
        <v>242</v>
      </c>
      <c r="F25">
        <v>331</v>
      </c>
      <c r="G25">
        <v>702</v>
      </c>
      <c r="H25">
        <v>6614</v>
      </c>
      <c r="I25">
        <v>5912</v>
      </c>
      <c r="J25">
        <v>35</v>
      </c>
      <c r="K25">
        <v>116.72</v>
      </c>
      <c r="L25">
        <v>116.9</v>
      </c>
      <c r="M25">
        <v>5.88</v>
      </c>
      <c r="N25">
        <v>119.84</v>
      </c>
      <c r="O25">
        <v>5008</v>
      </c>
      <c r="P25">
        <v>109.39</v>
      </c>
      <c r="Q25">
        <v>93.27</v>
      </c>
      <c r="R25">
        <v>46.78</v>
      </c>
      <c r="S25">
        <v>155.22999999999999</v>
      </c>
      <c r="T25">
        <v>498</v>
      </c>
      <c r="U25">
        <v>146.12</v>
      </c>
      <c r="V25">
        <v>197</v>
      </c>
      <c r="W25">
        <v>0</v>
      </c>
      <c r="X25">
        <v>0</v>
      </c>
      <c r="Y25">
        <v>0</v>
      </c>
      <c r="Z25">
        <v>1</v>
      </c>
      <c r="AA25">
        <v>1</v>
      </c>
      <c r="AB25">
        <v>1</v>
      </c>
      <c r="AC25">
        <v>14</v>
      </c>
      <c r="AD25">
        <v>5339</v>
      </c>
      <c r="AE25">
        <v>40</v>
      </c>
      <c r="AF25">
        <v>24</v>
      </c>
      <c r="AG25">
        <v>64</v>
      </c>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row>
    <row r="26" spans="1:159" ht="14.5" x14ac:dyDescent="0.35">
      <c r="A26" t="s">
        <v>110</v>
      </c>
      <c r="B26" t="s">
        <v>111</v>
      </c>
      <c r="C26">
        <v>13330</v>
      </c>
      <c r="D26">
        <v>312</v>
      </c>
      <c r="E26">
        <v>407</v>
      </c>
      <c r="F26">
        <v>865</v>
      </c>
      <c r="G26">
        <v>1608</v>
      </c>
      <c r="H26">
        <v>16522</v>
      </c>
      <c r="I26">
        <v>14914</v>
      </c>
      <c r="J26">
        <v>69</v>
      </c>
      <c r="K26">
        <v>120.06</v>
      </c>
      <c r="L26">
        <v>115.43</v>
      </c>
      <c r="M26">
        <v>5.84</v>
      </c>
      <c r="N26">
        <v>122.48</v>
      </c>
      <c r="O26">
        <v>11397</v>
      </c>
      <c r="P26">
        <v>109.1</v>
      </c>
      <c r="Q26">
        <v>95.43</v>
      </c>
      <c r="R26">
        <v>45.31</v>
      </c>
      <c r="S26">
        <v>151.03</v>
      </c>
      <c r="T26">
        <v>1114</v>
      </c>
      <c r="U26">
        <v>167.74</v>
      </c>
      <c r="V26">
        <v>1657</v>
      </c>
      <c r="W26">
        <v>159.71</v>
      </c>
      <c r="X26">
        <v>2</v>
      </c>
      <c r="Y26">
        <v>0</v>
      </c>
      <c r="Z26">
        <v>7</v>
      </c>
      <c r="AA26">
        <v>5</v>
      </c>
      <c r="AB26">
        <v>91</v>
      </c>
      <c r="AC26">
        <v>28</v>
      </c>
      <c r="AD26">
        <v>13291</v>
      </c>
      <c r="AE26">
        <v>94</v>
      </c>
      <c r="AF26">
        <v>102</v>
      </c>
      <c r="AG26">
        <v>196</v>
      </c>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row>
    <row r="27" spans="1:159" ht="14.5" x14ac:dyDescent="0.35">
      <c r="A27" t="s">
        <v>112</v>
      </c>
      <c r="B27" t="s">
        <v>113</v>
      </c>
      <c r="C27">
        <v>1266</v>
      </c>
      <c r="D27">
        <v>0</v>
      </c>
      <c r="E27">
        <v>251</v>
      </c>
      <c r="F27">
        <v>158</v>
      </c>
      <c r="G27">
        <v>217</v>
      </c>
      <c r="H27">
        <v>1892</v>
      </c>
      <c r="I27">
        <v>1675</v>
      </c>
      <c r="J27">
        <v>4</v>
      </c>
      <c r="K27">
        <v>93.07</v>
      </c>
      <c r="L27">
        <v>90.25</v>
      </c>
      <c r="M27">
        <v>3.09</v>
      </c>
      <c r="N27">
        <v>95.09</v>
      </c>
      <c r="O27">
        <v>888</v>
      </c>
      <c r="P27">
        <v>133.16</v>
      </c>
      <c r="Q27">
        <v>75.790000000000006</v>
      </c>
      <c r="R27">
        <v>73.44</v>
      </c>
      <c r="S27">
        <v>204.03</v>
      </c>
      <c r="T27">
        <v>343</v>
      </c>
      <c r="U27">
        <v>109.67</v>
      </c>
      <c r="V27">
        <v>347</v>
      </c>
      <c r="W27">
        <v>155.41999999999999</v>
      </c>
      <c r="X27">
        <v>21</v>
      </c>
      <c r="Y27">
        <v>0</v>
      </c>
      <c r="Z27">
        <v>1</v>
      </c>
      <c r="AA27">
        <v>5</v>
      </c>
      <c r="AB27">
        <v>47</v>
      </c>
      <c r="AC27">
        <v>9</v>
      </c>
      <c r="AD27">
        <v>1262</v>
      </c>
      <c r="AE27">
        <v>7</v>
      </c>
      <c r="AF27">
        <v>12</v>
      </c>
      <c r="AG27">
        <v>19</v>
      </c>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row>
    <row r="28" spans="1:159" ht="14.5" x14ac:dyDescent="0.35">
      <c r="A28" t="s">
        <v>114</v>
      </c>
      <c r="B28" t="s">
        <v>115</v>
      </c>
      <c r="C28">
        <v>9317</v>
      </c>
      <c r="D28">
        <v>0</v>
      </c>
      <c r="E28">
        <v>477</v>
      </c>
      <c r="F28">
        <v>2107</v>
      </c>
      <c r="G28">
        <v>728</v>
      </c>
      <c r="H28">
        <v>12629</v>
      </c>
      <c r="I28">
        <v>11901</v>
      </c>
      <c r="J28">
        <v>22</v>
      </c>
      <c r="K28">
        <v>107.64</v>
      </c>
      <c r="L28">
        <v>104.92</v>
      </c>
      <c r="M28">
        <v>5.19</v>
      </c>
      <c r="N28">
        <v>112.15</v>
      </c>
      <c r="O28">
        <v>8528</v>
      </c>
      <c r="P28">
        <v>100.63</v>
      </c>
      <c r="Q28">
        <v>92.28</v>
      </c>
      <c r="R28">
        <v>19.91</v>
      </c>
      <c r="S28">
        <v>119.98</v>
      </c>
      <c r="T28">
        <v>2211</v>
      </c>
      <c r="U28">
        <v>148.9</v>
      </c>
      <c r="V28">
        <v>699</v>
      </c>
      <c r="W28">
        <v>129.66</v>
      </c>
      <c r="X28">
        <v>79</v>
      </c>
      <c r="Y28">
        <v>0</v>
      </c>
      <c r="Z28">
        <v>14</v>
      </c>
      <c r="AA28">
        <v>10</v>
      </c>
      <c r="AB28">
        <v>41</v>
      </c>
      <c r="AC28">
        <v>17</v>
      </c>
      <c r="AD28">
        <v>9251</v>
      </c>
      <c r="AE28">
        <v>49</v>
      </c>
      <c r="AF28">
        <v>48</v>
      </c>
      <c r="AG28">
        <v>97</v>
      </c>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row>
    <row r="29" spans="1:159" ht="14.5" x14ac:dyDescent="0.35">
      <c r="A29" t="s">
        <v>116</v>
      </c>
      <c r="B29" t="s">
        <v>117</v>
      </c>
      <c r="C29">
        <v>11227</v>
      </c>
      <c r="D29">
        <v>66</v>
      </c>
      <c r="E29">
        <v>508</v>
      </c>
      <c r="F29">
        <v>1100</v>
      </c>
      <c r="G29">
        <v>1488</v>
      </c>
      <c r="H29">
        <v>14389</v>
      </c>
      <c r="I29">
        <v>12901</v>
      </c>
      <c r="J29">
        <v>55</v>
      </c>
      <c r="K29">
        <v>105.17</v>
      </c>
      <c r="L29">
        <v>104.32</v>
      </c>
      <c r="M29">
        <v>8.7200000000000006</v>
      </c>
      <c r="N29">
        <v>111.42</v>
      </c>
      <c r="O29">
        <v>9237</v>
      </c>
      <c r="P29">
        <v>110.71</v>
      </c>
      <c r="Q29">
        <v>98.74</v>
      </c>
      <c r="R29">
        <v>50.23</v>
      </c>
      <c r="S29">
        <v>159.30000000000001</v>
      </c>
      <c r="T29">
        <v>1277</v>
      </c>
      <c r="U29">
        <v>149.29</v>
      </c>
      <c r="V29">
        <v>1657</v>
      </c>
      <c r="W29">
        <v>142.54</v>
      </c>
      <c r="X29">
        <v>23</v>
      </c>
      <c r="Y29">
        <v>0</v>
      </c>
      <c r="Z29">
        <v>5</v>
      </c>
      <c r="AA29">
        <v>9</v>
      </c>
      <c r="AB29">
        <v>69</v>
      </c>
      <c r="AC29">
        <v>43</v>
      </c>
      <c r="AD29">
        <v>11039</v>
      </c>
      <c r="AE29">
        <v>110</v>
      </c>
      <c r="AF29">
        <v>25</v>
      </c>
      <c r="AG29">
        <v>135</v>
      </c>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row>
    <row r="30" spans="1:159" ht="14.5" x14ac:dyDescent="0.35">
      <c r="A30" t="s">
        <v>118</v>
      </c>
      <c r="B30" t="s">
        <v>119</v>
      </c>
      <c r="C30">
        <v>12691</v>
      </c>
      <c r="D30">
        <v>54</v>
      </c>
      <c r="E30">
        <v>162</v>
      </c>
      <c r="F30">
        <v>1331</v>
      </c>
      <c r="G30">
        <v>1508</v>
      </c>
      <c r="H30">
        <v>15746</v>
      </c>
      <c r="I30">
        <v>14238</v>
      </c>
      <c r="J30">
        <v>45</v>
      </c>
      <c r="K30">
        <v>118.31</v>
      </c>
      <c r="L30">
        <v>114.88</v>
      </c>
      <c r="M30">
        <v>10.06</v>
      </c>
      <c r="N30">
        <v>127.46</v>
      </c>
      <c r="O30">
        <v>9635</v>
      </c>
      <c r="P30">
        <v>104.64</v>
      </c>
      <c r="Q30">
        <v>98.09</v>
      </c>
      <c r="R30">
        <v>42.48</v>
      </c>
      <c r="S30">
        <v>145.44</v>
      </c>
      <c r="T30">
        <v>1320</v>
      </c>
      <c r="U30">
        <v>176.65</v>
      </c>
      <c r="V30">
        <v>1971</v>
      </c>
      <c r="W30">
        <v>0</v>
      </c>
      <c r="X30">
        <v>0</v>
      </c>
      <c r="Y30">
        <v>0</v>
      </c>
      <c r="Z30">
        <v>14</v>
      </c>
      <c r="AA30">
        <v>15</v>
      </c>
      <c r="AB30">
        <v>168</v>
      </c>
      <c r="AC30">
        <v>43</v>
      </c>
      <c r="AD30">
        <v>11751</v>
      </c>
      <c r="AE30">
        <v>109</v>
      </c>
      <c r="AF30">
        <v>226</v>
      </c>
      <c r="AG30">
        <v>335</v>
      </c>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row>
    <row r="31" spans="1:159" ht="14.5" x14ac:dyDescent="0.35">
      <c r="A31" t="s">
        <v>120</v>
      </c>
      <c r="B31" t="s">
        <v>121</v>
      </c>
      <c r="C31">
        <v>33593</v>
      </c>
      <c r="D31">
        <v>269</v>
      </c>
      <c r="E31">
        <v>6259</v>
      </c>
      <c r="F31">
        <v>4827</v>
      </c>
      <c r="G31">
        <v>3143</v>
      </c>
      <c r="H31">
        <v>48091</v>
      </c>
      <c r="I31">
        <v>44948</v>
      </c>
      <c r="J31">
        <v>315</v>
      </c>
      <c r="K31">
        <v>99.04</v>
      </c>
      <c r="L31">
        <v>97.7</v>
      </c>
      <c r="M31">
        <v>8.77</v>
      </c>
      <c r="N31">
        <v>105.74</v>
      </c>
      <c r="O31">
        <v>29875</v>
      </c>
      <c r="P31">
        <v>88.72</v>
      </c>
      <c r="Q31">
        <v>84.31</v>
      </c>
      <c r="R31">
        <v>89.4</v>
      </c>
      <c r="S31">
        <v>175.96</v>
      </c>
      <c r="T31">
        <v>7584</v>
      </c>
      <c r="U31">
        <v>127.97</v>
      </c>
      <c r="V31">
        <v>1811</v>
      </c>
      <c r="W31">
        <v>124.25</v>
      </c>
      <c r="X31">
        <v>33</v>
      </c>
      <c r="Y31">
        <v>104</v>
      </c>
      <c r="Z31">
        <v>33</v>
      </c>
      <c r="AA31">
        <v>200</v>
      </c>
      <c r="AB31">
        <v>35</v>
      </c>
      <c r="AC31">
        <v>75</v>
      </c>
      <c r="AD31">
        <v>32181</v>
      </c>
      <c r="AE31">
        <v>157</v>
      </c>
      <c r="AF31">
        <v>139</v>
      </c>
      <c r="AG31">
        <v>296</v>
      </c>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row>
    <row r="32" spans="1:159" ht="14.5" x14ac:dyDescent="0.35">
      <c r="A32" t="s">
        <v>122</v>
      </c>
      <c r="B32" t="s">
        <v>123</v>
      </c>
      <c r="C32">
        <v>2310</v>
      </c>
      <c r="D32">
        <v>0</v>
      </c>
      <c r="E32">
        <v>126</v>
      </c>
      <c r="F32">
        <v>1361</v>
      </c>
      <c r="G32">
        <v>402</v>
      </c>
      <c r="H32">
        <v>4199</v>
      </c>
      <c r="I32">
        <v>3797</v>
      </c>
      <c r="J32">
        <v>120</v>
      </c>
      <c r="K32">
        <v>94.32</v>
      </c>
      <c r="L32">
        <v>100.11</v>
      </c>
      <c r="M32">
        <v>5.54</v>
      </c>
      <c r="N32">
        <v>97.91</v>
      </c>
      <c r="O32">
        <v>1670</v>
      </c>
      <c r="P32">
        <v>81.81</v>
      </c>
      <c r="Q32">
        <v>92.82</v>
      </c>
      <c r="R32">
        <v>19.100000000000001</v>
      </c>
      <c r="S32">
        <v>100.55</v>
      </c>
      <c r="T32">
        <v>1363</v>
      </c>
      <c r="U32">
        <v>121.98</v>
      </c>
      <c r="V32">
        <v>552</v>
      </c>
      <c r="W32">
        <v>212.85</v>
      </c>
      <c r="X32">
        <v>114</v>
      </c>
      <c r="Y32">
        <v>0</v>
      </c>
      <c r="Z32">
        <v>2</v>
      </c>
      <c r="AA32">
        <v>7</v>
      </c>
      <c r="AB32">
        <v>7</v>
      </c>
      <c r="AC32">
        <v>8</v>
      </c>
      <c r="AD32">
        <v>2310</v>
      </c>
      <c r="AE32">
        <v>5</v>
      </c>
      <c r="AF32">
        <v>24</v>
      </c>
      <c r="AG32">
        <v>29</v>
      </c>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row>
    <row r="33" spans="1:159" ht="14.5" x14ac:dyDescent="0.35">
      <c r="A33" t="s">
        <v>124</v>
      </c>
      <c r="B33" t="s">
        <v>125</v>
      </c>
      <c r="C33">
        <v>10100</v>
      </c>
      <c r="D33">
        <v>0</v>
      </c>
      <c r="E33">
        <v>536</v>
      </c>
      <c r="F33">
        <v>947</v>
      </c>
      <c r="G33">
        <v>235</v>
      </c>
      <c r="H33">
        <v>11818</v>
      </c>
      <c r="I33">
        <v>11583</v>
      </c>
      <c r="J33">
        <v>3</v>
      </c>
      <c r="K33">
        <v>83.27</v>
      </c>
      <c r="L33">
        <v>79.73</v>
      </c>
      <c r="M33">
        <v>3.04</v>
      </c>
      <c r="N33">
        <v>86</v>
      </c>
      <c r="O33">
        <v>8387</v>
      </c>
      <c r="P33">
        <v>99.34</v>
      </c>
      <c r="Q33">
        <v>78.78</v>
      </c>
      <c r="R33">
        <v>64.02</v>
      </c>
      <c r="S33">
        <v>161.9</v>
      </c>
      <c r="T33">
        <v>1316</v>
      </c>
      <c r="U33">
        <v>104.11</v>
      </c>
      <c r="V33">
        <v>1650</v>
      </c>
      <c r="W33">
        <v>187.75</v>
      </c>
      <c r="X33">
        <v>85</v>
      </c>
      <c r="Y33">
        <v>0</v>
      </c>
      <c r="Z33">
        <v>62</v>
      </c>
      <c r="AA33">
        <v>12</v>
      </c>
      <c r="AB33">
        <v>21</v>
      </c>
      <c r="AC33">
        <v>7</v>
      </c>
      <c r="AD33">
        <v>10091</v>
      </c>
      <c r="AE33">
        <v>88</v>
      </c>
      <c r="AF33">
        <v>128</v>
      </c>
      <c r="AG33">
        <v>216</v>
      </c>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row>
    <row r="34" spans="1:159" ht="14.5" x14ac:dyDescent="0.35">
      <c r="A34" t="s">
        <v>126</v>
      </c>
      <c r="B34" t="s">
        <v>127</v>
      </c>
      <c r="C34">
        <v>1797</v>
      </c>
      <c r="D34">
        <v>0</v>
      </c>
      <c r="E34">
        <v>435</v>
      </c>
      <c r="F34">
        <v>201</v>
      </c>
      <c r="G34">
        <v>148</v>
      </c>
      <c r="H34">
        <v>2581</v>
      </c>
      <c r="I34">
        <v>2433</v>
      </c>
      <c r="J34">
        <v>8</v>
      </c>
      <c r="K34">
        <v>91.91</v>
      </c>
      <c r="L34">
        <v>89.27</v>
      </c>
      <c r="M34">
        <v>5.52</v>
      </c>
      <c r="N34">
        <v>96.31</v>
      </c>
      <c r="O34">
        <v>1191</v>
      </c>
      <c r="P34">
        <v>114.76</v>
      </c>
      <c r="Q34">
        <v>89.71</v>
      </c>
      <c r="R34">
        <v>61.67</v>
      </c>
      <c r="S34">
        <v>169.98</v>
      </c>
      <c r="T34">
        <v>555</v>
      </c>
      <c r="U34">
        <v>112.11</v>
      </c>
      <c r="V34">
        <v>481</v>
      </c>
      <c r="W34">
        <v>0</v>
      </c>
      <c r="X34">
        <v>0</v>
      </c>
      <c r="Y34">
        <v>0</v>
      </c>
      <c r="Z34">
        <v>2</v>
      </c>
      <c r="AA34">
        <v>4</v>
      </c>
      <c r="AB34">
        <v>3</v>
      </c>
      <c r="AC34">
        <v>3</v>
      </c>
      <c r="AD34">
        <v>1667</v>
      </c>
      <c r="AE34">
        <v>11</v>
      </c>
      <c r="AF34">
        <v>12</v>
      </c>
      <c r="AG34">
        <v>23</v>
      </c>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row>
    <row r="35" spans="1:159" ht="14.5" x14ac:dyDescent="0.35">
      <c r="A35" t="s">
        <v>128</v>
      </c>
      <c r="B35" t="s">
        <v>129</v>
      </c>
      <c r="C35">
        <v>810</v>
      </c>
      <c r="D35">
        <v>0</v>
      </c>
      <c r="E35">
        <v>90</v>
      </c>
      <c r="F35">
        <v>273</v>
      </c>
      <c r="G35">
        <v>98</v>
      </c>
      <c r="H35">
        <v>1271</v>
      </c>
      <c r="I35">
        <v>1173</v>
      </c>
      <c r="J35">
        <v>2</v>
      </c>
      <c r="K35">
        <v>95.57</v>
      </c>
      <c r="L35">
        <v>93.4</v>
      </c>
      <c r="M35">
        <v>4.1100000000000003</v>
      </c>
      <c r="N35">
        <v>98.14</v>
      </c>
      <c r="O35">
        <v>632</v>
      </c>
      <c r="P35">
        <v>105.95</v>
      </c>
      <c r="Q35">
        <v>90.62</v>
      </c>
      <c r="R35">
        <v>31.84</v>
      </c>
      <c r="S35">
        <v>134.66999999999999</v>
      </c>
      <c r="T35">
        <v>347</v>
      </c>
      <c r="U35">
        <v>103.85</v>
      </c>
      <c r="V35">
        <v>154</v>
      </c>
      <c r="W35">
        <v>0</v>
      </c>
      <c r="X35">
        <v>0</v>
      </c>
      <c r="Y35">
        <v>0</v>
      </c>
      <c r="Z35">
        <v>0</v>
      </c>
      <c r="AA35">
        <v>3</v>
      </c>
      <c r="AB35">
        <v>11</v>
      </c>
      <c r="AC35">
        <v>9</v>
      </c>
      <c r="AD35">
        <v>765</v>
      </c>
      <c r="AE35">
        <v>10</v>
      </c>
      <c r="AF35">
        <v>0</v>
      </c>
      <c r="AG35">
        <v>10</v>
      </c>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row>
    <row r="36" spans="1:159" ht="14.5" x14ac:dyDescent="0.35">
      <c r="A36" t="s">
        <v>130</v>
      </c>
      <c r="B36" t="s">
        <v>131</v>
      </c>
      <c r="C36">
        <v>21023</v>
      </c>
      <c r="D36">
        <v>11</v>
      </c>
      <c r="E36">
        <v>743</v>
      </c>
      <c r="F36">
        <v>3642</v>
      </c>
      <c r="G36">
        <v>448</v>
      </c>
      <c r="H36">
        <v>25867</v>
      </c>
      <c r="I36">
        <v>25419</v>
      </c>
      <c r="J36">
        <v>78</v>
      </c>
      <c r="K36">
        <v>82.65</v>
      </c>
      <c r="L36">
        <v>84.08</v>
      </c>
      <c r="M36">
        <v>3.89</v>
      </c>
      <c r="N36">
        <v>86.17</v>
      </c>
      <c r="O36">
        <v>17093</v>
      </c>
      <c r="P36">
        <v>82.75</v>
      </c>
      <c r="Q36">
        <v>77.5</v>
      </c>
      <c r="R36">
        <v>40.950000000000003</v>
      </c>
      <c r="S36">
        <v>123.28</v>
      </c>
      <c r="T36">
        <v>4320</v>
      </c>
      <c r="U36">
        <v>103.31</v>
      </c>
      <c r="V36">
        <v>3613</v>
      </c>
      <c r="W36">
        <v>127.2</v>
      </c>
      <c r="X36">
        <v>7</v>
      </c>
      <c r="Y36">
        <v>0</v>
      </c>
      <c r="Z36">
        <v>159</v>
      </c>
      <c r="AA36">
        <v>4</v>
      </c>
      <c r="AB36">
        <v>58</v>
      </c>
      <c r="AC36">
        <v>17</v>
      </c>
      <c r="AD36">
        <v>20948</v>
      </c>
      <c r="AE36">
        <v>124</v>
      </c>
      <c r="AF36">
        <v>431</v>
      </c>
      <c r="AG36">
        <v>555</v>
      </c>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row>
    <row r="37" spans="1:159" ht="14.5" x14ac:dyDescent="0.35">
      <c r="A37" t="s">
        <v>132</v>
      </c>
      <c r="B37" t="s">
        <v>133</v>
      </c>
      <c r="C37">
        <v>4909</v>
      </c>
      <c r="D37">
        <v>0</v>
      </c>
      <c r="E37">
        <v>166</v>
      </c>
      <c r="F37">
        <v>906</v>
      </c>
      <c r="G37">
        <v>427</v>
      </c>
      <c r="H37">
        <v>6408</v>
      </c>
      <c r="I37">
        <v>5981</v>
      </c>
      <c r="J37">
        <v>7</v>
      </c>
      <c r="K37">
        <v>85.56</v>
      </c>
      <c r="L37">
        <v>82.42</v>
      </c>
      <c r="M37">
        <v>2.0499999999999998</v>
      </c>
      <c r="N37">
        <v>87.57</v>
      </c>
      <c r="O37">
        <v>4183</v>
      </c>
      <c r="P37">
        <v>85.43</v>
      </c>
      <c r="Q37">
        <v>75.010000000000005</v>
      </c>
      <c r="R37">
        <v>24.45</v>
      </c>
      <c r="S37">
        <v>109.85</v>
      </c>
      <c r="T37">
        <v>1038</v>
      </c>
      <c r="U37">
        <v>114.66</v>
      </c>
      <c r="V37">
        <v>574</v>
      </c>
      <c r="W37">
        <v>353.92</v>
      </c>
      <c r="X37">
        <v>6</v>
      </c>
      <c r="Y37">
        <v>0</v>
      </c>
      <c r="Z37">
        <v>13</v>
      </c>
      <c r="AA37">
        <v>0</v>
      </c>
      <c r="AB37">
        <v>29</v>
      </c>
      <c r="AC37">
        <v>3</v>
      </c>
      <c r="AD37">
        <v>4872</v>
      </c>
      <c r="AE37">
        <v>8</v>
      </c>
      <c r="AF37">
        <v>34</v>
      </c>
      <c r="AG37">
        <v>42</v>
      </c>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row>
    <row r="38" spans="1:159" ht="14.5" x14ac:dyDescent="0.35">
      <c r="A38" t="s">
        <v>134</v>
      </c>
      <c r="B38" t="s">
        <v>135</v>
      </c>
      <c r="C38">
        <v>6926</v>
      </c>
      <c r="D38">
        <v>13</v>
      </c>
      <c r="E38">
        <v>1291</v>
      </c>
      <c r="F38">
        <v>981</v>
      </c>
      <c r="G38">
        <v>998</v>
      </c>
      <c r="H38">
        <v>10209</v>
      </c>
      <c r="I38">
        <v>9211</v>
      </c>
      <c r="J38">
        <v>56</v>
      </c>
      <c r="K38">
        <v>110.52</v>
      </c>
      <c r="L38">
        <v>106.28</v>
      </c>
      <c r="M38">
        <v>6.87</v>
      </c>
      <c r="N38">
        <v>115.28</v>
      </c>
      <c r="O38">
        <v>5830</v>
      </c>
      <c r="P38">
        <v>103.64</v>
      </c>
      <c r="Q38">
        <v>87.2</v>
      </c>
      <c r="R38">
        <v>51.33</v>
      </c>
      <c r="S38">
        <v>153.13999999999999</v>
      </c>
      <c r="T38">
        <v>1740</v>
      </c>
      <c r="U38">
        <v>157.01</v>
      </c>
      <c r="V38">
        <v>640</v>
      </c>
      <c r="W38">
        <v>349.15</v>
      </c>
      <c r="X38">
        <v>52</v>
      </c>
      <c r="Y38">
        <v>0</v>
      </c>
      <c r="Z38">
        <v>5</v>
      </c>
      <c r="AA38">
        <v>11</v>
      </c>
      <c r="AB38">
        <v>81</v>
      </c>
      <c r="AC38">
        <v>20</v>
      </c>
      <c r="AD38">
        <v>6487</v>
      </c>
      <c r="AE38">
        <v>14</v>
      </c>
      <c r="AF38">
        <v>46</v>
      </c>
      <c r="AG38">
        <v>60</v>
      </c>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row>
    <row r="39" spans="1:159" ht="14.5" x14ac:dyDescent="0.35">
      <c r="A39" t="s">
        <v>136</v>
      </c>
      <c r="B39" t="s">
        <v>137</v>
      </c>
      <c r="C39">
        <v>7497</v>
      </c>
      <c r="D39">
        <v>0</v>
      </c>
      <c r="E39">
        <v>258</v>
      </c>
      <c r="F39">
        <v>499</v>
      </c>
      <c r="G39">
        <v>823</v>
      </c>
      <c r="H39">
        <v>9077</v>
      </c>
      <c r="I39">
        <v>8254</v>
      </c>
      <c r="J39">
        <v>23</v>
      </c>
      <c r="K39">
        <v>116.48</v>
      </c>
      <c r="L39">
        <v>116.35</v>
      </c>
      <c r="M39">
        <v>8.66</v>
      </c>
      <c r="N39">
        <v>119.54</v>
      </c>
      <c r="O39">
        <v>6698</v>
      </c>
      <c r="P39">
        <v>105.74</v>
      </c>
      <c r="Q39">
        <v>101.18</v>
      </c>
      <c r="R39">
        <v>44.79</v>
      </c>
      <c r="S39">
        <v>148.43</v>
      </c>
      <c r="T39">
        <v>726</v>
      </c>
      <c r="U39">
        <v>182</v>
      </c>
      <c r="V39">
        <v>744</v>
      </c>
      <c r="W39">
        <v>0</v>
      </c>
      <c r="X39">
        <v>0</v>
      </c>
      <c r="Y39">
        <v>32</v>
      </c>
      <c r="Z39">
        <v>7</v>
      </c>
      <c r="AA39">
        <v>1</v>
      </c>
      <c r="AB39">
        <v>25</v>
      </c>
      <c r="AC39">
        <v>14</v>
      </c>
      <c r="AD39">
        <v>7485</v>
      </c>
      <c r="AE39">
        <v>16</v>
      </c>
      <c r="AF39">
        <v>287</v>
      </c>
      <c r="AG39">
        <v>303</v>
      </c>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row>
    <row r="40" spans="1:159" ht="14.5" x14ac:dyDescent="0.35">
      <c r="A40" t="s">
        <v>138</v>
      </c>
      <c r="B40" t="s">
        <v>139</v>
      </c>
      <c r="C40">
        <v>26987</v>
      </c>
      <c r="D40">
        <v>0</v>
      </c>
      <c r="E40">
        <v>1551</v>
      </c>
      <c r="F40">
        <v>2866</v>
      </c>
      <c r="G40">
        <v>835</v>
      </c>
      <c r="H40">
        <v>32239</v>
      </c>
      <c r="I40">
        <v>31404</v>
      </c>
      <c r="J40">
        <v>521</v>
      </c>
      <c r="K40">
        <v>84.1</v>
      </c>
      <c r="L40">
        <v>81.209999999999994</v>
      </c>
      <c r="M40">
        <v>4.5</v>
      </c>
      <c r="N40">
        <v>88.38</v>
      </c>
      <c r="O40">
        <v>23170</v>
      </c>
      <c r="P40">
        <v>91.67</v>
      </c>
      <c r="Q40">
        <v>79.66</v>
      </c>
      <c r="R40">
        <v>42.41</v>
      </c>
      <c r="S40">
        <v>133.54</v>
      </c>
      <c r="T40">
        <v>3510</v>
      </c>
      <c r="U40">
        <v>106.94</v>
      </c>
      <c r="V40">
        <v>3631</v>
      </c>
      <c r="W40">
        <v>150.61000000000001</v>
      </c>
      <c r="X40">
        <v>79</v>
      </c>
      <c r="Y40">
        <v>0</v>
      </c>
      <c r="Z40">
        <v>126</v>
      </c>
      <c r="AA40">
        <v>14</v>
      </c>
      <c r="AB40">
        <v>34</v>
      </c>
      <c r="AC40">
        <v>15</v>
      </c>
      <c r="AD40">
        <v>26971</v>
      </c>
      <c r="AE40">
        <v>329</v>
      </c>
      <c r="AF40">
        <v>104</v>
      </c>
      <c r="AG40">
        <v>433</v>
      </c>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row>
    <row r="41" spans="1:159" ht="14.5" x14ac:dyDescent="0.35">
      <c r="A41" t="s">
        <v>140</v>
      </c>
      <c r="B41" t="s">
        <v>141</v>
      </c>
      <c r="C41">
        <v>10239</v>
      </c>
      <c r="D41">
        <v>0</v>
      </c>
      <c r="E41">
        <v>320</v>
      </c>
      <c r="F41">
        <v>739</v>
      </c>
      <c r="G41">
        <v>605</v>
      </c>
      <c r="H41">
        <v>11903</v>
      </c>
      <c r="I41">
        <v>11298</v>
      </c>
      <c r="J41">
        <v>15</v>
      </c>
      <c r="K41">
        <v>102.91</v>
      </c>
      <c r="L41">
        <v>102.88</v>
      </c>
      <c r="M41">
        <v>4.3600000000000003</v>
      </c>
      <c r="N41">
        <v>104.14</v>
      </c>
      <c r="O41">
        <v>8739</v>
      </c>
      <c r="P41">
        <v>95.8</v>
      </c>
      <c r="Q41">
        <v>89.23</v>
      </c>
      <c r="R41">
        <v>44.01</v>
      </c>
      <c r="S41">
        <v>138.19999999999999</v>
      </c>
      <c r="T41">
        <v>846</v>
      </c>
      <c r="U41">
        <v>157.87</v>
      </c>
      <c r="V41">
        <v>1414</v>
      </c>
      <c r="W41">
        <v>159.68</v>
      </c>
      <c r="X41">
        <v>23</v>
      </c>
      <c r="Y41">
        <v>2</v>
      </c>
      <c r="Z41">
        <v>14</v>
      </c>
      <c r="AA41">
        <v>2</v>
      </c>
      <c r="AB41">
        <v>97</v>
      </c>
      <c r="AC41">
        <v>5</v>
      </c>
      <c r="AD41">
        <v>10225</v>
      </c>
      <c r="AE41">
        <v>111</v>
      </c>
      <c r="AF41">
        <v>47</v>
      </c>
      <c r="AG41">
        <v>158</v>
      </c>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row>
    <row r="42" spans="1:159" ht="14.5" x14ac:dyDescent="0.35">
      <c r="A42" t="s">
        <v>142</v>
      </c>
      <c r="B42" t="s">
        <v>143</v>
      </c>
      <c r="C42">
        <v>8276</v>
      </c>
      <c r="D42">
        <v>0</v>
      </c>
      <c r="E42">
        <v>217</v>
      </c>
      <c r="F42">
        <v>365</v>
      </c>
      <c r="G42">
        <v>468</v>
      </c>
      <c r="H42">
        <v>9326</v>
      </c>
      <c r="I42">
        <v>8858</v>
      </c>
      <c r="J42">
        <v>287</v>
      </c>
      <c r="K42">
        <v>93.42</v>
      </c>
      <c r="L42">
        <v>89.86</v>
      </c>
      <c r="M42">
        <v>5.05</v>
      </c>
      <c r="N42">
        <v>95.26</v>
      </c>
      <c r="O42">
        <v>7317</v>
      </c>
      <c r="P42">
        <v>89.08</v>
      </c>
      <c r="Q42">
        <v>79.790000000000006</v>
      </c>
      <c r="R42">
        <v>47.88</v>
      </c>
      <c r="S42">
        <v>132.9</v>
      </c>
      <c r="T42">
        <v>531</v>
      </c>
      <c r="U42">
        <v>124.71</v>
      </c>
      <c r="V42">
        <v>893</v>
      </c>
      <c r="W42">
        <v>147.69</v>
      </c>
      <c r="X42">
        <v>5</v>
      </c>
      <c r="Y42">
        <v>18</v>
      </c>
      <c r="Z42">
        <v>3</v>
      </c>
      <c r="AA42">
        <v>23</v>
      </c>
      <c r="AB42">
        <v>43</v>
      </c>
      <c r="AC42">
        <v>9</v>
      </c>
      <c r="AD42">
        <v>8263</v>
      </c>
      <c r="AE42">
        <v>33</v>
      </c>
      <c r="AF42">
        <v>16</v>
      </c>
      <c r="AG42">
        <v>49</v>
      </c>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row>
    <row r="43" spans="1:159" ht="14.5" x14ac:dyDescent="0.35">
      <c r="A43" t="s">
        <v>144</v>
      </c>
      <c r="B43" t="s">
        <v>145</v>
      </c>
      <c r="C43">
        <v>17010</v>
      </c>
      <c r="D43">
        <v>169</v>
      </c>
      <c r="E43">
        <v>1043</v>
      </c>
      <c r="F43">
        <v>1072</v>
      </c>
      <c r="G43">
        <v>2541</v>
      </c>
      <c r="H43">
        <v>21835</v>
      </c>
      <c r="I43">
        <v>19294</v>
      </c>
      <c r="J43">
        <v>124</v>
      </c>
      <c r="K43">
        <v>134.68</v>
      </c>
      <c r="L43">
        <v>136.69999999999999</v>
      </c>
      <c r="M43">
        <v>12.59</v>
      </c>
      <c r="N43">
        <v>143.88</v>
      </c>
      <c r="O43">
        <v>11764</v>
      </c>
      <c r="P43">
        <v>124.26</v>
      </c>
      <c r="Q43">
        <v>102.3</v>
      </c>
      <c r="R43">
        <v>61.34</v>
      </c>
      <c r="S43">
        <v>177.46</v>
      </c>
      <c r="T43">
        <v>1765</v>
      </c>
      <c r="U43">
        <v>239.21</v>
      </c>
      <c r="V43">
        <v>2369</v>
      </c>
      <c r="W43">
        <v>223.65</v>
      </c>
      <c r="X43">
        <v>139</v>
      </c>
      <c r="Y43">
        <v>52</v>
      </c>
      <c r="Z43">
        <v>2</v>
      </c>
      <c r="AA43">
        <v>37</v>
      </c>
      <c r="AB43">
        <v>205</v>
      </c>
      <c r="AC43">
        <v>91</v>
      </c>
      <c r="AD43">
        <v>15306</v>
      </c>
      <c r="AE43">
        <v>149</v>
      </c>
      <c r="AF43">
        <v>79</v>
      </c>
      <c r="AG43">
        <v>228</v>
      </c>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row>
    <row r="44" spans="1:159" ht="14.5" x14ac:dyDescent="0.35">
      <c r="A44" t="s">
        <v>146</v>
      </c>
      <c r="B44" t="s">
        <v>147</v>
      </c>
      <c r="C44">
        <v>781</v>
      </c>
      <c r="D44">
        <v>7</v>
      </c>
      <c r="E44">
        <v>113</v>
      </c>
      <c r="F44">
        <v>162</v>
      </c>
      <c r="G44">
        <v>199</v>
      </c>
      <c r="H44">
        <v>1262</v>
      </c>
      <c r="I44">
        <v>1063</v>
      </c>
      <c r="J44">
        <v>3</v>
      </c>
      <c r="K44">
        <v>125.43</v>
      </c>
      <c r="L44">
        <v>123.33</v>
      </c>
      <c r="M44">
        <v>9.1300000000000008</v>
      </c>
      <c r="N44">
        <v>134.25</v>
      </c>
      <c r="O44">
        <v>512</v>
      </c>
      <c r="P44">
        <v>104.61</v>
      </c>
      <c r="Q44">
        <v>101.39</v>
      </c>
      <c r="R44">
        <v>57.22</v>
      </c>
      <c r="S44">
        <v>161.59</v>
      </c>
      <c r="T44">
        <v>235</v>
      </c>
      <c r="U44">
        <v>164.55</v>
      </c>
      <c r="V44">
        <v>125</v>
      </c>
      <c r="W44">
        <v>0</v>
      </c>
      <c r="X44">
        <v>0</v>
      </c>
      <c r="Y44">
        <v>0</v>
      </c>
      <c r="Z44">
        <v>0</v>
      </c>
      <c r="AA44">
        <v>0</v>
      </c>
      <c r="AB44">
        <v>1</v>
      </c>
      <c r="AC44">
        <v>3</v>
      </c>
      <c r="AD44">
        <v>640</v>
      </c>
      <c r="AE44">
        <v>5</v>
      </c>
      <c r="AF44">
        <v>2</v>
      </c>
      <c r="AG44">
        <v>7</v>
      </c>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row>
    <row r="45" spans="1:159" ht="14.5" x14ac:dyDescent="0.35">
      <c r="A45" t="s">
        <v>148</v>
      </c>
      <c r="B45" t="s">
        <v>149</v>
      </c>
      <c r="C45">
        <v>4911</v>
      </c>
      <c r="D45">
        <v>111</v>
      </c>
      <c r="E45">
        <v>983</v>
      </c>
      <c r="F45">
        <v>924</v>
      </c>
      <c r="G45">
        <v>1123</v>
      </c>
      <c r="H45">
        <v>8052</v>
      </c>
      <c r="I45">
        <v>6929</v>
      </c>
      <c r="J45">
        <v>103</v>
      </c>
      <c r="K45">
        <v>102.37</v>
      </c>
      <c r="L45">
        <v>100.22</v>
      </c>
      <c r="M45">
        <v>12.37</v>
      </c>
      <c r="N45">
        <v>112.36</v>
      </c>
      <c r="O45">
        <v>3834</v>
      </c>
      <c r="P45">
        <v>99.57</v>
      </c>
      <c r="Q45">
        <v>86.49</v>
      </c>
      <c r="R45">
        <v>71.239999999999995</v>
      </c>
      <c r="S45">
        <v>167.96</v>
      </c>
      <c r="T45">
        <v>1152</v>
      </c>
      <c r="U45">
        <v>183.16</v>
      </c>
      <c r="V45">
        <v>549</v>
      </c>
      <c r="W45">
        <v>0</v>
      </c>
      <c r="X45">
        <v>0</v>
      </c>
      <c r="Y45">
        <v>0</v>
      </c>
      <c r="Z45">
        <v>0</v>
      </c>
      <c r="AA45">
        <v>9</v>
      </c>
      <c r="AB45">
        <v>77</v>
      </c>
      <c r="AC45">
        <v>20</v>
      </c>
      <c r="AD45">
        <v>4444</v>
      </c>
      <c r="AE45">
        <v>30</v>
      </c>
      <c r="AF45">
        <v>27</v>
      </c>
      <c r="AG45">
        <v>57</v>
      </c>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row>
    <row r="46" spans="1:159" ht="14.5" x14ac:dyDescent="0.35">
      <c r="A46" t="s">
        <v>150</v>
      </c>
      <c r="B46" t="s">
        <v>151</v>
      </c>
      <c r="C46">
        <v>9144</v>
      </c>
      <c r="D46">
        <v>47</v>
      </c>
      <c r="E46">
        <v>2783</v>
      </c>
      <c r="F46">
        <v>1077</v>
      </c>
      <c r="G46">
        <v>1625</v>
      </c>
      <c r="H46">
        <v>14676</v>
      </c>
      <c r="I46">
        <v>13051</v>
      </c>
      <c r="J46">
        <v>58</v>
      </c>
      <c r="K46">
        <v>103.99</v>
      </c>
      <c r="L46">
        <v>100.99</v>
      </c>
      <c r="M46">
        <v>9.6300000000000008</v>
      </c>
      <c r="N46">
        <v>110.85</v>
      </c>
      <c r="O46">
        <v>7282</v>
      </c>
      <c r="P46">
        <v>95.95</v>
      </c>
      <c r="Q46">
        <v>93.18</v>
      </c>
      <c r="R46">
        <v>44.66</v>
      </c>
      <c r="S46">
        <v>137.78</v>
      </c>
      <c r="T46">
        <v>3124</v>
      </c>
      <c r="U46">
        <v>150.27000000000001</v>
      </c>
      <c r="V46">
        <v>1268</v>
      </c>
      <c r="W46">
        <v>140.6</v>
      </c>
      <c r="X46">
        <v>96</v>
      </c>
      <c r="Y46">
        <v>0</v>
      </c>
      <c r="Z46">
        <v>1</v>
      </c>
      <c r="AA46">
        <v>28</v>
      </c>
      <c r="AB46">
        <v>91</v>
      </c>
      <c r="AC46">
        <v>38</v>
      </c>
      <c r="AD46">
        <v>8753</v>
      </c>
      <c r="AE46">
        <v>112</v>
      </c>
      <c r="AF46">
        <v>26</v>
      </c>
      <c r="AG46">
        <v>138</v>
      </c>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row>
    <row r="47" spans="1:159" ht="14.5" x14ac:dyDescent="0.35">
      <c r="A47" t="s">
        <v>152</v>
      </c>
      <c r="B47" t="s">
        <v>153</v>
      </c>
      <c r="C47">
        <v>5221</v>
      </c>
      <c r="D47">
        <v>2</v>
      </c>
      <c r="E47">
        <v>148</v>
      </c>
      <c r="F47">
        <v>600</v>
      </c>
      <c r="G47">
        <v>640</v>
      </c>
      <c r="H47">
        <v>6611</v>
      </c>
      <c r="I47">
        <v>5971</v>
      </c>
      <c r="J47">
        <v>45</v>
      </c>
      <c r="K47">
        <v>97.81</v>
      </c>
      <c r="L47">
        <v>94.66</v>
      </c>
      <c r="M47">
        <v>2.59</v>
      </c>
      <c r="N47">
        <v>99.59</v>
      </c>
      <c r="O47">
        <v>3675</v>
      </c>
      <c r="P47">
        <v>94.73</v>
      </c>
      <c r="Q47">
        <v>81.599999999999994</v>
      </c>
      <c r="R47">
        <v>36.08</v>
      </c>
      <c r="S47">
        <v>130.72</v>
      </c>
      <c r="T47">
        <v>746</v>
      </c>
      <c r="U47">
        <v>124.49</v>
      </c>
      <c r="V47">
        <v>1363</v>
      </c>
      <c r="W47">
        <v>0</v>
      </c>
      <c r="X47">
        <v>0</v>
      </c>
      <c r="Y47">
        <v>28</v>
      </c>
      <c r="Z47">
        <v>2</v>
      </c>
      <c r="AA47">
        <v>7</v>
      </c>
      <c r="AB47">
        <v>134</v>
      </c>
      <c r="AC47">
        <v>7</v>
      </c>
      <c r="AD47">
        <v>5175</v>
      </c>
      <c r="AE47">
        <v>34</v>
      </c>
      <c r="AF47">
        <v>45</v>
      </c>
      <c r="AG47">
        <v>79</v>
      </c>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row>
    <row r="48" spans="1:159" ht="14.5" x14ac:dyDescent="0.35">
      <c r="A48" t="s">
        <v>154</v>
      </c>
      <c r="B48" t="s">
        <v>155</v>
      </c>
      <c r="C48">
        <v>16499</v>
      </c>
      <c r="D48">
        <v>108</v>
      </c>
      <c r="E48">
        <v>590</v>
      </c>
      <c r="F48">
        <v>2030</v>
      </c>
      <c r="G48">
        <v>1188</v>
      </c>
      <c r="H48">
        <v>20415</v>
      </c>
      <c r="I48">
        <v>19227</v>
      </c>
      <c r="J48">
        <v>76</v>
      </c>
      <c r="K48">
        <v>122.21</v>
      </c>
      <c r="L48">
        <v>118.55</v>
      </c>
      <c r="M48">
        <v>12.04</v>
      </c>
      <c r="N48">
        <v>129.5</v>
      </c>
      <c r="O48">
        <v>13312</v>
      </c>
      <c r="P48">
        <v>115.49</v>
      </c>
      <c r="Q48">
        <v>105.56</v>
      </c>
      <c r="R48">
        <v>51.43</v>
      </c>
      <c r="S48">
        <v>165.18</v>
      </c>
      <c r="T48">
        <v>2073</v>
      </c>
      <c r="U48">
        <v>190.08</v>
      </c>
      <c r="V48">
        <v>1918</v>
      </c>
      <c r="W48">
        <v>0</v>
      </c>
      <c r="X48">
        <v>0</v>
      </c>
      <c r="Y48">
        <v>0</v>
      </c>
      <c r="Z48">
        <v>5</v>
      </c>
      <c r="AA48">
        <v>45</v>
      </c>
      <c r="AB48">
        <v>33</v>
      </c>
      <c r="AC48">
        <v>35</v>
      </c>
      <c r="AD48">
        <v>15417</v>
      </c>
      <c r="AE48">
        <v>243</v>
      </c>
      <c r="AF48">
        <v>111</v>
      </c>
      <c r="AG48">
        <v>354</v>
      </c>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row>
    <row r="49" spans="1:159" ht="14.5" x14ac:dyDescent="0.35">
      <c r="A49" t="s">
        <v>156</v>
      </c>
      <c r="B49" t="s">
        <v>157</v>
      </c>
      <c r="C49">
        <v>3490</v>
      </c>
      <c r="D49">
        <v>0</v>
      </c>
      <c r="E49">
        <v>73</v>
      </c>
      <c r="F49">
        <v>1006</v>
      </c>
      <c r="G49">
        <v>440</v>
      </c>
      <c r="H49">
        <v>5009</v>
      </c>
      <c r="I49">
        <v>4569</v>
      </c>
      <c r="J49">
        <v>0</v>
      </c>
      <c r="K49">
        <v>98.11</v>
      </c>
      <c r="L49">
        <v>97.91</v>
      </c>
      <c r="M49">
        <v>4.87</v>
      </c>
      <c r="N49">
        <v>101.32</v>
      </c>
      <c r="O49">
        <v>3104</v>
      </c>
      <c r="P49">
        <v>90.19</v>
      </c>
      <c r="Q49">
        <v>90.23</v>
      </c>
      <c r="R49">
        <v>25.55</v>
      </c>
      <c r="S49">
        <v>115.74</v>
      </c>
      <c r="T49">
        <v>1036</v>
      </c>
      <c r="U49">
        <v>123.71</v>
      </c>
      <c r="V49">
        <v>347</v>
      </c>
      <c r="W49">
        <v>0</v>
      </c>
      <c r="X49">
        <v>0</v>
      </c>
      <c r="Y49">
        <v>0</v>
      </c>
      <c r="Z49">
        <v>4</v>
      </c>
      <c r="AA49">
        <v>1</v>
      </c>
      <c r="AB49">
        <v>7</v>
      </c>
      <c r="AC49">
        <v>10</v>
      </c>
      <c r="AD49">
        <v>3490</v>
      </c>
      <c r="AE49">
        <v>30</v>
      </c>
      <c r="AF49">
        <v>9</v>
      </c>
      <c r="AG49">
        <v>39</v>
      </c>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row>
    <row r="50" spans="1:159" ht="14.5" x14ac:dyDescent="0.35">
      <c r="A50" t="s">
        <v>158</v>
      </c>
      <c r="B50" t="s">
        <v>159</v>
      </c>
      <c r="C50">
        <v>5004</v>
      </c>
      <c r="D50">
        <v>0</v>
      </c>
      <c r="E50">
        <v>108</v>
      </c>
      <c r="F50">
        <v>376</v>
      </c>
      <c r="G50">
        <v>495</v>
      </c>
      <c r="H50">
        <v>5983</v>
      </c>
      <c r="I50">
        <v>5488</v>
      </c>
      <c r="J50">
        <v>17</v>
      </c>
      <c r="K50">
        <v>120.74</v>
      </c>
      <c r="L50">
        <v>117.53</v>
      </c>
      <c r="M50">
        <v>10.29</v>
      </c>
      <c r="N50">
        <v>127.13</v>
      </c>
      <c r="O50">
        <v>3961</v>
      </c>
      <c r="P50">
        <v>107.54</v>
      </c>
      <c r="Q50">
        <v>97.13</v>
      </c>
      <c r="R50">
        <v>38.67</v>
      </c>
      <c r="S50">
        <v>145.56</v>
      </c>
      <c r="T50">
        <v>480</v>
      </c>
      <c r="U50">
        <v>190.04</v>
      </c>
      <c r="V50">
        <v>1020</v>
      </c>
      <c r="W50">
        <v>0</v>
      </c>
      <c r="X50">
        <v>0</v>
      </c>
      <c r="Y50">
        <v>0</v>
      </c>
      <c r="Z50">
        <v>6</v>
      </c>
      <c r="AA50">
        <v>2</v>
      </c>
      <c r="AB50">
        <v>45</v>
      </c>
      <c r="AC50">
        <v>14</v>
      </c>
      <c r="AD50">
        <v>5004</v>
      </c>
      <c r="AE50">
        <v>31</v>
      </c>
      <c r="AF50">
        <v>18</v>
      </c>
      <c r="AG50">
        <v>49</v>
      </c>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row>
    <row r="51" spans="1:159" ht="14.5" x14ac:dyDescent="0.35">
      <c r="A51" t="s">
        <v>160</v>
      </c>
      <c r="B51" t="s">
        <v>161</v>
      </c>
      <c r="C51">
        <v>1189</v>
      </c>
      <c r="D51">
        <v>0</v>
      </c>
      <c r="E51">
        <v>124</v>
      </c>
      <c r="F51">
        <v>108</v>
      </c>
      <c r="G51">
        <v>122</v>
      </c>
      <c r="H51">
        <v>1543</v>
      </c>
      <c r="I51">
        <v>1421</v>
      </c>
      <c r="J51">
        <v>5</v>
      </c>
      <c r="K51">
        <v>87.67</v>
      </c>
      <c r="L51">
        <v>85.36</v>
      </c>
      <c r="M51">
        <v>7.33</v>
      </c>
      <c r="N51">
        <v>93.89</v>
      </c>
      <c r="O51">
        <v>947</v>
      </c>
      <c r="P51">
        <v>105.61</v>
      </c>
      <c r="Q51">
        <v>75.95</v>
      </c>
      <c r="R51">
        <v>68.8</v>
      </c>
      <c r="S51">
        <v>174.08</v>
      </c>
      <c r="T51">
        <v>204</v>
      </c>
      <c r="U51">
        <v>111.2</v>
      </c>
      <c r="V51">
        <v>217</v>
      </c>
      <c r="W51">
        <v>212.11</v>
      </c>
      <c r="X51">
        <v>28</v>
      </c>
      <c r="Y51">
        <v>0</v>
      </c>
      <c r="Z51">
        <v>0</v>
      </c>
      <c r="AA51">
        <v>0</v>
      </c>
      <c r="AB51">
        <v>5</v>
      </c>
      <c r="AC51">
        <v>5</v>
      </c>
      <c r="AD51">
        <v>1189</v>
      </c>
      <c r="AE51">
        <v>7</v>
      </c>
      <c r="AF51">
        <v>7</v>
      </c>
      <c r="AG51">
        <v>14</v>
      </c>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row>
    <row r="52" spans="1:159" ht="14.5" x14ac:dyDescent="0.35">
      <c r="A52" t="s">
        <v>775</v>
      </c>
      <c r="B52" t="s">
        <v>770</v>
      </c>
      <c r="C52">
        <v>26005</v>
      </c>
      <c r="D52">
        <v>3</v>
      </c>
      <c r="E52">
        <v>954</v>
      </c>
      <c r="F52">
        <v>3245</v>
      </c>
      <c r="G52">
        <v>2786</v>
      </c>
      <c r="H52">
        <v>32993</v>
      </c>
      <c r="I52">
        <v>30207</v>
      </c>
      <c r="J52">
        <v>60</v>
      </c>
      <c r="K52">
        <v>118.26</v>
      </c>
      <c r="L52">
        <v>123.7</v>
      </c>
      <c r="M52">
        <v>5.18</v>
      </c>
      <c r="N52">
        <v>122.21</v>
      </c>
      <c r="O52">
        <v>21209</v>
      </c>
      <c r="P52">
        <v>109.4</v>
      </c>
      <c r="Q52">
        <v>103.1</v>
      </c>
      <c r="R52">
        <v>35.450000000000003</v>
      </c>
      <c r="S52">
        <v>143.26</v>
      </c>
      <c r="T52">
        <v>3833</v>
      </c>
      <c r="U52">
        <v>181.67</v>
      </c>
      <c r="V52">
        <v>4481</v>
      </c>
      <c r="W52">
        <v>162.1</v>
      </c>
      <c r="X52">
        <v>61</v>
      </c>
      <c r="Y52">
        <v>341</v>
      </c>
      <c r="Z52">
        <v>43</v>
      </c>
      <c r="AA52">
        <v>39</v>
      </c>
      <c r="AB52">
        <v>173</v>
      </c>
      <c r="AC52">
        <v>58</v>
      </c>
      <c r="AD52">
        <v>25960</v>
      </c>
      <c r="AE52">
        <v>140</v>
      </c>
      <c r="AF52">
        <v>232</v>
      </c>
      <c r="AG52">
        <v>372</v>
      </c>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row>
    <row r="53" spans="1:159" ht="14.5" x14ac:dyDescent="0.35">
      <c r="A53" t="s">
        <v>162</v>
      </c>
      <c r="B53" t="s">
        <v>163</v>
      </c>
      <c r="C53">
        <v>4666</v>
      </c>
      <c r="D53">
        <v>0</v>
      </c>
      <c r="E53">
        <v>322</v>
      </c>
      <c r="F53">
        <v>1492</v>
      </c>
      <c r="G53">
        <v>61</v>
      </c>
      <c r="H53">
        <v>6541</v>
      </c>
      <c r="I53">
        <v>6480</v>
      </c>
      <c r="J53">
        <v>7</v>
      </c>
      <c r="K53">
        <v>85.93</v>
      </c>
      <c r="L53">
        <v>82.29</v>
      </c>
      <c r="M53">
        <v>2.86</v>
      </c>
      <c r="N53">
        <v>88.52</v>
      </c>
      <c r="O53">
        <v>3770</v>
      </c>
      <c r="P53">
        <v>83.31</v>
      </c>
      <c r="Q53">
        <v>73.33</v>
      </c>
      <c r="R53">
        <v>32.6</v>
      </c>
      <c r="S53">
        <v>115.63</v>
      </c>
      <c r="T53">
        <v>1595</v>
      </c>
      <c r="U53">
        <v>103.09</v>
      </c>
      <c r="V53">
        <v>858</v>
      </c>
      <c r="W53">
        <v>267.20999999999998</v>
      </c>
      <c r="X53">
        <v>144</v>
      </c>
      <c r="Y53">
        <v>0</v>
      </c>
      <c r="Z53">
        <v>31</v>
      </c>
      <c r="AA53">
        <v>1</v>
      </c>
      <c r="AB53">
        <v>0</v>
      </c>
      <c r="AC53">
        <v>1</v>
      </c>
      <c r="AD53">
        <v>4633</v>
      </c>
      <c r="AE53">
        <v>40</v>
      </c>
      <c r="AF53">
        <v>13</v>
      </c>
      <c r="AG53">
        <v>53</v>
      </c>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row>
    <row r="54" spans="1:159" ht="14.5" x14ac:dyDescent="0.35">
      <c r="A54" t="s">
        <v>164</v>
      </c>
      <c r="B54" t="s">
        <v>165</v>
      </c>
      <c r="C54">
        <v>3964</v>
      </c>
      <c r="D54">
        <v>0</v>
      </c>
      <c r="E54">
        <v>492</v>
      </c>
      <c r="F54">
        <v>628</v>
      </c>
      <c r="G54">
        <v>188</v>
      </c>
      <c r="H54">
        <v>5272</v>
      </c>
      <c r="I54">
        <v>5084</v>
      </c>
      <c r="J54">
        <v>23</v>
      </c>
      <c r="K54">
        <v>87.71</v>
      </c>
      <c r="L54">
        <v>86.29</v>
      </c>
      <c r="M54">
        <v>5.37</v>
      </c>
      <c r="N54">
        <v>91.19</v>
      </c>
      <c r="O54">
        <v>3066</v>
      </c>
      <c r="P54">
        <v>91.91</v>
      </c>
      <c r="Q54">
        <v>80.62</v>
      </c>
      <c r="R54">
        <v>42.14</v>
      </c>
      <c r="S54">
        <v>130.63999999999999</v>
      </c>
      <c r="T54">
        <v>779</v>
      </c>
      <c r="U54">
        <v>112.01</v>
      </c>
      <c r="V54">
        <v>683</v>
      </c>
      <c r="W54">
        <v>133.1</v>
      </c>
      <c r="X54">
        <v>17</v>
      </c>
      <c r="Y54">
        <v>0</v>
      </c>
      <c r="Z54">
        <v>4</v>
      </c>
      <c r="AA54">
        <v>6</v>
      </c>
      <c r="AB54">
        <v>3</v>
      </c>
      <c r="AC54">
        <v>6</v>
      </c>
      <c r="AD54">
        <v>3664</v>
      </c>
      <c r="AE54">
        <v>20</v>
      </c>
      <c r="AF54">
        <v>14</v>
      </c>
      <c r="AG54">
        <v>34</v>
      </c>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row>
    <row r="55" spans="1:159" ht="14.5" x14ac:dyDescent="0.35">
      <c r="A55" t="s">
        <v>166</v>
      </c>
      <c r="B55" t="s">
        <v>167</v>
      </c>
      <c r="C55">
        <v>12622</v>
      </c>
      <c r="D55">
        <v>0</v>
      </c>
      <c r="E55">
        <v>472</v>
      </c>
      <c r="F55">
        <v>897</v>
      </c>
      <c r="G55">
        <v>285</v>
      </c>
      <c r="H55">
        <v>14276</v>
      </c>
      <c r="I55">
        <v>13991</v>
      </c>
      <c r="J55">
        <v>9</v>
      </c>
      <c r="K55">
        <v>83.38</v>
      </c>
      <c r="L55">
        <v>81.48</v>
      </c>
      <c r="M55">
        <v>6.17</v>
      </c>
      <c r="N55">
        <v>89.26</v>
      </c>
      <c r="O55">
        <v>11760</v>
      </c>
      <c r="P55">
        <v>97.73</v>
      </c>
      <c r="Q55">
        <v>80.58</v>
      </c>
      <c r="R55">
        <v>44.13</v>
      </c>
      <c r="S55">
        <v>141.86000000000001</v>
      </c>
      <c r="T55">
        <v>1116</v>
      </c>
      <c r="U55">
        <v>107.76</v>
      </c>
      <c r="V55">
        <v>787</v>
      </c>
      <c r="W55">
        <v>238.07</v>
      </c>
      <c r="X55">
        <v>127</v>
      </c>
      <c r="Y55">
        <v>0</v>
      </c>
      <c r="Z55">
        <v>30</v>
      </c>
      <c r="AA55">
        <v>6</v>
      </c>
      <c r="AB55">
        <v>2</v>
      </c>
      <c r="AC55">
        <v>6</v>
      </c>
      <c r="AD55">
        <v>12592</v>
      </c>
      <c r="AE55">
        <v>83</v>
      </c>
      <c r="AF55">
        <v>186</v>
      </c>
      <c r="AG55">
        <v>269</v>
      </c>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row>
    <row r="56" spans="1:159" ht="14.5" x14ac:dyDescent="0.35">
      <c r="A56" t="s">
        <v>168</v>
      </c>
      <c r="B56" t="s">
        <v>169</v>
      </c>
      <c r="C56">
        <v>3871</v>
      </c>
      <c r="D56">
        <v>597</v>
      </c>
      <c r="E56">
        <v>467</v>
      </c>
      <c r="F56">
        <v>495</v>
      </c>
      <c r="G56">
        <v>654</v>
      </c>
      <c r="H56">
        <v>6084</v>
      </c>
      <c r="I56">
        <v>5430</v>
      </c>
      <c r="J56">
        <v>3</v>
      </c>
      <c r="K56">
        <v>115.79</v>
      </c>
      <c r="L56">
        <v>114.71</v>
      </c>
      <c r="M56">
        <v>10.3</v>
      </c>
      <c r="N56">
        <v>122.88</v>
      </c>
      <c r="O56">
        <v>2677</v>
      </c>
      <c r="P56">
        <v>103.25</v>
      </c>
      <c r="Q56">
        <v>94.54</v>
      </c>
      <c r="R56">
        <v>74.489999999999995</v>
      </c>
      <c r="S56">
        <v>177.57</v>
      </c>
      <c r="T56">
        <v>861</v>
      </c>
      <c r="U56">
        <v>165.95</v>
      </c>
      <c r="V56">
        <v>947</v>
      </c>
      <c r="W56">
        <v>287.97000000000003</v>
      </c>
      <c r="X56">
        <v>2</v>
      </c>
      <c r="Y56">
        <v>0</v>
      </c>
      <c r="Z56">
        <v>0</v>
      </c>
      <c r="AA56">
        <v>10</v>
      </c>
      <c r="AB56">
        <v>0</v>
      </c>
      <c r="AC56">
        <v>44</v>
      </c>
      <c r="AD56">
        <v>3848</v>
      </c>
      <c r="AE56">
        <v>81</v>
      </c>
      <c r="AF56">
        <v>15</v>
      </c>
      <c r="AG56">
        <v>96</v>
      </c>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row>
    <row r="57" spans="1:159" ht="14.5" x14ac:dyDescent="0.35">
      <c r="A57" t="s">
        <v>170</v>
      </c>
      <c r="B57" t="s">
        <v>171</v>
      </c>
      <c r="C57">
        <v>8883</v>
      </c>
      <c r="D57">
        <v>605</v>
      </c>
      <c r="E57">
        <v>1413</v>
      </c>
      <c r="F57">
        <v>942</v>
      </c>
      <c r="G57">
        <v>546</v>
      </c>
      <c r="H57">
        <v>12389</v>
      </c>
      <c r="I57">
        <v>11843</v>
      </c>
      <c r="J57">
        <v>212</v>
      </c>
      <c r="K57">
        <v>142.68</v>
      </c>
      <c r="L57">
        <v>152.51</v>
      </c>
      <c r="M57">
        <v>14.34</v>
      </c>
      <c r="N57">
        <v>156.06</v>
      </c>
      <c r="O57">
        <v>6187</v>
      </c>
      <c r="P57">
        <v>120.01</v>
      </c>
      <c r="Q57">
        <v>118.75</v>
      </c>
      <c r="R57">
        <v>88.83</v>
      </c>
      <c r="S57">
        <v>206.96</v>
      </c>
      <c r="T57">
        <v>2166</v>
      </c>
      <c r="U57">
        <v>235.14</v>
      </c>
      <c r="V57">
        <v>509</v>
      </c>
      <c r="W57">
        <v>272.39</v>
      </c>
      <c r="X57">
        <v>64</v>
      </c>
      <c r="Y57">
        <v>438</v>
      </c>
      <c r="Z57">
        <v>0</v>
      </c>
      <c r="AA57">
        <v>2</v>
      </c>
      <c r="AB57">
        <v>11</v>
      </c>
      <c r="AC57">
        <v>15</v>
      </c>
      <c r="AD57">
        <v>7478</v>
      </c>
      <c r="AE57">
        <v>53</v>
      </c>
      <c r="AF57">
        <v>77</v>
      </c>
      <c r="AG57">
        <v>130</v>
      </c>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row>
    <row r="58" spans="1:159" ht="14.5" x14ac:dyDescent="0.35">
      <c r="A58" t="s">
        <v>172</v>
      </c>
      <c r="B58" t="s">
        <v>173</v>
      </c>
      <c r="C58">
        <v>2052</v>
      </c>
      <c r="D58">
        <v>2</v>
      </c>
      <c r="E58">
        <v>215</v>
      </c>
      <c r="F58">
        <v>271</v>
      </c>
      <c r="G58">
        <v>308</v>
      </c>
      <c r="H58">
        <v>2848</v>
      </c>
      <c r="I58">
        <v>2540</v>
      </c>
      <c r="J58">
        <v>7</v>
      </c>
      <c r="K58">
        <v>97.45</v>
      </c>
      <c r="L58">
        <v>95.62</v>
      </c>
      <c r="M58">
        <v>5.52</v>
      </c>
      <c r="N58">
        <v>101.05</v>
      </c>
      <c r="O58">
        <v>1434</v>
      </c>
      <c r="P58">
        <v>107.83</v>
      </c>
      <c r="Q58">
        <v>84.43</v>
      </c>
      <c r="R58">
        <v>68.650000000000006</v>
      </c>
      <c r="S58">
        <v>175.87</v>
      </c>
      <c r="T58">
        <v>338</v>
      </c>
      <c r="U58">
        <v>127.05</v>
      </c>
      <c r="V58">
        <v>573</v>
      </c>
      <c r="W58">
        <v>236.63</v>
      </c>
      <c r="X58">
        <v>69</v>
      </c>
      <c r="Y58">
        <v>0</v>
      </c>
      <c r="Z58">
        <v>2</v>
      </c>
      <c r="AA58">
        <v>0</v>
      </c>
      <c r="AB58">
        <v>10</v>
      </c>
      <c r="AC58">
        <v>6</v>
      </c>
      <c r="AD58">
        <v>2029</v>
      </c>
      <c r="AE58">
        <v>7</v>
      </c>
      <c r="AF58">
        <v>19</v>
      </c>
      <c r="AG58">
        <v>26</v>
      </c>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row>
    <row r="59" spans="1:159" ht="14.5" x14ac:dyDescent="0.35">
      <c r="A59" t="s">
        <v>174</v>
      </c>
      <c r="B59" t="s">
        <v>175</v>
      </c>
      <c r="C59">
        <v>2249</v>
      </c>
      <c r="D59">
        <v>0</v>
      </c>
      <c r="E59">
        <v>187</v>
      </c>
      <c r="F59">
        <v>378</v>
      </c>
      <c r="G59">
        <v>621</v>
      </c>
      <c r="H59">
        <v>3435</v>
      </c>
      <c r="I59">
        <v>2814</v>
      </c>
      <c r="J59">
        <v>3</v>
      </c>
      <c r="K59">
        <v>110.36</v>
      </c>
      <c r="L59">
        <v>109.55</v>
      </c>
      <c r="M59">
        <v>9.59</v>
      </c>
      <c r="N59">
        <v>118.44</v>
      </c>
      <c r="O59">
        <v>1406</v>
      </c>
      <c r="P59">
        <v>98.81</v>
      </c>
      <c r="Q59">
        <v>84.38</v>
      </c>
      <c r="R59">
        <v>53.41</v>
      </c>
      <c r="S59">
        <v>146.53</v>
      </c>
      <c r="T59">
        <v>535</v>
      </c>
      <c r="U59">
        <v>163.69999999999999</v>
      </c>
      <c r="V59">
        <v>563</v>
      </c>
      <c r="W59">
        <v>127.03</v>
      </c>
      <c r="X59">
        <v>6</v>
      </c>
      <c r="Y59">
        <v>52</v>
      </c>
      <c r="Z59">
        <v>1</v>
      </c>
      <c r="AA59">
        <v>8</v>
      </c>
      <c r="AB59">
        <v>77</v>
      </c>
      <c r="AC59">
        <v>9</v>
      </c>
      <c r="AD59">
        <v>2063</v>
      </c>
      <c r="AE59">
        <v>23</v>
      </c>
      <c r="AF59">
        <v>21</v>
      </c>
      <c r="AG59">
        <v>44</v>
      </c>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row>
    <row r="60" spans="1:159" ht="14.5" x14ac:dyDescent="0.35">
      <c r="A60" t="s">
        <v>176</v>
      </c>
      <c r="B60" t="s">
        <v>177</v>
      </c>
      <c r="C60">
        <v>7274</v>
      </c>
      <c r="D60">
        <v>0</v>
      </c>
      <c r="E60">
        <v>245</v>
      </c>
      <c r="F60">
        <v>337</v>
      </c>
      <c r="G60">
        <v>306</v>
      </c>
      <c r="H60">
        <v>8162</v>
      </c>
      <c r="I60">
        <v>7856</v>
      </c>
      <c r="J60">
        <v>7</v>
      </c>
      <c r="K60">
        <v>87.34</v>
      </c>
      <c r="L60">
        <v>83.7</v>
      </c>
      <c r="M60">
        <v>5.1100000000000003</v>
      </c>
      <c r="N60">
        <v>91.18</v>
      </c>
      <c r="O60">
        <v>5653</v>
      </c>
      <c r="P60">
        <v>102.56</v>
      </c>
      <c r="Q60">
        <v>82.01</v>
      </c>
      <c r="R60">
        <v>47.12</v>
      </c>
      <c r="S60">
        <v>145.53</v>
      </c>
      <c r="T60">
        <v>499</v>
      </c>
      <c r="U60">
        <v>99.69</v>
      </c>
      <c r="V60">
        <v>1596</v>
      </c>
      <c r="W60">
        <v>0</v>
      </c>
      <c r="X60">
        <v>0</v>
      </c>
      <c r="Y60">
        <v>0</v>
      </c>
      <c r="Z60">
        <v>42</v>
      </c>
      <c r="AA60">
        <v>9</v>
      </c>
      <c r="AB60">
        <v>22</v>
      </c>
      <c r="AC60">
        <v>5</v>
      </c>
      <c r="AD60">
        <v>7265</v>
      </c>
      <c r="AE60">
        <v>68</v>
      </c>
      <c r="AF60">
        <v>40</v>
      </c>
      <c r="AG60">
        <v>108</v>
      </c>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row>
    <row r="61" spans="1:159" ht="14.5" x14ac:dyDescent="0.35">
      <c r="A61" t="s">
        <v>178</v>
      </c>
      <c r="B61" t="s">
        <v>179</v>
      </c>
      <c r="C61">
        <v>457</v>
      </c>
      <c r="D61">
        <v>0</v>
      </c>
      <c r="E61">
        <v>63</v>
      </c>
      <c r="F61">
        <v>73</v>
      </c>
      <c r="G61">
        <v>92</v>
      </c>
      <c r="H61">
        <v>685</v>
      </c>
      <c r="I61">
        <v>593</v>
      </c>
      <c r="J61">
        <v>14</v>
      </c>
      <c r="K61">
        <v>114.21</v>
      </c>
      <c r="L61">
        <v>111.62</v>
      </c>
      <c r="M61">
        <v>9.26</v>
      </c>
      <c r="N61">
        <v>119.54</v>
      </c>
      <c r="O61">
        <v>365</v>
      </c>
      <c r="P61">
        <v>100.22</v>
      </c>
      <c r="Q61">
        <v>86.75</v>
      </c>
      <c r="R61">
        <v>75.010000000000005</v>
      </c>
      <c r="S61">
        <v>172.71</v>
      </c>
      <c r="T61">
        <v>119</v>
      </c>
      <c r="U61">
        <v>160.35</v>
      </c>
      <c r="V61">
        <v>76</v>
      </c>
      <c r="W61">
        <v>0</v>
      </c>
      <c r="X61">
        <v>0</v>
      </c>
      <c r="Y61">
        <v>0</v>
      </c>
      <c r="Z61">
        <v>0</v>
      </c>
      <c r="AA61">
        <v>0</v>
      </c>
      <c r="AB61">
        <v>0</v>
      </c>
      <c r="AC61">
        <v>2</v>
      </c>
      <c r="AD61">
        <v>457</v>
      </c>
      <c r="AE61">
        <v>4</v>
      </c>
      <c r="AF61">
        <v>1</v>
      </c>
      <c r="AG61">
        <v>5</v>
      </c>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row>
    <row r="62" spans="1:159" ht="14.5" x14ac:dyDescent="0.35">
      <c r="A62" t="s">
        <v>180</v>
      </c>
      <c r="B62" t="s">
        <v>181</v>
      </c>
      <c r="C62">
        <v>10943</v>
      </c>
      <c r="D62">
        <v>0</v>
      </c>
      <c r="E62">
        <v>282</v>
      </c>
      <c r="F62">
        <v>881</v>
      </c>
      <c r="G62">
        <v>2659</v>
      </c>
      <c r="H62">
        <v>14765</v>
      </c>
      <c r="I62">
        <v>12106</v>
      </c>
      <c r="J62">
        <v>30</v>
      </c>
      <c r="K62">
        <v>109.23</v>
      </c>
      <c r="L62">
        <v>109.35</v>
      </c>
      <c r="M62">
        <v>5.23</v>
      </c>
      <c r="N62">
        <v>110.97</v>
      </c>
      <c r="O62">
        <v>8441</v>
      </c>
      <c r="P62">
        <v>106.11</v>
      </c>
      <c r="Q62">
        <v>94.15</v>
      </c>
      <c r="R62">
        <v>38.909999999999997</v>
      </c>
      <c r="S62">
        <v>141.22999999999999</v>
      </c>
      <c r="T62">
        <v>1090</v>
      </c>
      <c r="U62">
        <v>167.48</v>
      </c>
      <c r="V62">
        <v>2429</v>
      </c>
      <c r="W62">
        <v>135.94999999999999</v>
      </c>
      <c r="X62">
        <v>50</v>
      </c>
      <c r="Y62">
        <v>0</v>
      </c>
      <c r="Z62">
        <v>5</v>
      </c>
      <c r="AA62">
        <v>0</v>
      </c>
      <c r="AB62">
        <v>297</v>
      </c>
      <c r="AC62">
        <v>47</v>
      </c>
      <c r="AD62">
        <v>10942</v>
      </c>
      <c r="AE62">
        <v>74</v>
      </c>
      <c r="AF62">
        <v>62</v>
      </c>
      <c r="AG62">
        <v>136</v>
      </c>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row>
    <row r="63" spans="1:159" ht="14.5" x14ac:dyDescent="0.35">
      <c r="A63" t="s">
        <v>182</v>
      </c>
      <c r="B63" t="s">
        <v>183</v>
      </c>
      <c r="C63">
        <v>3389</v>
      </c>
      <c r="D63">
        <v>0</v>
      </c>
      <c r="E63">
        <v>439</v>
      </c>
      <c r="F63">
        <v>244</v>
      </c>
      <c r="G63">
        <v>690</v>
      </c>
      <c r="H63">
        <v>4762</v>
      </c>
      <c r="I63">
        <v>4072</v>
      </c>
      <c r="J63">
        <v>5</v>
      </c>
      <c r="K63">
        <v>97.95</v>
      </c>
      <c r="L63">
        <v>95.6</v>
      </c>
      <c r="M63">
        <v>7.21</v>
      </c>
      <c r="N63">
        <v>103.56</v>
      </c>
      <c r="O63">
        <v>2233</v>
      </c>
      <c r="P63">
        <v>109.36</v>
      </c>
      <c r="Q63">
        <v>84.49</v>
      </c>
      <c r="R63">
        <v>68.75</v>
      </c>
      <c r="S63">
        <v>175.83</v>
      </c>
      <c r="T63">
        <v>482</v>
      </c>
      <c r="U63">
        <v>121.78</v>
      </c>
      <c r="V63">
        <v>1052</v>
      </c>
      <c r="W63">
        <v>220.73</v>
      </c>
      <c r="X63">
        <v>69</v>
      </c>
      <c r="Y63">
        <v>0</v>
      </c>
      <c r="Z63">
        <v>4</v>
      </c>
      <c r="AA63">
        <v>1</v>
      </c>
      <c r="AB63">
        <v>15</v>
      </c>
      <c r="AC63">
        <v>24</v>
      </c>
      <c r="AD63">
        <v>3389</v>
      </c>
      <c r="AE63">
        <v>23</v>
      </c>
      <c r="AF63">
        <v>28</v>
      </c>
      <c r="AG63">
        <v>51</v>
      </c>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row>
    <row r="64" spans="1:159" ht="14.5" x14ac:dyDescent="0.35">
      <c r="A64" t="s">
        <v>184</v>
      </c>
      <c r="B64" t="s">
        <v>185</v>
      </c>
      <c r="C64">
        <v>10051</v>
      </c>
      <c r="D64">
        <v>250</v>
      </c>
      <c r="E64">
        <v>311</v>
      </c>
      <c r="F64">
        <v>281</v>
      </c>
      <c r="G64">
        <v>1022</v>
      </c>
      <c r="H64">
        <v>11915</v>
      </c>
      <c r="I64">
        <v>10893</v>
      </c>
      <c r="J64">
        <v>27</v>
      </c>
      <c r="K64">
        <v>108.72</v>
      </c>
      <c r="L64">
        <v>106.49</v>
      </c>
      <c r="M64">
        <v>12.18</v>
      </c>
      <c r="N64">
        <v>114.65</v>
      </c>
      <c r="O64">
        <v>8628</v>
      </c>
      <c r="P64">
        <v>105.52</v>
      </c>
      <c r="Q64">
        <v>94.03</v>
      </c>
      <c r="R64">
        <v>89.95</v>
      </c>
      <c r="S64">
        <v>193.12</v>
      </c>
      <c r="T64">
        <v>496</v>
      </c>
      <c r="U64">
        <v>161.87</v>
      </c>
      <c r="V64">
        <v>1285</v>
      </c>
      <c r="W64">
        <v>0</v>
      </c>
      <c r="X64">
        <v>0</v>
      </c>
      <c r="Y64">
        <v>0</v>
      </c>
      <c r="Z64">
        <v>12</v>
      </c>
      <c r="AA64">
        <v>0</v>
      </c>
      <c r="AB64">
        <v>144</v>
      </c>
      <c r="AC64">
        <v>15</v>
      </c>
      <c r="AD64">
        <v>10021</v>
      </c>
      <c r="AE64">
        <v>87</v>
      </c>
      <c r="AF64">
        <v>75</v>
      </c>
      <c r="AG64">
        <v>162</v>
      </c>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row>
    <row r="65" spans="1:159" ht="14.5" x14ac:dyDescent="0.35">
      <c r="A65" t="s">
        <v>186</v>
      </c>
      <c r="B65" t="s">
        <v>187</v>
      </c>
      <c r="C65">
        <v>1893</v>
      </c>
      <c r="D65">
        <v>0</v>
      </c>
      <c r="E65">
        <v>423</v>
      </c>
      <c r="F65">
        <v>215</v>
      </c>
      <c r="G65">
        <v>340</v>
      </c>
      <c r="H65">
        <v>2871</v>
      </c>
      <c r="I65">
        <v>2531</v>
      </c>
      <c r="J65">
        <v>10</v>
      </c>
      <c r="K65">
        <v>103.21</v>
      </c>
      <c r="L65">
        <v>98.64</v>
      </c>
      <c r="M65">
        <v>6.66</v>
      </c>
      <c r="N65">
        <v>108.65</v>
      </c>
      <c r="O65">
        <v>1477</v>
      </c>
      <c r="P65">
        <v>105.35</v>
      </c>
      <c r="Q65">
        <v>84.18</v>
      </c>
      <c r="R65">
        <v>71.52</v>
      </c>
      <c r="S65">
        <v>170.43</v>
      </c>
      <c r="T65">
        <v>489</v>
      </c>
      <c r="U65">
        <v>143.94999999999999</v>
      </c>
      <c r="V65">
        <v>328</v>
      </c>
      <c r="W65">
        <v>227.1</v>
      </c>
      <c r="X65">
        <v>37</v>
      </c>
      <c r="Y65">
        <v>0</v>
      </c>
      <c r="Z65">
        <v>0</v>
      </c>
      <c r="AA65">
        <v>24</v>
      </c>
      <c r="AB65">
        <v>9</v>
      </c>
      <c r="AC65">
        <v>11</v>
      </c>
      <c r="AD65">
        <v>1735</v>
      </c>
      <c r="AE65">
        <v>24</v>
      </c>
      <c r="AF65">
        <v>34</v>
      </c>
      <c r="AG65">
        <v>58</v>
      </c>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row>
    <row r="66" spans="1:159" ht="14.5" x14ac:dyDescent="0.35">
      <c r="A66" t="s">
        <v>188</v>
      </c>
      <c r="B66" t="s">
        <v>189</v>
      </c>
      <c r="C66">
        <v>7362</v>
      </c>
      <c r="D66">
        <v>7</v>
      </c>
      <c r="E66">
        <v>198</v>
      </c>
      <c r="F66">
        <v>1531</v>
      </c>
      <c r="G66">
        <v>1218</v>
      </c>
      <c r="H66">
        <v>10316</v>
      </c>
      <c r="I66">
        <v>9098</v>
      </c>
      <c r="J66">
        <v>52</v>
      </c>
      <c r="K66">
        <v>112.28</v>
      </c>
      <c r="L66">
        <v>111.87</v>
      </c>
      <c r="M66">
        <v>6.88</v>
      </c>
      <c r="N66">
        <v>114.51</v>
      </c>
      <c r="O66">
        <v>5074</v>
      </c>
      <c r="P66">
        <v>104.28</v>
      </c>
      <c r="Q66">
        <v>103.35</v>
      </c>
      <c r="R66">
        <v>28.33</v>
      </c>
      <c r="S66">
        <v>131.08000000000001</v>
      </c>
      <c r="T66">
        <v>1618</v>
      </c>
      <c r="U66">
        <v>173.11</v>
      </c>
      <c r="V66">
        <v>2238</v>
      </c>
      <c r="W66">
        <v>139.38</v>
      </c>
      <c r="X66">
        <v>72</v>
      </c>
      <c r="Y66">
        <v>0</v>
      </c>
      <c r="Z66">
        <v>8</v>
      </c>
      <c r="AA66">
        <v>9</v>
      </c>
      <c r="AB66">
        <v>60</v>
      </c>
      <c r="AC66">
        <v>29</v>
      </c>
      <c r="AD66">
        <v>7315</v>
      </c>
      <c r="AE66">
        <v>37</v>
      </c>
      <c r="AF66">
        <v>48</v>
      </c>
      <c r="AG66">
        <v>85</v>
      </c>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row>
    <row r="67" spans="1:159" ht="14.5" x14ac:dyDescent="0.35">
      <c r="A67" t="s">
        <v>190</v>
      </c>
      <c r="B67" t="s">
        <v>191</v>
      </c>
      <c r="C67">
        <v>18109</v>
      </c>
      <c r="D67">
        <v>0</v>
      </c>
      <c r="E67">
        <v>863</v>
      </c>
      <c r="F67">
        <v>2814</v>
      </c>
      <c r="G67">
        <v>2016</v>
      </c>
      <c r="H67">
        <v>23802</v>
      </c>
      <c r="I67">
        <v>21786</v>
      </c>
      <c r="J67">
        <v>59</v>
      </c>
      <c r="K67">
        <v>95.25</v>
      </c>
      <c r="L67">
        <v>94.22</v>
      </c>
      <c r="M67">
        <v>6.76</v>
      </c>
      <c r="N67">
        <v>98.65</v>
      </c>
      <c r="O67">
        <v>13245</v>
      </c>
      <c r="P67">
        <v>100</v>
      </c>
      <c r="Q67">
        <v>86.57</v>
      </c>
      <c r="R67">
        <v>33.35</v>
      </c>
      <c r="S67">
        <v>125.27</v>
      </c>
      <c r="T67">
        <v>3251</v>
      </c>
      <c r="U67">
        <v>119.6</v>
      </c>
      <c r="V67">
        <v>4733</v>
      </c>
      <c r="W67">
        <v>114</v>
      </c>
      <c r="X67">
        <v>162</v>
      </c>
      <c r="Y67">
        <v>0</v>
      </c>
      <c r="Z67">
        <v>45</v>
      </c>
      <c r="AA67">
        <v>15</v>
      </c>
      <c r="AB67">
        <v>231</v>
      </c>
      <c r="AC67">
        <v>52</v>
      </c>
      <c r="AD67">
        <v>18054</v>
      </c>
      <c r="AE67">
        <v>101</v>
      </c>
      <c r="AF67">
        <v>108</v>
      </c>
      <c r="AG67">
        <v>209</v>
      </c>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row>
    <row r="68" spans="1:159" ht="14.5" x14ac:dyDescent="0.35">
      <c r="A68" t="s">
        <v>192</v>
      </c>
      <c r="B68" t="s">
        <v>193</v>
      </c>
      <c r="C68">
        <v>15219</v>
      </c>
      <c r="D68">
        <v>9</v>
      </c>
      <c r="E68">
        <v>724</v>
      </c>
      <c r="F68">
        <v>2979</v>
      </c>
      <c r="G68">
        <v>2265</v>
      </c>
      <c r="H68">
        <v>21196</v>
      </c>
      <c r="I68">
        <v>18931</v>
      </c>
      <c r="J68">
        <v>65</v>
      </c>
      <c r="K68">
        <v>98.54</v>
      </c>
      <c r="L68">
        <v>100.56</v>
      </c>
      <c r="M68">
        <v>5.33</v>
      </c>
      <c r="N68">
        <v>100.6</v>
      </c>
      <c r="O68">
        <v>11901</v>
      </c>
      <c r="P68">
        <v>103.18</v>
      </c>
      <c r="Q68">
        <v>93.5</v>
      </c>
      <c r="R68">
        <v>35.36</v>
      </c>
      <c r="S68">
        <v>128.80000000000001</v>
      </c>
      <c r="T68">
        <v>3010</v>
      </c>
      <c r="U68">
        <v>121.57</v>
      </c>
      <c r="V68">
        <v>2955</v>
      </c>
      <c r="W68">
        <v>160.86000000000001</v>
      </c>
      <c r="X68">
        <v>452</v>
      </c>
      <c r="Y68">
        <v>0</v>
      </c>
      <c r="Z68">
        <v>42</v>
      </c>
      <c r="AA68">
        <v>0</v>
      </c>
      <c r="AB68">
        <v>263</v>
      </c>
      <c r="AC68">
        <v>49</v>
      </c>
      <c r="AD68">
        <v>15068</v>
      </c>
      <c r="AE68">
        <v>231</v>
      </c>
      <c r="AF68">
        <v>83</v>
      </c>
      <c r="AG68">
        <v>314</v>
      </c>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row>
    <row r="69" spans="1:159" ht="14.5" x14ac:dyDescent="0.35">
      <c r="A69" t="s">
        <v>194</v>
      </c>
      <c r="B69" t="s">
        <v>195</v>
      </c>
      <c r="C69">
        <v>883</v>
      </c>
      <c r="D69">
        <v>0</v>
      </c>
      <c r="E69">
        <v>221</v>
      </c>
      <c r="F69">
        <v>521</v>
      </c>
      <c r="G69">
        <v>173</v>
      </c>
      <c r="H69">
        <v>1798</v>
      </c>
      <c r="I69">
        <v>1625</v>
      </c>
      <c r="J69">
        <v>18</v>
      </c>
      <c r="K69">
        <v>92.68</v>
      </c>
      <c r="L69">
        <v>89.88</v>
      </c>
      <c r="M69">
        <v>5.67</v>
      </c>
      <c r="N69">
        <v>95.32</v>
      </c>
      <c r="O69">
        <v>615</v>
      </c>
      <c r="P69">
        <v>102</v>
      </c>
      <c r="Q69">
        <v>88.12</v>
      </c>
      <c r="R69">
        <v>32.17</v>
      </c>
      <c r="S69">
        <v>132.38999999999999</v>
      </c>
      <c r="T69">
        <v>616</v>
      </c>
      <c r="U69">
        <v>115.87</v>
      </c>
      <c r="V69">
        <v>165</v>
      </c>
      <c r="W69">
        <v>236.62</v>
      </c>
      <c r="X69">
        <v>25</v>
      </c>
      <c r="Y69">
        <v>0</v>
      </c>
      <c r="Z69">
        <v>2</v>
      </c>
      <c r="AA69">
        <v>1</v>
      </c>
      <c r="AB69">
        <v>26</v>
      </c>
      <c r="AC69">
        <v>9</v>
      </c>
      <c r="AD69">
        <v>779</v>
      </c>
      <c r="AE69">
        <v>8</v>
      </c>
      <c r="AF69">
        <v>6</v>
      </c>
      <c r="AG69">
        <v>14</v>
      </c>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row>
    <row r="70" spans="1:159" ht="14.5" x14ac:dyDescent="0.35">
      <c r="A70" t="s">
        <v>196</v>
      </c>
      <c r="B70" t="s">
        <v>197</v>
      </c>
      <c r="C70">
        <v>7716</v>
      </c>
      <c r="D70">
        <v>0</v>
      </c>
      <c r="E70">
        <v>189</v>
      </c>
      <c r="F70">
        <v>767</v>
      </c>
      <c r="G70">
        <v>948</v>
      </c>
      <c r="H70">
        <v>9620</v>
      </c>
      <c r="I70">
        <v>8672</v>
      </c>
      <c r="J70">
        <v>41</v>
      </c>
      <c r="K70">
        <v>113.01</v>
      </c>
      <c r="L70">
        <v>113.31</v>
      </c>
      <c r="M70">
        <v>8.64</v>
      </c>
      <c r="N70">
        <v>117.39</v>
      </c>
      <c r="O70">
        <v>6289</v>
      </c>
      <c r="P70">
        <v>103.82</v>
      </c>
      <c r="Q70">
        <v>94.36</v>
      </c>
      <c r="R70">
        <v>40.58</v>
      </c>
      <c r="S70">
        <v>142.57</v>
      </c>
      <c r="T70">
        <v>707</v>
      </c>
      <c r="U70">
        <v>179.5</v>
      </c>
      <c r="V70">
        <v>1370</v>
      </c>
      <c r="W70">
        <v>152.19999999999999</v>
      </c>
      <c r="X70">
        <v>4</v>
      </c>
      <c r="Y70">
        <v>0</v>
      </c>
      <c r="Z70">
        <v>9</v>
      </c>
      <c r="AA70">
        <v>22</v>
      </c>
      <c r="AB70">
        <v>156</v>
      </c>
      <c r="AC70">
        <v>19</v>
      </c>
      <c r="AD70">
        <v>7694</v>
      </c>
      <c r="AE70">
        <v>48</v>
      </c>
      <c r="AF70">
        <v>50</v>
      </c>
      <c r="AG70">
        <v>98</v>
      </c>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row>
    <row r="71" spans="1:159" ht="14.5" x14ac:dyDescent="0.35">
      <c r="A71" t="s">
        <v>198</v>
      </c>
      <c r="B71" t="s">
        <v>199</v>
      </c>
      <c r="C71">
        <v>6076</v>
      </c>
      <c r="D71">
        <v>0</v>
      </c>
      <c r="E71">
        <v>384</v>
      </c>
      <c r="F71">
        <v>655</v>
      </c>
      <c r="G71">
        <v>301</v>
      </c>
      <c r="H71">
        <v>7416</v>
      </c>
      <c r="I71">
        <v>7115</v>
      </c>
      <c r="J71">
        <v>22</v>
      </c>
      <c r="K71">
        <v>86.25</v>
      </c>
      <c r="L71">
        <v>83.41</v>
      </c>
      <c r="M71">
        <v>6.22</v>
      </c>
      <c r="N71">
        <v>90.86</v>
      </c>
      <c r="O71">
        <v>5046</v>
      </c>
      <c r="P71">
        <v>89.66</v>
      </c>
      <c r="Q71">
        <v>74.040000000000006</v>
      </c>
      <c r="R71">
        <v>27.95</v>
      </c>
      <c r="S71">
        <v>115.95</v>
      </c>
      <c r="T71">
        <v>854</v>
      </c>
      <c r="U71">
        <v>110.27</v>
      </c>
      <c r="V71">
        <v>993</v>
      </c>
      <c r="W71">
        <v>0</v>
      </c>
      <c r="X71">
        <v>0</v>
      </c>
      <c r="Y71">
        <v>0</v>
      </c>
      <c r="Z71">
        <v>12</v>
      </c>
      <c r="AA71">
        <v>0</v>
      </c>
      <c r="AB71">
        <v>8</v>
      </c>
      <c r="AC71">
        <v>5</v>
      </c>
      <c r="AD71">
        <v>5992</v>
      </c>
      <c r="AE71">
        <v>63</v>
      </c>
      <c r="AF71">
        <v>9</v>
      </c>
      <c r="AG71">
        <v>72</v>
      </c>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row>
    <row r="72" spans="1:159" ht="14.5" x14ac:dyDescent="0.35">
      <c r="A72" t="s">
        <v>200</v>
      </c>
      <c r="B72" t="s">
        <v>201</v>
      </c>
      <c r="C72">
        <v>194</v>
      </c>
      <c r="D72">
        <v>0</v>
      </c>
      <c r="E72">
        <v>17</v>
      </c>
      <c r="F72">
        <v>19</v>
      </c>
      <c r="G72">
        <v>0</v>
      </c>
      <c r="H72">
        <v>230</v>
      </c>
      <c r="I72">
        <v>230</v>
      </c>
      <c r="J72">
        <v>0</v>
      </c>
      <c r="K72">
        <v>134.80000000000001</v>
      </c>
      <c r="L72">
        <v>138</v>
      </c>
      <c r="M72">
        <v>14.67</v>
      </c>
      <c r="N72">
        <v>149.47</v>
      </c>
      <c r="O72">
        <v>160</v>
      </c>
      <c r="P72">
        <v>126.41</v>
      </c>
      <c r="Q72">
        <v>120.15</v>
      </c>
      <c r="R72">
        <v>201.79</v>
      </c>
      <c r="S72">
        <v>328.2</v>
      </c>
      <c r="T72">
        <v>36</v>
      </c>
      <c r="U72">
        <v>220.25</v>
      </c>
      <c r="V72">
        <v>34</v>
      </c>
      <c r="W72">
        <v>0</v>
      </c>
      <c r="X72">
        <v>0</v>
      </c>
      <c r="Y72">
        <v>0</v>
      </c>
      <c r="Z72">
        <v>0</v>
      </c>
      <c r="AA72">
        <v>0</v>
      </c>
      <c r="AB72">
        <v>0</v>
      </c>
      <c r="AC72">
        <v>0</v>
      </c>
      <c r="AD72">
        <v>194</v>
      </c>
      <c r="AE72">
        <v>0</v>
      </c>
      <c r="AF72">
        <v>1</v>
      </c>
      <c r="AG72">
        <v>1</v>
      </c>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row>
    <row r="73" spans="1:159" ht="14.5" x14ac:dyDescent="0.35">
      <c r="A73" t="s">
        <v>202</v>
      </c>
      <c r="B73" t="s">
        <v>203</v>
      </c>
      <c r="C73">
        <v>4404</v>
      </c>
      <c r="D73">
        <v>135</v>
      </c>
      <c r="E73">
        <v>595</v>
      </c>
      <c r="F73">
        <v>356</v>
      </c>
      <c r="G73">
        <v>381</v>
      </c>
      <c r="H73">
        <v>5871</v>
      </c>
      <c r="I73">
        <v>5490</v>
      </c>
      <c r="J73">
        <v>38</v>
      </c>
      <c r="K73">
        <v>110.29</v>
      </c>
      <c r="L73">
        <v>108.12</v>
      </c>
      <c r="M73">
        <v>6.17</v>
      </c>
      <c r="N73">
        <v>115.25</v>
      </c>
      <c r="O73">
        <v>2729</v>
      </c>
      <c r="P73">
        <v>105.88</v>
      </c>
      <c r="Q73">
        <v>88.85</v>
      </c>
      <c r="R73">
        <v>45.29</v>
      </c>
      <c r="S73">
        <v>145.69999999999999</v>
      </c>
      <c r="T73">
        <v>630</v>
      </c>
      <c r="U73">
        <v>150.35</v>
      </c>
      <c r="V73">
        <v>1294</v>
      </c>
      <c r="W73">
        <v>157.11000000000001</v>
      </c>
      <c r="X73">
        <v>34</v>
      </c>
      <c r="Y73">
        <v>0</v>
      </c>
      <c r="Z73">
        <v>2</v>
      </c>
      <c r="AA73">
        <v>1</v>
      </c>
      <c r="AB73">
        <v>22</v>
      </c>
      <c r="AC73">
        <v>6</v>
      </c>
      <c r="AD73">
        <v>4329</v>
      </c>
      <c r="AE73">
        <v>59</v>
      </c>
      <c r="AF73">
        <v>9</v>
      </c>
      <c r="AG73">
        <v>68</v>
      </c>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row>
    <row r="74" spans="1:159" ht="14.5" x14ac:dyDescent="0.35">
      <c r="A74" t="s">
        <v>204</v>
      </c>
      <c r="B74" t="s">
        <v>205</v>
      </c>
      <c r="C74">
        <v>5474</v>
      </c>
      <c r="D74">
        <v>0</v>
      </c>
      <c r="E74">
        <v>135</v>
      </c>
      <c r="F74">
        <v>309</v>
      </c>
      <c r="G74">
        <v>11</v>
      </c>
      <c r="H74">
        <v>5929</v>
      </c>
      <c r="I74">
        <v>5918</v>
      </c>
      <c r="J74">
        <v>13</v>
      </c>
      <c r="K74">
        <v>91.96</v>
      </c>
      <c r="L74">
        <v>88.44</v>
      </c>
      <c r="M74">
        <v>1.73</v>
      </c>
      <c r="N74">
        <v>93.55</v>
      </c>
      <c r="O74">
        <v>5137</v>
      </c>
      <c r="P74">
        <v>83.94</v>
      </c>
      <c r="Q74">
        <v>77.5</v>
      </c>
      <c r="R74">
        <v>54.16</v>
      </c>
      <c r="S74">
        <v>135.36000000000001</v>
      </c>
      <c r="T74">
        <v>434</v>
      </c>
      <c r="U74">
        <v>98.05</v>
      </c>
      <c r="V74">
        <v>304</v>
      </c>
      <c r="W74">
        <v>0</v>
      </c>
      <c r="X74">
        <v>0</v>
      </c>
      <c r="Y74">
        <v>0</v>
      </c>
      <c r="Z74">
        <v>32</v>
      </c>
      <c r="AA74">
        <v>5</v>
      </c>
      <c r="AB74">
        <v>0</v>
      </c>
      <c r="AC74">
        <v>0</v>
      </c>
      <c r="AD74">
        <v>5441</v>
      </c>
      <c r="AE74">
        <v>11</v>
      </c>
      <c r="AF74">
        <v>117</v>
      </c>
      <c r="AG74">
        <v>128</v>
      </c>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row>
    <row r="75" spans="1:159" ht="14.5" x14ac:dyDescent="0.35">
      <c r="A75" t="s">
        <v>206</v>
      </c>
      <c r="B75" t="s">
        <v>207</v>
      </c>
      <c r="C75">
        <v>19574</v>
      </c>
      <c r="D75">
        <v>0</v>
      </c>
      <c r="E75">
        <v>921</v>
      </c>
      <c r="F75">
        <v>2476</v>
      </c>
      <c r="G75">
        <v>2404</v>
      </c>
      <c r="H75">
        <v>25375</v>
      </c>
      <c r="I75">
        <v>22971</v>
      </c>
      <c r="J75">
        <v>8</v>
      </c>
      <c r="K75">
        <v>88.15</v>
      </c>
      <c r="L75">
        <v>84.29</v>
      </c>
      <c r="M75">
        <v>4.08</v>
      </c>
      <c r="N75">
        <v>91.55</v>
      </c>
      <c r="O75">
        <v>13947</v>
      </c>
      <c r="P75">
        <v>88.66</v>
      </c>
      <c r="Q75">
        <v>74.56</v>
      </c>
      <c r="R75">
        <v>49.55</v>
      </c>
      <c r="S75">
        <v>136.71</v>
      </c>
      <c r="T75">
        <v>3055</v>
      </c>
      <c r="U75">
        <v>131.53</v>
      </c>
      <c r="V75">
        <v>4037</v>
      </c>
      <c r="W75">
        <v>126.71</v>
      </c>
      <c r="X75">
        <v>180</v>
      </c>
      <c r="Y75">
        <v>12</v>
      </c>
      <c r="Z75">
        <v>13</v>
      </c>
      <c r="AA75">
        <v>79</v>
      </c>
      <c r="AB75">
        <v>185</v>
      </c>
      <c r="AC75">
        <v>50</v>
      </c>
      <c r="AD75">
        <v>19174</v>
      </c>
      <c r="AE75">
        <v>119</v>
      </c>
      <c r="AF75">
        <v>119</v>
      </c>
      <c r="AG75">
        <v>238</v>
      </c>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row>
    <row r="76" spans="1:159" ht="14.5" x14ac:dyDescent="0.35">
      <c r="A76" t="s">
        <v>208</v>
      </c>
      <c r="B76" t="s">
        <v>209</v>
      </c>
      <c r="C76">
        <v>5653</v>
      </c>
      <c r="D76">
        <v>0</v>
      </c>
      <c r="E76">
        <v>55</v>
      </c>
      <c r="F76">
        <v>529</v>
      </c>
      <c r="G76">
        <v>792</v>
      </c>
      <c r="H76">
        <v>7029</v>
      </c>
      <c r="I76">
        <v>6237</v>
      </c>
      <c r="J76">
        <v>8</v>
      </c>
      <c r="K76">
        <v>110.97</v>
      </c>
      <c r="L76">
        <v>106.29</v>
      </c>
      <c r="M76">
        <v>4.7</v>
      </c>
      <c r="N76">
        <v>113.09</v>
      </c>
      <c r="O76">
        <v>4461</v>
      </c>
      <c r="P76">
        <v>104.87</v>
      </c>
      <c r="Q76">
        <v>96.17</v>
      </c>
      <c r="R76">
        <v>28.37</v>
      </c>
      <c r="S76">
        <v>132.37</v>
      </c>
      <c r="T76">
        <v>584</v>
      </c>
      <c r="U76">
        <v>148.51</v>
      </c>
      <c r="V76">
        <v>970</v>
      </c>
      <c r="W76">
        <v>0</v>
      </c>
      <c r="X76">
        <v>0</v>
      </c>
      <c r="Y76">
        <v>0</v>
      </c>
      <c r="Z76">
        <v>0</v>
      </c>
      <c r="AA76">
        <v>2</v>
      </c>
      <c r="AB76">
        <v>2</v>
      </c>
      <c r="AC76">
        <v>18</v>
      </c>
      <c r="AD76">
        <v>5426</v>
      </c>
      <c r="AE76">
        <v>9</v>
      </c>
      <c r="AF76">
        <v>96</v>
      </c>
      <c r="AG76">
        <v>105</v>
      </c>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row>
    <row r="77" spans="1:159" ht="14.5" x14ac:dyDescent="0.35">
      <c r="A77" t="s">
        <v>210</v>
      </c>
      <c r="B77" t="s">
        <v>211</v>
      </c>
      <c r="C77">
        <v>45935</v>
      </c>
      <c r="D77">
        <v>0</v>
      </c>
      <c r="E77">
        <v>1224</v>
      </c>
      <c r="F77">
        <v>1587</v>
      </c>
      <c r="G77">
        <v>444</v>
      </c>
      <c r="H77">
        <v>49190</v>
      </c>
      <c r="I77">
        <v>48746</v>
      </c>
      <c r="J77">
        <v>120</v>
      </c>
      <c r="K77">
        <v>77.73</v>
      </c>
      <c r="L77">
        <v>77.900000000000006</v>
      </c>
      <c r="M77">
        <v>3.38</v>
      </c>
      <c r="N77">
        <v>78.290000000000006</v>
      </c>
      <c r="O77">
        <v>40745</v>
      </c>
      <c r="P77">
        <v>108.26</v>
      </c>
      <c r="Q77">
        <v>81.5</v>
      </c>
      <c r="R77">
        <v>61.24</v>
      </c>
      <c r="S77">
        <v>167.92</v>
      </c>
      <c r="T77">
        <v>2083</v>
      </c>
      <c r="U77">
        <v>99.24</v>
      </c>
      <c r="V77">
        <v>4555</v>
      </c>
      <c r="W77">
        <v>156.79</v>
      </c>
      <c r="X77">
        <v>199</v>
      </c>
      <c r="Y77">
        <v>1</v>
      </c>
      <c r="Z77">
        <v>205</v>
      </c>
      <c r="AA77">
        <v>23</v>
      </c>
      <c r="AB77">
        <v>39</v>
      </c>
      <c r="AC77">
        <v>12</v>
      </c>
      <c r="AD77">
        <v>45881</v>
      </c>
      <c r="AE77">
        <v>244</v>
      </c>
      <c r="AF77">
        <v>591</v>
      </c>
      <c r="AG77">
        <v>835</v>
      </c>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row>
    <row r="78" spans="1:159" ht="14.5" x14ac:dyDescent="0.35">
      <c r="A78" t="s">
        <v>212</v>
      </c>
      <c r="B78" t="s">
        <v>213</v>
      </c>
      <c r="C78">
        <v>22341</v>
      </c>
      <c r="D78">
        <v>0</v>
      </c>
      <c r="E78">
        <v>917</v>
      </c>
      <c r="F78">
        <v>1716</v>
      </c>
      <c r="G78">
        <v>634</v>
      </c>
      <c r="H78">
        <v>25608</v>
      </c>
      <c r="I78">
        <v>24974</v>
      </c>
      <c r="J78">
        <v>53</v>
      </c>
      <c r="K78">
        <v>91.01</v>
      </c>
      <c r="L78">
        <v>90.55</v>
      </c>
      <c r="M78">
        <v>6.13</v>
      </c>
      <c r="N78">
        <v>96.68</v>
      </c>
      <c r="O78">
        <v>19648</v>
      </c>
      <c r="P78">
        <v>98.15</v>
      </c>
      <c r="Q78">
        <v>89.15</v>
      </c>
      <c r="R78">
        <v>62.29</v>
      </c>
      <c r="S78">
        <v>159.18</v>
      </c>
      <c r="T78">
        <v>2077</v>
      </c>
      <c r="U78">
        <v>122.92</v>
      </c>
      <c r="V78">
        <v>2388</v>
      </c>
      <c r="W78">
        <v>119.73</v>
      </c>
      <c r="X78">
        <v>5</v>
      </c>
      <c r="Y78">
        <v>0</v>
      </c>
      <c r="Z78">
        <v>64</v>
      </c>
      <c r="AA78">
        <v>22</v>
      </c>
      <c r="AB78">
        <v>19</v>
      </c>
      <c r="AC78">
        <v>21</v>
      </c>
      <c r="AD78">
        <v>22208</v>
      </c>
      <c r="AE78">
        <v>89</v>
      </c>
      <c r="AF78">
        <v>482</v>
      </c>
      <c r="AG78">
        <v>571</v>
      </c>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row>
    <row r="79" spans="1:159" ht="14.5" x14ac:dyDescent="0.35">
      <c r="A79" t="s">
        <v>214</v>
      </c>
      <c r="B79" t="s">
        <v>215</v>
      </c>
      <c r="C79">
        <v>2288</v>
      </c>
      <c r="D79">
        <v>0</v>
      </c>
      <c r="E79">
        <v>69</v>
      </c>
      <c r="F79">
        <v>278</v>
      </c>
      <c r="G79">
        <v>211</v>
      </c>
      <c r="H79">
        <v>2846</v>
      </c>
      <c r="I79">
        <v>2635</v>
      </c>
      <c r="J79">
        <v>1</v>
      </c>
      <c r="K79">
        <v>91.47</v>
      </c>
      <c r="L79">
        <v>94.05</v>
      </c>
      <c r="M79">
        <v>6.44</v>
      </c>
      <c r="N79">
        <v>95.56</v>
      </c>
      <c r="O79">
        <v>1527</v>
      </c>
      <c r="P79">
        <v>94.62</v>
      </c>
      <c r="Q79">
        <v>86.61</v>
      </c>
      <c r="R79">
        <v>55.23</v>
      </c>
      <c r="S79">
        <v>148.81</v>
      </c>
      <c r="T79">
        <v>321</v>
      </c>
      <c r="U79">
        <v>102.03</v>
      </c>
      <c r="V79">
        <v>716</v>
      </c>
      <c r="W79">
        <v>0</v>
      </c>
      <c r="X79">
        <v>0</v>
      </c>
      <c r="Y79">
        <v>0</v>
      </c>
      <c r="Z79">
        <v>2</v>
      </c>
      <c r="AA79">
        <v>1</v>
      </c>
      <c r="AB79">
        <v>9</v>
      </c>
      <c r="AC79">
        <v>3</v>
      </c>
      <c r="AD79">
        <v>2257</v>
      </c>
      <c r="AE79">
        <v>16</v>
      </c>
      <c r="AF79">
        <v>9</v>
      </c>
      <c r="AG79">
        <v>25</v>
      </c>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row>
    <row r="80" spans="1:159" ht="14.5" x14ac:dyDescent="0.35">
      <c r="A80" t="s">
        <v>216</v>
      </c>
      <c r="B80" t="s">
        <v>217</v>
      </c>
      <c r="C80">
        <v>2214</v>
      </c>
      <c r="D80">
        <v>0</v>
      </c>
      <c r="E80">
        <v>153</v>
      </c>
      <c r="F80">
        <v>286</v>
      </c>
      <c r="G80">
        <v>433</v>
      </c>
      <c r="H80">
        <v>3086</v>
      </c>
      <c r="I80">
        <v>2653</v>
      </c>
      <c r="J80">
        <v>15</v>
      </c>
      <c r="K80">
        <v>118.62</v>
      </c>
      <c r="L80">
        <v>111.72</v>
      </c>
      <c r="M80">
        <v>11.18</v>
      </c>
      <c r="N80">
        <v>128.83000000000001</v>
      </c>
      <c r="O80">
        <v>1610</v>
      </c>
      <c r="P80">
        <v>128.35</v>
      </c>
      <c r="Q80">
        <v>106.71</v>
      </c>
      <c r="R80">
        <v>44.28</v>
      </c>
      <c r="S80">
        <v>172.47</v>
      </c>
      <c r="T80">
        <v>271</v>
      </c>
      <c r="U80">
        <v>177.57</v>
      </c>
      <c r="V80">
        <v>502</v>
      </c>
      <c r="W80">
        <v>0</v>
      </c>
      <c r="X80">
        <v>0</v>
      </c>
      <c r="Y80">
        <v>0</v>
      </c>
      <c r="Z80">
        <v>0</v>
      </c>
      <c r="AA80">
        <v>0</v>
      </c>
      <c r="AB80">
        <v>1</v>
      </c>
      <c r="AC80">
        <v>5</v>
      </c>
      <c r="AD80">
        <v>2185</v>
      </c>
      <c r="AE80">
        <v>24</v>
      </c>
      <c r="AF80">
        <v>5</v>
      </c>
      <c r="AG80">
        <v>29</v>
      </c>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row>
    <row r="81" spans="1:159" ht="14.5" x14ac:dyDescent="0.35">
      <c r="A81" t="s">
        <v>218</v>
      </c>
      <c r="B81" t="s">
        <v>219</v>
      </c>
      <c r="C81">
        <v>11884</v>
      </c>
      <c r="D81">
        <v>65</v>
      </c>
      <c r="E81">
        <v>838</v>
      </c>
      <c r="F81">
        <v>1039</v>
      </c>
      <c r="G81">
        <v>2572</v>
      </c>
      <c r="H81">
        <v>16398</v>
      </c>
      <c r="I81">
        <v>13826</v>
      </c>
      <c r="J81">
        <v>92</v>
      </c>
      <c r="K81">
        <v>131.04</v>
      </c>
      <c r="L81">
        <v>129.75</v>
      </c>
      <c r="M81">
        <v>11.27</v>
      </c>
      <c r="N81">
        <v>139.12</v>
      </c>
      <c r="O81">
        <v>8741</v>
      </c>
      <c r="P81">
        <v>109.53</v>
      </c>
      <c r="Q81">
        <v>101.4</v>
      </c>
      <c r="R81">
        <v>68.430000000000007</v>
      </c>
      <c r="S81">
        <v>173.84</v>
      </c>
      <c r="T81">
        <v>1112</v>
      </c>
      <c r="U81">
        <v>200.97</v>
      </c>
      <c r="V81">
        <v>2330</v>
      </c>
      <c r="W81">
        <v>155.19</v>
      </c>
      <c r="X81">
        <v>39</v>
      </c>
      <c r="Y81">
        <v>11</v>
      </c>
      <c r="Z81">
        <v>5</v>
      </c>
      <c r="AA81">
        <v>27</v>
      </c>
      <c r="AB81">
        <v>107</v>
      </c>
      <c r="AC81">
        <v>44</v>
      </c>
      <c r="AD81">
        <v>11548</v>
      </c>
      <c r="AE81">
        <v>170</v>
      </c>
      <c r="AF81">
        <v>44</v>
      </c>
      <c r="AG81">
        <v>214</v>
      </c>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row>
    <row r="82" spans="1:159" ht="14.5" x14ac:dyDescent="0.35">
      <c r="A82" t="s">
        <v>220</v>
      </c>
      <c r="B82" t="s">
        <v>221</v>
      </c>
      <c r="C82">
        <v>3302</v>
      </c>
      <c r="D82">
        <v>0</v>
      </c>
      <c r="E82">
        <v>250</v>
      </c>
      <c r="F82">
        <v>275</v>
      </c>
      <c r="G82">
        <v>438</v>
      </c>
      <c r="H82">
        <v>4265</v>
      </c>
      <c r="I82">
        <v>3827</v>
      </c>
      <c r="J82">
        <v>7</v>
      </c>
      <c r="K82">
        <v>124.5</v>
      </c>
      <c r="L82">
        <v>121.73</v>
      </c>
      <c r="M82">
        <v>9.57</v>
      </c>
      <c r="N82">
        <v>132.66999999999999</v>
      </c>
      <c r="O82">
        <v>1956</v>
      </c>
      <c r="P82">
        <v>127.92</v>
      </c>
      <c r="Q82">
        <v>104.61</v>
      </c>
      <c r="R82">
        <v>33.33</v>
      </c>
      <c r="S82">
        <v>161.08000000000001</v>
      </c>
      <c r="T82">
        <v>386</v>
      </c>
      <c r="U82">
        <v>193.39</v>
      </c>
      <c r="V82">
        <v>1048</v>
      </c>
      <c r="W82">
        <v>168.1</v>
      </c>
      <c r="X82">
        <v>13</v>
      </c>
      <c r="Y82">
        <v>39</v>
      </c>
      <c r="Z82">
        <v>1</v>
      </c>
      <c r="AA82">
        <v>0</v>
      </c>
      <c r="AB82">
        <v>40</v>
      </c>
      <c r="AC82">
        <v>15</v>
      </c>
      <c r="AD82">
        <v>3212</v>
      </c>
      <c r="AE82">
        <v>28</v>
      </c>
      <c r="AF82">
        <v>19</v>
      </c>
      <c r="AG82">
        <v>47</v>
      </c>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row>
    <row r="83" spans="1:159" ht="14.5" x14ac:dyDescent="0.35">
      <c r="A83" t="s">
        <v>222</v>
      </c>
      <c r="B83" t="s">
        <v>223</v>
      </c>
      <c r="C83">
        <v>2216</v>
      </c>
      <c r="D83">
        <v>4</v>
      </c>
      <c r="E83">
        <v>306</v>
      </c>
      <c r="F83">
        <v>531</v>
      </c>
      <c r="G83">
        <v>141</v>
      </c>
      <c r="H83">
        <v>3198</v>
      </c>
      <c r="I83">
        <v>3057</v>
      </c>
      <c r="J83">
        <v>505</v>
      </c>
      <c r="K83">
        <v>83.99</v>
      </c>
      <c r="L83">
        <v>80.98</v>
      </c>
      <c r="M83">
        <v>4.54</v>
      </c>
      <c r="N83">
        <v>86.97</v>
      </c>
      <c r="O83">
        <v>1309</v>
      </c>
      <c r="P83">
        <v>99.6</v>
      </c>
      <c r="Q83">
        <v>82.22</v>
      </c>
      <c r="R83">
        <v>57.25</v>
      </c>
      <c r="S83">
        <v>156.37</v>
      </c>
      <c r="T83">
        <v>598</v>
      </c>
      <c r="U83">
        <v>105.9</v>
      </c>
      <c r="V83">
        <v>783</v>
      </c>
      <c r="W83">
        <v>116.35</v>
      </c>
      <c r="X83">
        <v>41</v>
      </c>
      <c r="Y83">
        <v>0</v>
      </c>
      <c r="Z83">
        <v>3</v>
      </c>
      <c r="AA83">
        <v>1</v>
      </c>
      <c r="AB83">
        <v>10</v>
      </c>
      <c r="AC83">
        <v>8</v>
      </c>
      <c r="AD83">
        <v>2170</v>
      </c>
      <c r="AE83">
        <v>27</v>
      </c>
      <c r="AF83">
        <v>10</v>
      </c>
      <c r="AG83">
        <v>37</v>
      </c>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row>
    <row r="84" spans="1:159" ht="14.5" x14ac:dyDescent="0.35">
      <c r="A84" t="s">
        <v>224</v>
      </c>
      <c r="B84" t="s">
        <v>225</v>
      </c>
      <c r="C84">
        <v>1859</v>
      </c>
      <c r="D84">
        <v>12</v>
      </c>
      <c r="E84">
        <v>146</v>
      </c>
      <c r="F84">
        <v>107</v>
      </c>
      <c r="G84">
        <v>1344</v>
      </c>
      <c r="H84">
        <v>3468</v>
      </c>
      <c r="I84">
        <v>2124</v>
      </c>
      <c r="J84">
        <v>12</v>
      </c>
      <c r="K84">
        <v>115.24</v>
      </c>
      <c r="L84">
        <v>111.36</v>
      </c>
      <c r="M84">
        <v>7.71</v>
      </c>
      <c r="N84">
        <v>122.32</v>
      </c>
      <c r="O84">
        <v>857</v>
      </c>
      <c r="P84">
        <v>141.87</v>
      </c>
      <c r="Q84">
        <v>88.07</v>
      </c>
      <c r="R84">
        <v>46.83</v>
      </c>
      <c r="S84">
        <v>184.75</v>
      </c>
      <c r="T84">
        <v>142</v>
      </c>
      <c r="U84">
        <v>177.91</v>
      </c>
      <c r="V84">
        <v>571</v>
      </c>
      <c r="W84">
        <v>0</v>
      </c>
      <c r="X84">
        <v>0</v>
      </c>
      <c r="Y84">
        <v>0</v>
      </c>
      <c r="Z84">
        <v>1</v>
      </c>
      <c r="AA84">
        <v>0</v>
      </c>
      <c r="AB84">
        <v>116</v>
      </c>
      <c r="AC84">
        <v>37</v>
      </c>
      <c r="AD84">
        <v>1480</v>
      </c>
      <c r="AE84">
        <v>9</v>
      </c>
      <c r="AF84">
        <v>2</v>
      </c>
      <c r="AG84">
        <v>11</v>
      </c>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row>
    <row r="85" spans="1:159" ht="14.5" x14ac:dyDescent="0.35">
      <c r="A85" t="s">
        <v>226</v>
      </c>
      <c r="B85" t="s">
        <v>227</v>
      </c>
      <c r="C85">
        <v>5984</v>
      </c>
      <c r="D85">
        <v>102</v>
      </c>
      <c r="E85">
        <v>612</v>
      </c>
      <c r="F85">
        <v>1375</v>
      </c>
      <c r="G85">
        <v>569</v>
      </c>
      <c r="H85">
        <v>8642</v>
      </c>
      <c r="I85">
        <v>8073</v>
      </c>
      <c r="J85">
        <v>26</v>
      </c>
      <c r="K85">
        <v>95.05</v>
      </c>
      <c r="L85">
        <v>92.9</v>
      </c>
      <c r="M85">
        <v>6.85</v>
      </c>
      <c r="N85">
        <v>99.85</v>
      </c>
      <c r="O85">
        <v>5162</v>
      </c>
      <c r="P85">
        <v>93.09</v>
      </c>
      <c r="Q85">
        <v>84.4</v>
      </c>
      <c r="R85">
        <v>51.84</v>
      </c>
      <c r="S85">
        <v>144.31</v>
      </c>
      <c r="T85">
        <v>1597</v>
      </c>
      <c r="U85">
        <v>115.9</v>
      </c>
      <c r="V85">
        <v>675</v>
      </c>
      <c r="W85">
        <v>203.53</v>
      </c>
      <c r="X85">
        <v>2</v>
      </c>
      <c r="Y85">
        <v>0</v>
      </c>
      <c r="Z85">
        <v>5</v>
      </c>
      <c r="AA85">
        <v>10</v>
      </c>
      <c r="AB85">
        <v>54</v>
      </c>
      <c r="AC85">
        <v>16</v>
      </c>
      <c r="AD85">
        <v>5798</v>
      </c>
      <c r="AE85">
        <v>21</v>
      </c>
      <c r="AF85">
        <v>24</v>
      </c>
      <c r="AG85">
        <v>45</v>
      </c>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row>
    <row r="86" spans="1:159" ht="14.5" x14ac:dyDescent="0.35">
      <c r="A86" t="s">
        <v>228</v>
      </c>
      <c r="B86" t="s">
        <v>229</v>
      </c>
      <c r="C86">
        <v>3896</v>
      </c>
      <c r="D86">
        <v>0</v>
      </c>
      <c r="E86">
        <v>69</v>
      </c>
      <c r="F86">
        <v>274</v>
      </c>
      <c r="G86">
        <v>249</v>
      </c>
      <c r="H86">
        <v>4488</v>
      </c>
      <c r="I86">
        <v>4239</v>
      </c>
      <c r="J86">
        <v>0</v>
      </c>
      <c r="K86">
        <v>98.66</v>
      </c>
      <c r="L86">
        <v>100.43</v>
      </c>
      <c r="M86">
        <v>3.18</v>
      </c>
      <c r="N86">
        <v>101.46</v>
      </c>
      <c r="O86">
        <v>3350</v>
      </c>
      <c r="P86">
        <v>92.59</v>
      </c>
      <c r="Q86">
        <v>88.89</v>
      </c>
      <c r="R86">
        <v>32.71</v>
      </c>
      <c r="S86">
        <v>123.61</v>
      </c>
      <c r="T86">
        <v>329</v>
      </c>
      <c r="U86">
        <v>121.36</v>
      </c>
      <c r="V86">
        <v>415</v>
      </c>
      <c r="W86">
        <v>205.83</v>
      </c>
      <c r="X86">
        <v>2</v>
      </c>
      <c r="Y86">
        <v>0</v>
      </c>
      <c r="Z86">
        <v>10</v>
      </c>
      <c r="AA86">
        <v>2</v>
      </c>
      <c r="AB86">
        <v>3</v>
      </c>
      <c r="AC86">
        <v>4</v>
      </c>
      <c r="AD86">
        <v>3745</v>
      </c>
      <c r="AE86">
        <v>34</v>
      </c>
      <c r="AF86">
        <v>8</v>
      </c>
      <c r="AG86">
        <v>42</v>
      </c>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row>
    <row r="87" spans="1:159" ht="14.5" x14ac:dyDescent="0.35">
      <c r="A87" t="s">
        <v>230</v>
      </c>
      <c r="B87" t="s">
        <v>231</v>
      </c>
      <c r="C87">
        <v>2826</v>
      </c>
      <c r="D87">
        <v>3</v>
      </c>
      <c r="E87">
        <v>853</v>
      </c>
      <c r="F87">
        <v>992</v>
      </c>
      <c r="G87">
        <v>528</v>
      </c>
      <c r="H87">
        <v>5202</v>
      </c>
      <c r="I87">
        <v>4674</v>
      </c>
      <c r="J87">
        <v>121</v>
      </c>
      <c r="K87">
        <v>87.28</v>
      </c>
      <c r="L87">
        <v>83.94</v>
      </c>
      <c r="M87">
        <v>5.81</v>
      </c>
      <c r="N87">
        <v>90.64</v>
      </c>
      <c r="O87">
        <v>1699</v>
      </c>
      <c r="P87">
        <v>110.13</v>
      </c>
      <c r="Q87">
        <v>88.04</v>
      </c>
      <c r="R87">
        <v>42.65</v>
      </c>
      <c r="S87">
        <v>152.41</v>
      </c>
      <c r="T87">
        <v>1590</v>
      </c>
      <c r="U87">
        <v>105.86</v>
      </c>
      <c r="V87">
        <v>1016</v>
      </c>
      <c r="W87">
        <v>236.75</v>
      </c>
      <c r="X87">
        <v>82</v>
      </c>
      <c r="Y87">
        <v>12</v>
      </c>
      <c r="Z87">
        <v>0</v>
      </c>
      <c r="AA87">
        <v>3</v>
      </c>
      <c r="AB87">
        <v>93</v>
      </c>
      <c r="AC87">
        <v>11</v>
      </c>
      <c r="AD87">
        <v>2724</v>
      </c>
      <c r="AE87">
        <v>17</v>
      </c>
      <c r="AF87">
        <v>30</v>
      </c>
      <c r="AG87">
        <v>47</v>
      </c>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row>
    <row r="88" spans="1:159" ht="14.5" x14ac:dyDescent="0.35">
      <c r="A88" t="s">
        <v>232</v>
      </c>
      <c r="B88" t="s">
        <v>233</v>
      </c>
      <c r="C88">
        <v>16870</v>
      </c>
      <c r="D88">
        <v>16</v>
      </c>
      <c r="E88">
        <v>804</v>
      </c>
      <c r="F88">
        <v>3982</v>
      </c>
      <c r="G88">
        <v>1681</v>
      </c>
      <c r="H88">
        <v>23353</v>
      </c>
      <c r="I88">
        <v>21672</v>
      </c>
      <c r="J88">
        <v>8</v>
      </c>
      <c r="K88">
        <v>105.92</v>
      </c>
      <c r="L88">
        <v>104.68</v>
      </c>
      <c r="M88">
        <v>4.67</v>
      </c>
      <c r="N88">
        <v>108.93</v>
      </c>
      <c r="O88">
        <v>14598</v>
      </c>
      <c r="P88">
        <v>96.11</v>
      </c>
      <c r="Q88">
        <v>92.94</v>
      </c>
      <c r="R88">
        <v>25.3</v>
      </c>
      <c r="S88">
        <v>120.73</v>
      </c>
      <c r="T88">
        <v>4131</v>
      </c>
      <c r="U88">
        <v>148.34</v>
      </c>
      <c r="V88">
        <v>2198</v>
      </c>
      <c r="W88">
        <v>171.64</v>
      </c>
      <c r="X88">
        <v>56</v>
      </c>
      <c r="Y88">
        <v>0</v>
      </c>
      <c r="Z88">
        <v>10</v>
      </c>
      <c r="AA88">
        <v>41</v>
      </c>
      <c r="AB88">
        <v>209</v>
      </c>
      <c r="AC88">
        <v>33</v>
      </c>
      <c r="AD88">
        <v>16818</v>
      </c>
      <c r="AE88">
        <v>59</v>
      </c>
      <c r="AF88">
        <v>126</v>
      </c>
      <c r="AG88">
        <v>185</v>
      </c>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row>
    <row r="89" spans="1:159" ht="14.5" x14ac:dyDescent="0.35">
      <c r="A89" t="s">
        <v>234</v>
      </c>
      <c r="B89" t="s">
        <v>235</v>
      </c>
      <c r="C89">
        <v>2221</v>
      </c>
      <c r="D89">
        <v>0</v>
      </c>
      <c r="E89">
        <v>165</v>
      </c>
      <c r="F89">
        <v>545</v>
      </c>
      <c r="G89">
        <v>316</v>
      </c>
      <c r="H89">
        <v>3247</v>
      </c>
      <c r="I89">
        <v>2931</v>
      </c>
      <c r="J89">
        <v>25</v>
      </c>
      <c r="K89">
        <v>96.96</v>
      </c>
      <c r="L89">
        <v>94.88</v>
      </c>
      <c r="M89">
        <v>8.7200000000000006</v>
      </c>
      <c r="N89">
        <v>103.61</v>
      </c>
      <c r="O89">
        <v>1717</v>
      </c>
      <c r="P89">
        <v>117.02</v>
      </c>
      <c r="Q89">
        <v>91.51</v>
      </c>
      <c r="R89">
        <v>45.57</v>
      </c>
      <c r="S89">
        <v>158.9</v>
      </c>
      <c r="T89">
        <v>691</v>
      </c>
      <c r="U89">
        <v>141.46</v>
      </c>
      <c r="V89">
        <v>393</v>
      </c>
      <c r="W89">
        <v>0</v>
      </c>
      <c r="X89">
        <v>0</v>
      </c>
      <c r="Y89">
        <v>64</v>
      </c>
      <c r="Z89">
        <v>0</v>
      </c>
      <c r="AA89">
        <v>0</v>
      </c>
      <c r="AB89">
        <v>37</v>
      </c>
      <c r="AC89">
        <v>11</v>
      </c>
      <c r="AD89">
        <v>2144</v>
      </c>
      <c r="AE89">
        <v>20</v>
      </c>
      <c r="AF89">
        <v>35</v>
      </c>
      <c r="AG89">
        <v>55</v>
      </c>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row>
    <row r="90" spans="1:159" ht="14.5" x14ac:dyDescent="0.35">
      <c r="A90" t="s">
        <v>236</v>
      </c>
      <c r="B90" t="s">
        <v>237</v>
      </c>
      <c r="C90">
        <v>4104</v>
      </c>
      <c r="D90">
        <v>0</v>
      </c>
      <c r="E90">
        <v>408</v>
      </c>
      <c r="F90">
        <v>790</v>
      </c>
      <c r="G90">
        <v>748</v>
      </c>
      <c r="H90">
        <v>6050</v>
      </c>
      <c r="I90">
        <v>5302</v>
      </c>
      <c r="J90">
        <v>16</v>
      </c>
      <c r="K90">
        <v>99.44</v>
      </c>
      <c r="L90">
        <v>96.92</v>
      </c>
      <c r="M90">
        <v>6.92</v>
      </c>
      <c r="N90">
        <v>105.34</v>
      </c>
      <c r="O90">
        <v>3221</v>
      </c>
      <c r="P90">
        <v>117.71</v>
      </c>
      <c r="Q90">
        <v>100.08</v>
      </c>
      <c r="R90">
        <v>60.45</v>
      </c>
      <c r="S90">
        <v>175.77</v>
      </c>
      <c r="T90">
        <v>936</v>
      </c>
      <c r="U90">
        <v>123.38</v>
      </c>
      <c r="V90">
        <v>796</v>
      </c>
      <c r="W90">
        <v>114.48</v>
      </c>
      <c r="X90">
        <v>13</v>
      </c>
      <c r="Y90">
        <v>21</v>
      </c>
      <c r="Z90">
        <v>4</v>
      </c>
      <c r="AA90">
        <v>3</v>
      </c>
      <c r="AB90">
        <v>43</v>
      </c>
      <c r="AC90">
        <v>10</v>
      </c>
      <c r="AD90">
        <v>4104</v>
      </c>
      <c r="AE90">
        <v>16</v>
      </c>
      <c r="AF90">
        <v>20</v>
      </c>
      <c r="AG90">
        <v>36</v>
      </c>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row>
    <row r="91" spans="1:159" ht="14.5" x14ac:dyDescent="0.35">
      <c r="A91" t="s">
        <v>238</v>
      </c>
      <c r="B91" t="s">
        <v>239</v>
      </c>
      <c r="C91">
        <v>11430</v>
      </c>
      <c r="D91">
        <v>251</v>
      </c>
      <c r="E91">
        <v>921</v>
      </c>
      <c r="F91">
        <v>746</v>
      </c>
      <c r="G91">
        <v>3355</v>
      </c>
      <c r="H91">
        <v>16703</v>
      </c>
      <c r="I91">
        <v>13348</v>
      </c>
      <c r="J91">
        <v>55</v>
      </c>
      <c r="K91">
        <v>136.58000000000001</v>
      </c>
      <c r="L91">
        <v>134.66</v>
      </c>
      <c r="M91">
        <v>12.13</v>
      </c>
      <c r="N91">
        <v>145.4</v>
      </c>
      <c r="O91">
        <v>8350</v>
      </c>
      <c r="P91">
        <v>141.91999999999999</v>
      </c>
      <c r="Q91">
        <v>127.73</v>
      </c>
      <c r="R91">
        <v>59.37</v>
      </c>
      <c r="S91">
        <v>200.52</v>
      </c>
      <c r="T91">
        <v>1074</v>
      </c>
      <c r="U91">
        <v>211.15</v>
      </c>
      <c r="V91">
        <v>1947</v>
      </c>
      <c r="W91">
        <v>207.96</v>
      </c>
      <c r="X91">
        <v>44</v>
      </c>
      <c r="Y91">
        <v>40</v>
      </c>
      <c r="Z91">
        <v>3</v>
      </c>
      <c r="AA91">
        <v>11</v>
      </c>
      <c r="AB91">
        <v>357</v>
      </c>
      <c r="AC91">
        <v>86</v>
      </c>
      <c r="AD91">
        <v>10749</v>
      </c>
      <c r="AE91">
        <v>221</v>
      </c>
      <c r="AF91">
        <v>80</v>
      </c>
      <c r="AG91">
        <v>301</v>
      </c>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row>
    <row r="92" spans="1:159" ht="14.5" x14ac:dyDescent="0.35">
      <c r="A92" t="s">
        <v>240</v>
      </c>
      <c r="B92" t="s">
        <v>241</v>
      </c>
      <c r="C92">
        <v>4416</v>
      </c>
      <c r="D92">
        <v>5</v>
      </c>
      <c r="E92">
        <v>114</v>
      </c>
      <c r="F92">
        <v>1016</v>
      </c>
      <c r="G92">
        <v>561</v>
      </c>
      <c r="H92">
        <v>6112</v>
      </c>
      <c r="I92">
        <v>5551</v>
      </c>
      <c r="J92">
        <v>85</v>
      </c>
      <c r="K92">
        <v>108.85</v>
      </c>
      <c r="L92">
        <v>108.67</v>
      </c>
      <c r="M92">
        <v>3.52</v>
      </c>
      <c r="N92">
        <v>110.25</v>
      </c>
      <c r="O92">
        <v>3694</v>
      </c>
      <c r="P92">
        <v>102.4</v>
      </c>
      <c r="Q92">
        <v>100.28</v>
      </c>
      <c r="R92">
        <v>32.06</v>
      </c>
      <c r="S92">
        <v>134.28</v>
      </c>
      <c r="T92">
        <v>1120</v>
      </c>
      <c r="U92">
        <v>151.07</v>
      </c>
      <c r="V92">
        <v>631</v>
      </c>
      <c r="W92">
        <v>0</v>
      </c>
      <c r="X92">
        <v>0</v>
      </c>
      <c r="Y92">
        <v>0</v>
      </c>
      <c r="Z92">
        <v>2</v>
      </c>
      <c r="AA92">
        <v>2</v>
      </c>
      <c r="AB92">
        <v>50</v>
      </c>
      <c r="AC92">
        <v>10</v>
      </c>
      <c r="AD92">
        <v>4403</v>
      </c>
      <c r="AE92">
        <v>24</v>
      </c>
      <c r="AF92">
        <v>148</v>
      </c>
      <c r="AG92">
        <v>172</v>
      </c>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row>
    <row r="93" spans="1:159" ht="14.5" x14ac:dyDescent="0.35">
      <c r="A93" t="s">
        <v>242</v>
      </c>
      <c r="B93" t="s">
        <v>243</v>
      </c>
      <c r="C93">
        <v>2699</v>
      </c>
      <c r="D93">
        <v>1</v>
      </c>
      <c r="E93">
        <v>206</v>
      </c>
      <c r="F93">
        <v>146</v>
      </c>
      <c r="G93">
        <v>980</v>
      </c>
      <c r="H93">
        <v>4032</v>
      </c>
      <c r="I93">
        <v>3052</v>
      </c>
      <c r="J93">
        <v>2</v>
      </c>
      <c r="K93">
        <v>99.5</v>
      </c>
      <c r="L93">
        <v>95.66</v>
      </c>
      <c r="M93">
        <v>4.3499999999999996</v>
      </c>
      <c r="N93">
        <v>102.79</v>
      </c>
      <c r="O93">
        <v>1660</v>
      </c>
      <c r="P93">
        <v>112.05</v>
      </c>
      <c r="Q93">
        <v>78.3</v>
      </c>
      <c r="R93">
        <v>56.6</v>
      </c>
      <c r="S93">
        <v>166.06</v>
      </c>
      <c r="T93">
        <v>262</v>
      </c>
      <c r="U93">
        <v>142.27000000000001</v>
      </c>
      <c r="V93">
        <v>857</v>
      </c>
      <c r="W93">
        <v>0</v>
      </c>
      <c r="X93">
        <v>0</v>
      </c>
      <c r="Y93">
        <v>0</v>
      </c>
      <c r="Z93">
        <v>1</v>
      </c>
      <c r="AA93">
        <v>1</v>
      </c>
      <c r="AB93">
        <v>43</v>
      </c>
      <c r="AC93">
        <v>18</v>
      </c>
      <c r="AD93">
        <v>2690</v>
      </c>
      <c r="AE93">
        <v>14</v>
      </c>
      <c r="AF93">
        <v>2</v>
      </c>
      <c r="AG93">
        <v>16</v>
      </c>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row>
    <row r="94" spans="1:159" ht="14.5" x14ac:dyDescent="0.35">
      <c r="A94" t="s">
        <v>244</v>
      </c>
      <c r="B94" t="s">
        <v>245</v>
      </c>
      <c r="C94">
        <v>5947</v>
      </c>
      <c r="D94">
        <v>0</v>
      </c>
      <c r="E94">
        <v>124</v>
      </c>
      <c r="F94">
        <v>792</v>
      </c>
      <c r="G94">
        <v>795</v>
      </c>
      <c r="H94">
        <v>7658</v>
      </c>
      <c r="I94">
        <v>6863</v>
      </c>
      <c r="J94">
        <v>14</v>
      </c>
      <c r="K94">
        <v>122.71</v>
      </c>
      <c r="L94">
        <v>120.08</v>
      </c>
      <c r="M94">
        <v>4.72</v>
      </c>
      <c r="N94">
        <v>124.51</v>
      </c>
      <c r="O94">
        <v>4259</v>
      </c>
      <c r="P94">
        <v>104.96</v>
      </c>
      <c r="Q94">
        <v>99.48</v>
      </c>
      <c r="R94">
        <v>21.48</v>
      </c>
      <c r="S94">
        <v>125.92</v>
      </c>
      <c r="T94">
        <v>877</v>
      </c>
      <c r="U94">
        <v>170.85</v>
      </c>
      <c r="V94">
        <v>1308</v>
      </c>
      <c r="W94">
        <v>134.08000000000001</v>
      </c>
      <c r="X94">
        <v>8</v>
      </c>
      <c r="Y94">
        <v>0</v>
      </c>
      <c r="Z94">
        <v>3</v>
      </c>
      <c r="AA94">
        <v>8</v>
      </c>
      <c r="AB94">
        <v>60</v>
      </c>
      <c r="AC94">
        <v>10</v>
      </c>
      <c r="AD94">
        <v>5673</v>
      </c>
      <c r="AE94">
        <v>9</v>
      </c>
      <c r="AF94">
        <v>37</v>
      </c>
      <c r="AG94">
        <v>46</v>
      </c>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row>
    <row r="95" spans="1:159" ht="14.5" x14ac:dyDescent="0.35">
      <c r="A95" t="s">
        <v>246</v>
      </c>
      <c r="B95" t="s">
        <v>247</v>
      </c>
      <c r="C95">
        <v>7436</v>
      </c>
      <c r="D95">
        <v>0</v>
      </c>
      <c r="E95">
        <v>175</v>
      </c>
      <c r="F95">
        <v>1055</v>
      </c>
      <c r="G95">
        <v>1053</v>
      </c>
      <c r="H95">
        <v>9719</v>
      </c>
      <c r="I95">
        <v>8666</v>
      </c>
      <c r="J95">
        <v>85</v>
      </c>
      <c r="K95">
        <v>123.74</v>
      </c>
      <c r="L95">
        <v>122.84</v>
      </c>
      <c r="M95">
        <v>6.46</v>
      </c>
      <c r="N95">
        <v>126.7</v>
      </c>
      <c r="O95">
        <v>5135</v>
      </c>
      <c r="P95">
        <v>112.8</v>
      </c>
      <c r="Q95">
        <v>105.49</v>
      </c>
      <c r="R95">
        <v>35.909999999999997</v>
      </c>
      <c r="S95">
        <v>147.54</v>
      </c>
      <c r="T95">
        <v>1188</v>
      </c>
      <c r="U95">
        <v>182.75</v>
      </c>
      <c r="V95">
        <v>2213</v>
      </c>
      <c r="W95">
        <v>0</v>
      </c>
      <c r="X95">
        <v>0</v>
      </c>
      <c r="Y95">
        <v>2</v>
      </c>
      <c r="Z95">
        <v>7</v>
      </c>
      <c r="AA95">
        <v>4</v>
      </c>
      <c r="AB95">
        <v>68</v>
      </c>
      <c r="AC95">
        <v>20</v>
      </c>
      <c r="AD95">
        <v>7410</v>
      </c>
      <c r="AE95">
        <v>99</v>
      </c>
      <c r="AF95">
        <v>51</v>
      </c>
      <c r="AG95">
        <v>150</v>
      </c>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row>
    <row r="96" spans="1:159" ht="14.5" x14ac:dyDescent="0.35">
      <c r="A96" t="s">
        <v>248</v>
      </c>
      <c r="B96" t="s">
        <v>249</v>
      </c>
      <c r="C96">
        <v>6972</v>
      </c>
      <c r="D96">
        <v>0</v>
      </c>
      <c r="E96">
        <v>194</v>
      </c>
      <c r="F96">
        <v>577</v>
      </c>
      <c r="G96">
        <v>666</v>
      </c>
      <c r="H96">
        <v>8409</v>
      </c>
      <c r="I96">
        <v>7743</v>
      </c>
      <c r="J96">
        <v>2</v>
      </c>
      <c r="K96">
        <v>88.49</v>
      </c>
      <c r="L96">
        <v>88.01</v>
      </c>
      <c r="M96">
        <v>3.23</v>
      </c>
      <c r="N96">
        <v>91.11</v>
      </c>
      <c r="O96">
        <v>5137</v>
      </c>
      <c r="P96">
        <v>87.52</v>
      </c>
      <c r="Q96">
        <v>81.52</v>
      </c>
      <c r="R96">
        <v>37.54</v>
      </c>
      <c r="S96">
        <v>123.98</v>
      </c>
      <c r="T96">
        <v>725</v>
      </c>
      <c r="U96">
        <v>100.64</v>
      </c>
      <c r="V96">
        <v>1597</v>
      </c>
      <c r="W96">
        <v>161.71</v>
      </c>
      <c r="X96">
        <v>40</v>
      </c>
      <c r="Y96">
        <v>0</v>
      </c>
      <c r="Z96">
        <v>9</v>
      </c>
      <c r="AA96">
        <v>1</v>
      </c>
      <c r="AB96">
        <v>30</v>
      </c>
      <c r="AC96">
        <v>9</v>
      </c>
      <c r="AD96">
        <v>6813</v>
      </c>
      <c r="AE96">
        <v>60</v>
      </c>
      <c r="AF96">
        <v>55</v>
      </c>
      <c r="AG96">
        <v>115</v>
      </c>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row>
    <row r="97" spans="1:159" ht="14.5" x14ac:dyDescent="0.35">
      <c r="A97" t="s">
        <v>250</v>
      </c>
      <c r="B97" t="s">
        <v>251</v>
      </c>
      <c r="C97">
        <v>2728</v>
      </c>
      <c r="D97">
        <v>0</v>
      </c>
      <c r="E97">
        <v>775</v>
      </c>
      <c r="F97">
        <v>618</v>
      </c>
      <c r="G97">
        <v>588</v>
      </c>
      <c r="H97">
        <v>4709</v>
      </c>
      <c r="I97">
        <v>4121</v>
      </c>
      <c r="J97">
        <v>124</v>
      </c>
      <c r="K97">
        <v>95.26</v>
      </c>
      <c r="L97">
        <v>92.65</v>
      </c>
      <c r="M97">
        <v>4.9800000000000004</v>
      </c>
      <c r="N97">
        <v>98.17</v>
      </c>
      <c r="O97">
        <v>1311</v>
      </c>
      <c r="P97">
        <v>101.4</v>
      </c>
      <c r="Q97">
        <v>85.43</v>
      </c>
      <c r="R97">
        <v>49.27</v>
      </c>
      <c r="S97">
        <v>148.01</v>
      </c>
      <c r="T97">
        <v>798</v>
      </c>
      <c r="U97">
        <v>111.96</v>
      </c>
      <c r="V97">
        <v>1157</v>
      </c>
      <c r="W97">
        <v>118.99</v>
      </c>
      <c r="X97">
        <v>11</v>
      </c>
      <c r="Y97">
        <v>0</v>
      </c>
      <c r="Z97">
        <v>1</v>
      </c>
      <c r="AA97">
        <v>0</v>
      </c>
      <c r="AB97">
        <v>111</v>
      </c>
      <c r="AC97">
        <v>17</v>
      </c>
      <c r="AD97">
        <v>2520</v>
      </c>
      <c r="AE97">
        <v>12</v>
      </c>
      <c r="AF97">
        <v>9</v>
      </c>
      <c r="AG97">
        <v>21</v>
      </c>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row>
    <row r="98" spans="1:159" ht="14.5" x14ac:dyDescent="0.35">
      <c r="A98" t="s">
        <v>252</v>
      </c>
      <c r="B98" t="s">
        <v>253</v>
      </c>
      <c r="C98">
        <v>6577</v>
      </c>
      <c r="D98">
        <v>0</v>
      </c>
      <c r="E98">
        <v>137</v>
      </c>
      <c r="F98">
        <v>381</v>
      </c>
      <c r="G98">
        <v>375</v>
      </c>
      <c r="H98">
        <v>7470</v>
      </c>
      <c r="I98">
        <v>7095</v>
      </c>
      <c r="J98">
        <v>3</v>
      </c>
      <c r="K98">
        <v>87.54</v>
      </c>
      <c r="L98">
        <v>84.44</v>
      </c>
      <c r="M98">
        <v>6.52</v>
      </c>
      <c r="N98">
        <v>90.32</v>
      </c>
      <c r="O98">
        <v>5093</v>
      </c>
      <c r="P98">
        <v>86.12</v>
      </c>
      <c r="Q98">
        <v>79.42</v>
      </c>
      <c r="R98">
        <v>63.71</v>
      </c>
      <c r="S98">
        <v>148.82</v>
      </c>
      <c r="T98">
        <v>506</v>
      </c>
      <c r="U98">
        <v>109.46</v>
      </c>
      <c r="V98">
        <v>1458</v>
      </c>
      <c r="W98">
        <v>0</v>
      </c>
      <c r="X98">
        <v>0</v>
      </c>
      <c r="Y98">
        <v>0</v>
      </c>
      <c r="Z98">
        <v>14</v>
      </c>
      <c r="AA98">
        <v>8</v>
      </c>
      <c r="AB98">
        <v>22</v>
      </c>
      <c r="AC98">
        <v>7</v>
      </c>
      <c r="AD98">
        <v>6571</v>
      </c>
      <c r="AE98">
        <v>49</v>
      </c>
      <c r="AF98">
        <v>19</v>
      </c>
      <c r="AG98">
        <v>68</v>
      </c>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row>
    <row r="99" spans="1:159" ht="14.5" x14ac:dyDescent="0.35">
      <c r="A99" t="s">
        <v>254</v>
      </c>
      <c r="B99" t="s">
        <v>255</v>
      </c>
      <c r="C99">
        <v>8975</v>
      </c>
      <c r="D99">
        <v>0</v>
      </c>
      <c r="E99">
        <v>387</v>
      </c>
      <c r="F99">
        <v>1020</v>
      </c>
      <c r="G99">
        <v>317</v>
      </c>
      <c r="H99">
        <v>10699</v>
      </c>
      <c r="I99">
        <v>10382</v>
      </c>
      <c r="J99">
        <v>258</v>
      </c>
      <c r="K99">
        <v>96.45</v>
      </c>
      <c r="L99">
        <v>93.39</v>
      </c>
      <c r="M99">
        <v>5.79</v>
      </c>
      <c r="N99">
        <v>99.51</v>
      </c>
      <c r="O99">
        <v>7328</v>
      </c>
      <c r="P99">
        <v>90.01</v>
      </c>
      <c r="Q99">
        <v>83.52</v>
      </c>
      <c r="R99">
        <v>53.47</v>
      </c>
      <c r="S99">
        <v>142.55000000000001</v>
      </c>
      <c r="T99">
        <v>1270</v>
      </c>
      <c r="U99">
        <v>114.92</v>
      </c>
      <c r="V99">
        <v>1348</v>
      </c>
      <c r="W99">
        <v>118.2</v>
      </c>
      <c r="X99">
        <v>17</v>
      </c>
      <c r="Y99">
        <v>0</v>
      </c>
      <c r="Z99">
        <v>0</v>
      </c>
      <c r="AA99">
        <v>40</v>
      </c>
      <c r="AB99">
        <v>23</v>
      </c>
      <c r="AC99">
        <v>5</v>
      </c>
      <c r="AD99">
        <v>8942</v>
      </c>
      <c r="AE99">
        <v>31</v>
      </c>
      <c r="AF99">
        <v>25</v>
      </c>
      <c r="AG99">
        <v>56</v>
      </c>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row>
    <row r="100" spans="1:159" ht="14.5" x14ac:dyDescent="0.35">
      <c r="A100" t="s">
        <v>256</v>
      </c>
      <c r="B100" t="s">
        <v>257</v>
      </c>
      <c r="C100">
        <v>1711</v>
      </c>
      <c r="D100">
        <v>0</v>
      </c>
      <c r="E100">
        <v>223</v>
      </c>
      <c r="F100">
        <v>632</v>
      </c>
      <c r="G100">
        <v>166</v>
      </c>
      <c r="H100">
        <v>2732</v>
      </c>
      <c r="I100">
        <v>2566</v>
      </c>
      <c r="J100">
        <v>32</v>
      </c>
      <c r="K100">
        <v>101.44</v>
      </c>
      <c r="L100">
        <v>97.64</v>
      </c>
      <c r="M100">
        <v>8.76</v>
      </c>
      <c r="N100">
        <v>108.81</v>
      </c>
      <c r="O100">
        <v>1469</v>
      </c>
      <c r="P100">
        <v>86.58</v>
      </c>
      <c r="Q100">
        <v>77.77</v>
      </c>
      <c r="R100">
        <v>47.25</v>
      </c>
      <c r="S100">
        <v>133.21</v>
      </c>
      <c r="T100">
        <v>684</v>
      </c>
      <c r="U100">
        <v>145.19999999999999</v>
      </c>
      <c r="V100">
        <v>218</v>
      </c>
      <c r="W100">
        <v>149.75</v>
      </c>
      <c r="X100">
        <v>18</v>
      </c>
      <c r="Y100">
        <v>50</v>
      </c>
      <c r="Z100">
        <v>1</v>
      </c>
      <c r="AA100">
        <v>0</v>
      </c>
      <c r="AB100">
        <v>0</v>
      </c>
      <c r="AC100">
        <v>2</v>
      </c>
      <c r="AD100">
        <v>1709</v>
      </c>
      <c r="AE100">
        <v>10</v>
      </c>
      <c r="AF100">
        <v>18</v>
      </c>
      <c r="AG100">
        <v>28</v>
      </c>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row>
    <row r="101" spans="1:159" ht="14.5" x14ac:dyDescent="0.35">
      <c r="A101" t="s">
        <v>258</v>
      </c>
      <c r="B101" t="s">
        <v>259</v>
      </c>
      <c r="C101">
        <v>6909</v>
      </c>
      <c r="D101">
        <v>0</v>
      </c>
      <c r="E101">
        <v>172</v>
      </c>
      <c r="F101">
        <v>715</v>
      </c>
      <c r="G101">
        <v>1301</v>
      </c>
      <c r="H101">
        <v>9097</v>
      </c>
      <c r="I101">
        <v>7796</v>
      </c>
      <c r="J101">
        <v>36</v>
      </c>
      <c r="K101">
        <v>115.45</v>
      </c>
      <c r="L101">
        <v>110.83</v>
      </c>
      <c r="M101">
        <v>5.75</v>
      </c>
      <c r="N101">
        <v>118.43</v>
      </c>
      <c r="O101">
        <v>4821</v>
      </c>
      <c r="P101">
        <v>109.37</v>
      </c>
      <c r="Q101">
        <v>92.51</v>
      </c>
      <c r="R101">
        <v>41.59</v>
      </c>
      <c r="S101">
        <v>150.9</v>
      </c>
      <c r="T101">
        <v>760</v>
      </c>
      <c r="U101">
        <v>162.69999999999999</v>
      </c>
      <c r="V101">
        <v>1940</v>
      </c>
      <c r="W101">
        <v>179.34</v>
      </c>
      <c r="X101">
        <v>50</v>
      </c>
      <c r="Y101">
        <v>0</v>
      </c>
      <c r="Z101">
        <v>3</v>
      </c>
      <c r="AA101">
        <v>3</v>
      </c>
      <c r="AB101">
        <v>86</v>
      </c>
      <c r="AC101">
        <v>20</v>
      </c>
      <c r="AD101">
        <v>6909</v>
      </c>
      <c r="AE101">
        <v>49</v>
      </c>
      <c r="AF101">
        <v>41</v>
      </c>
      <c r="AG101">
        <v>90</v>
      </c>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row>
    <row r="102" spans="1:159" ht="14.5" x14ac:dyDescent="0.35">
      <c r="A102" t="s">
        <v>260</v>
      </c>
      <c r="B102" t="s">
        <v>261</v>
      </c>
      <c r="C102">
        <v>2221</v>
      </c>
      <c r="D102">
        <v>0</v>
      </c>
      <c r="E102">
        <v>163</v>
      </c>
      <c r="F102">
        <v>211</v>
      </c>
      <c r="G102">
        <v>232</v>
      </c>
      <c r="H102">
        <v>2827</v>
      </c>
      <c r="I102">
        <v>2595</v>
      </c>
      <c r="J102">
        <v>10</v>
      </c>
      <c r="K102">
        <v>102.95</v>
      </c>
      <c r="L102">
        <v>103.36</v>
      </c>
      <c r="M102">
        <v>6.03</v>
      </c>
      <c r="N102">
        <v>105.11</v>
      </c>
      <c r="O102">
        <v>1935</v>
      </c>
      <c r="P102">
        <v>94.84</v>
      </c>
      <c r="Q102">
        <v>88.04</v>
      </c>
      <c r="R102">
        <v>35.619999999999997</v>
      </c>
      <c r="S102">
        <v>127.89</v>
      </c>
      <c r="T102">
        <v>361</v>
      </c>
      <c r="U102">
        <v>116.31</v>
      </c>
      <c r="V102">
        <v>251</v>
      </c>
      <c r="W102">
        <v>0</v>
      </c>
      <c r="X102">
        <v>0</v>
      </c>
      <c r="Y102">
        <v>0</v>
      </c>
      <c r="Z102">
        <v>3</v>
      </c>
      <c r="AA102">
        <v>0</v>
      </c>
      <c r="AB102">
        <v>13</v>
      </c>
      <c r="AC102">
        <v>1</v>
      </c>
      <c r="AD102">
        <v>2183</v>
      </c>
      <c r="AE102">
        <v>45</v>
      </c>
      <c r="AF102">
        <v>3</v>
      </c>
      <c r="AG102">
        <v>48</v>
      </c>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row>
    <row r="103" spans="1:159" ht="14.5" x14ac:dyDescent="0.35">
      <c r="A103" t="s">
        <v>262</v>
      </c>
      <c r="B103" t="s">
        <v>263</v>
      </c>
      <c r="C103">
        <v>4679</v>
      </c>
      <c r="D103">
        <v>16</v>
      </c>
      <c r="E103">
        <v>124</v>
      </c>
      <c r="F103">
        <v>886</v>
      </c>
      <c r="G103">
        <v>562</v>
      </c>
      <c r="H103">
        <v>6267</v>
      </c>
      <c r="I103">
        <v>5705</v>
      </c>
      <c r="J103">
        <v>54</v>
      </c>
      <c r="K103">
        <v>136.15</v>
      </c>
      <c r="L103">
        <v>137.44999999999999</v>
      </c>
      <c r="M103">
        <v>11.18</v>
      </c>
      <c r="N103">
        <v>141.63999999999999</v>
      </c>
      <c r="O103">
        <v>3677</v>
      </c>
      <c r="P103">
        <v>128.79</v>
      </c>
      <c r="Q103">
        <v>114.64</v>
      </c>
      <c r="R103">
        <v>26.43</v>
      </c>
      <c r="S103">
        <v>154.76</v>
      </c>
      <c r="T103">
        <v>794</v>
      </c>
      <c r="U103">
        <v>215.39</v>
      </c>
      <c r="V103">
        <v>740</v>
      </c>
      <c r="W103">
        <v>186.88</v>
      </c>
      <c r="X103">
        <v>10</v>
      </c>
      <c r="Y103">
        <v>0</v>
      </c>
      <c r="Z103">
        <v>1</v>
      </c>
      <c r="AA103">
        <v>1</v>
      </c>
      <c r="AB103">
        <v>13</v>
      </c>
      <c r="AC103">
        <v>18</v>
      </c>
      <c r="AD103">
        <v>4515</v>
      </c>
      <c r="AE103">
        <v>10</v>
      </c>
      <c r="AF103">
        <v>23</v>
      </c>
      <c r="AG103">
        <v>33</v>
      </c>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row>
    <row r="104" spans="1:159" ht="14.5" x14ac:dyDescent="0.35">
      <c r="A104" t="s">
        <v>264</v>
      </c>
      <c r="B104" t="s">
        <v>265</v>
      </c>
      <c r="C104">
        <v>7042</v>
      </c>
      <c r="D104">
        <v>330</v>
      </c>
      <c r="E104">
        <v>572</v>
      </c>
      <c r="F104">
        <v>697</v>
      </c>
      <c r="G104">
        <v>1434</v>
      </c>
      <c r="H104">
        <v>10075</v>
      </c>
      <c r="I104">
        <v>8641</v>
      </c>
      <c r="J104">
        <v>24</v>
      </c>
      <c r="K104">
        <v>130.06</v>
      </c>
      <c r="L104">
        <v>129.22999999999999</v>
      </c>
      <c r="M104">
        <v>15.9</v>
      </c>
      <c r="N104">
        <v>141.82</v>
      </c>
      <c r="O104">
        <v>5763</v>
      </c>
      <c r="P104">
        <v>121.4</v>
      </c>
      <c r="Q104">
        <v>110</v>
      </c>
      <c r="R104">
        <v>77.760000000000005</v>
      </c>
      <c r="S104">
        <v>197.44</v>
      </c>
      <c r="T104">
        <v>1080</v>
      </c>
      <c r="U104">
        <v>206.3</v>
      </c>
      <c r="V104">
        <v>791</v>
      </c>
      <c r="W104">
        <v>204.1</v>
      </c>
      <c r="X104">
        <v>30</v>
      </c>
      <c r="Y104">
        <v>0</v>
      </c>
      <c r="Z104">
        <v>6</v>
      </c>
      <c r="AA104">
        <v>6</v>
      </c>
      <c r="AB104">
        <v>50</v>
      </c>
      <c r="AC104">
        <v>43</v>
      </c>
      <c r="AD104">
        <v>6647</v>
      </c>
      <c r="AE104">
        <v>72</v>
      </c>
      <c r="AF104">
        <v>68</v>
      </c>
      <c r="AG104">
        <v>140</v>
      </c>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row>
    <row r="105" spans="1:159" ht="14.5" x14ac:dyDescent="0.35">
      <c r="A105" t="s">
        <v>266</v>
      </c>
      <c r="B105" t="s">
        <v>267</v>
      </c>
      <c r="C105">
        <v>1457</v>
      </c>
      <c r="D105">
        <v>0</v>
      </c>
      <c r="E105">
        <v>155</v>
      </c>
      <c r="F105">
        <v>228</v>
      </c>
      <c r="G105">
        <v>366</v>
      </c>
      <c r="H105">
        <v>2206</v>
      </c>
      <c r="I105">
        <v>1840</v>
      </c>
      <c r="J105">
        <v>8</v>
      </c>
      <c r="K105">
        <v>128.21</v>
      </c>
      <c r="L105">
        <v>125.85</v>
      </c>
      <c r="M105">
        <v>7.66</v>
      </c>
      <c r="N105">
        <v>134.97999999999999</v>
      </c>
      <c r="O105">
        <v>1226</v>
      </c>
      <c r="P105">
        <v>102.59</v>
      </c>
      <c r="Q105">
        <v>94.98</v>
      </c>
      <c r="R105">
        <v>58.86</v>
      </c>
      <c r="S105">
        <v>160.4</v>
      </c>
      <c r="T105">
        <v>282</v>
      </c>
      <c r="U105">
        <v>197.86</v>
      </c>
      <c r="V105">
        <v>214</v>
      </c>
      <c r="W105">
        <v>0</v>
      </c>
      <c r="X105">
        <v>0</v>
      </c>
      <c r="Y105">
        <v>0</v>
      </c>
      <c r="Z105">
        <v>0</v>
      </c>
      <c r="AA105">
        <v>2</v>
      </c>
      <c r="AB105">
        <v>0</v>
      </c>
      <c r="AC105">
        <v>9</v>
      </c>
      <c r="AD105">
        <v>1457</v>
      </c>
      <c r="AE105">
        <v>10</v>
      </c>
      <c r="AF105">
        <v>1</v>
      </c>
      <c r="AG105">
        <v>11</v>
      </c>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row>
    <row r="106" spans="1:159" ht="14.5" x14ac:dyDescent="0.35">
      <c r="A106" t="s">
        <v>268</v>
      </c>
      <c r="B106" t="s">
        <v>269</v>
      </c>
      <c r="C106">
        <v>2283</v>
      </c>
      <c r="D106">
        <v>0</v>
      </c>
      <c r="E106">
        <v>159</v>
      </c>
      <c r="F106">
        <v>406</v>
      </c>
      <c r="G106">
        <v>370</v>
      </c>
      <c r="H106">
        <v>3218</v>
      </c>
      <c r="I106">
        <v>2848</v>
      </c>
      <c r="J106">
        <v>13</v>
      </c>
      <c r="K106">
        <v>130.46</v>
      </c>
      <c r="L106">
        <v>122.5</v>
      </c>
      <c r="M106">
        <v>12.23</v>
      </c>
      <c r="N106">
        <v>137.19999999999999</v>
      </c>
      <c r="O106">
        <v>1944</v>
      </c>
      <c r="P106">
        <v>118.73</v>
      </c>
      <c r="Q106">
        <v>103.41</v>
      </c>
      <c r="R106">
        <v>34.700000000000003</v>
      </c>
      <c r="S106">
        <v>151.97</v>
      </c>
      <c r="T106">
        <v>332</v>
      </c>
      <c r="U106">
        <v>212.26</v>
      </c>
      <c r="V106">
        <v>318</v>
      </c>
      <c r="W106">
        <v>277.47000000000003</v>
      </c>
      <c r="X106">
        <v>56</v>
      </c>
      <c r="Y106">
        <v>0</v>
      </c>
      <c r="Z106">
        <v>0</v>
      </c>
      <c r="AA106">
        <v>0</v>
      </c>
      <c r="AB106">
        <v>26</v>
      </c>
      <c r="AC106">
        <v>7</v>
      </c>
      <c r="AD106">
        <v>2280</v>
      </c>
      <c r="AE106">
        <v>12</v>
      </c>
      <c r="AF106">
        <v>14</v>
      </c>
      <c r="AG106">
        <v>26</v>
      </c>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row>
    <row r="107" spans="1:159" ht="14.5" x14ac:dyDescent="0.35">
      <c r="A107" t="s">
        <v>270</v>
      </c>
      <c r="B107" t="s">
        <v>271</v>
      </c>
      <c r="C107">
        <v>4696</v>
      </c>
      <c r="D107">
        <v>0</v>
      </c>
      <c r="E107">
        <v>134</v>
      </c>
      <c r="F107">
        <v>1939</v>
      </c>
      <c r="G107">
        <v>208</v>
      </c>
      <c r="H107">
        <v>6977</v>
      </c>
      <c r="I107">
        <v>6769</v>
      </c>
      <c r="J107">
        <v>447</v>
      </c>
      <c r="K107">
        <v>94.92</v>
      </c>
      <c r="L107">
        <v>97.91</v>
      </c>
      <c r="M107">
        <v>4.01</v>
      </c>
      <c r="N107">
        <v>98.16</v>
      </c>
      <c r="O107">
        <v>4122</v>
      </c>
      <c r="P107">
        <v>89.15</v>
      </c>
      <c r="Q107">
        <v>91.65</v>
      </c>
      <c r="R107">
        <v>13.05</v>
      </c>
      <c r="S107">
        <v>101.89</v>
      </c>
      <c r="T107">
        <v>1999</v>
      </c>
      <c r="U107">
        <v>113.12</v>
      </c>
      <c r="V107">
        <v>520</v>
      </c>
      <c r="W107">
        <v>102.28</v>
      </c>
      <c r="X107">
        <v>37</v>
      </c>
      <c r="Y107">
        <v>0</v>
      </c>
      <c r="Z107">
        <v>17</v>
      </c>
      <c r="AA107">
        <v>13</v>
      </c>
      <c r="AB107">
        <v>1</v>
      </c>
      <c r="AC107">
        <v>2</v>
      </c>
      <c r="AD107">
        <v>4696</v>
      </c>
      <c r="AE107">
        <v>5</v>
      </c>
      <c r="AF107">
        <v>20</v>
      </c>
      <c r="AG107">
        <v>25</v>
      </c>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row>
    <row r="108" spans="1:159" ht="14.5" x14ac:dyDescent="0.35">
      <c r="A108" t="s">
        <v>272</v>
      </c>
      <c r="B108" t="s">
        <v>273</v>
      </c>
      <c r="C108">
        <v>3840</v>
      </c>
      <c r="D108">
        <v>4</v>
      </c>
      <c r="E108">
        <v>600</v>
      </c>
      <c r="F108">
        <v>379</v>
      </c>
      <c r="G108">
        <v>552</v>
      </c>
      <c r="H108">
        <v>5375</v>
      </c>
      <c r="I108">
        <v>4823</v>
      </c>
      <c r="J108">
        <v>2</v>
      </c>
      <c r="K108">
        <v>94.93</v>
      </c>
      <c r="L108">
        <v>92.12</v>
      </c>
      <c r="M108">
        <v>7.39</v>
      </c>
      <c r="N108">
        <v>100.68</v>
      </c>
      <c r="O108">
        <v>3581</v>
      </c>
      <c r="P108">
        <v>94.78</v>
      </c>
      <c r="Q108">
        <v>73.239999999999995</v>
      </c>
      <c r="R108">
        <v>72.709999999999994</v>
      </c>
      <c r="S108">
        <v>164.83</v>
      </c>
      <c r="T108">
        <v>711</v>
      </c>
      <c r="U108">
        <v>136.31</v>
      </c>
      <c r="V108">
        <v>244</v>
      </c>
      <c r="W108">
        <v>148.11000000000001</v>
      </c>
      <c r="X108">
        <v>61</v>
      </c>
      <c r="Y108">
        <v>0</v>
      </c>
      <c r="Z108">
        <v>0</v>
      </c>
      <c r="AA108">
        <v>4</v>
      </c>
      <c r="AB108">
        <v>31</v>
      </c>
      <c r="AC108">
        <v>13</v>
      </c>
      <c r="AD108">
        <v>3824</v>
      </c>
      <c r="AE108">
        <v>46</v>
      </c>
      <c r="AF108">
        <v>66</v>
      </c>
      <c r="AG108">
        <v>112</v>
      </c>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row>
    <row r="109" spans="1:159" ht="14.5" x14ac:dyDescent="0.35">
      <c r="A109" t="s">
        <v>274</v>
      </c>
      <c r="B109" t="s">
        <v>275</v>
      </c>
      <c r="C109">
        <v>1556</v>
      </c>
      <c r="D109">
        <v>0</v>
      </c>
      <c r="E109">
        <v>183</v>
      </c>
      <c r="F109">
        <v>183</v>
      </c>
      <c r="G109">
        <v>263</v>
      </c>
      <c r="H109">
        <v>2185</v>
      </c>
      <c r="I109">
        <v>1922</v>
      </c>
      <c r="J109">
        <v>9</v>
      </c>
      <c r="K109">
        <v>113.67</v>
      </c>
      <c r="L109">
        <v>110.19</v>
      </c>
      <c r="M109">
        <v>8.86</v>
      </c>
      <c r="N109">
        <v>120.11</v>
      </c>
      <c r="O109">
        <v>1076</v>
      </c>
      <c r="P109">
        <v>121.91</v>
      </c>
      <c r="Q109">
        <v>91.18</v>
      </c>
      <c r="R109">
        <v>66.92</v>
      </c>
      <c r="S109">
        <v>188</v>
      </c>
      <c r="T109">
        <v>242</v>
      </c>
      <c r="U109">
        <v>159.4</v>
      </c>
      <c r="V109">
        <v>379</v>
      </c>
      <c r="W109">
        <v>0</v>
      </c>
      <c r="X109">
        <v>0</v>
      </c>
      <c r="Y109">
        <v>0</v>
      </c>
      <c r="Z109">
        <v>0</v>
      </c>
      <c r="AA109">
        <v>1</v>
      </c>
      <c r="AB109">
        <v>6</v>
      </c>
      <c r="AC109">
        <v>8</v>
      </c>
      <c r="AD109">
        <v>1543</v>
      </c>
      <c r="AE109">
        <v>12</v>
      </c>
      <c r="AF109">
        <v>5</v>
      </c>
      <c r="AG109">
        <v>17</v>
      </c>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row>
    <row r="110" spans="1:159" ht="14.5" x14ac:dyDescent="0.35">
      <c r="A110" t="s">
        <v>276</v>
      </c>
      <c r="B110" t="s">
        <v>277</v>
      </c>
      <c r="C110">
        <v>4839</v>
      </c>
      <c r="D110">
        <v>0</v>
      </c>
      <c r="E110">
        <v>261</v>
      </c>
      <c r="F110">
        <v>755</v>
      </c>
      <c r="G110">
        <v>237</v>
      </c>
      <c r="H110">
        <v>6092</v>
      </c>
      <c r="I110">
        <v>5855</v>
      </c>
      <c r="J110">
        <v>14</v>
      </c>
      <c r="K110">
        <v>95.02</v>
      </c>
      <c r="L110">
        <v>92.06</v>
      </c>
      <c r="M110">
        <v>4.3499999999999996</v>
      </c>
      <c r="N110">
        <v>98.05</v>
      </c>
      <c r="O110">
        <v>4358</v>
      </c>
      <c r="P110">
        <v>104.25</v>
      </c>
      <c r="Q110">
        <v>86.36</v>
      </c>
      <c r="R110">
        <v>52.68</v>
      </c>
      <c r="S110">
        <v>153.84</v>
      </c>
      <c r="T110">
        <v>904</v>
      </c>
      <c r="U110">
        <v>121.09</v>
      </c>
      <c r="V110">
        <v>436</v>
      </c>
      <c r="W110">
        <v>270.72000000000003</v>
      </c>
      <c r="X110">
        <v>60</v>
      </c>
      <c r="Y110">
        <v>1</v>
      </c>
      <c r="Z110">
        <v>24</v>
      </c>
      <c r="AA110">
        <v>0</v>
      </c>
      <c r="AB110">
        <v>11</v>
      </c>
      <c r="AC110">
        <v>3</v>
      </c>
      <c r="AD110">
        <v>4839</v>
      </c>
      <c r="AE110">
        <v>13</v>
      </c>
      <c r="AF110">
        <v>83</v>
      </c>
      <c r="AG110">
        <v>96</v>
      </c>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row>
    <row r="111" spans="1:159" ht="14.5" x14ac:dyDescent="0.35">
      <c r="A111" t="s">
        <v>278</v>
      </c>
      <c r="B111" t="s">
        <v>279</v>
      </c>
      <c r="C111">
        <v>1676</v>
      </c>
      <c r="D111">
        <v>0</v>
      </c>
      <c r="E111">
        <v>187</v>
      </c>
      <c r="F111">
        <v>265</v>
      </c>
      <c r="G111">
        <v>328</v>
      </c>
      <c r="H111">
        <v>2456</v>
      </c>
      <c r="I111">
        <v>2128</v>
      </c>
      <c r="J111">
        <v>30</v>
      </c>
      <c r="K111">
        <v>101.33</v>
      </c>
      <c r="L111">
        <v>99.15</v>
      </c>
      <c r="M111">
        <v>9.24</v>
      </c>
      <c r="N111">
        <v>108.41</v>
      </c>
      <c r="O111">
        <v>1235</v>
      </c>
      <c r="P111">
        <v>105.57</v>
      </c>
      <c r="Q111">
        <v>84.43</v>
      </c>
      <c r="R111">
        <v>57.1</v>
      </c>
      <c r="S111">
        <v>160.02000000000001</v>
      </c>
      <c r="T111">
        <v>367</v>
      </c>
      <c r="U111">
        <v>147.59</v>
      </c>
      <c r="V111">
        <v>244</v>
      </c>
      <c r="W111">
        <v>79.56</v>
      </c>
      <c r="X111">
        <v>7</v>
      </c>
      <c r="Y111">
        <v>18</v>
      </c>
      <c r="Z111">
        <v>0</v>
      </c>
      <c r="AA111">
        <v>0</v>
      </c>
      <c r="AB111">
        <v>30</v>
      </c>
      <c r="AC111">
        <v>6</v>
      </c>
      <c r="AD111">
        <v>1516</v>
      </c>
      <c r="AE111">
        <v>18</v>
      </c>
      <c r="AF111">
        <v>7</v>
      </c>
      <c r="AG111">
        <v>25</v>
      </c>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row>
    <row r="112" spans="1:159" ht="14.5" x14ac:dyDescent="0.35">
      <c r="A112" t="s">
        <v>280</v>
      </c>
      <c r="B112" t="s">
        <v>281</v>
      </c>
      <c r="C112">
        <v>4453</v>
      </c>
      <c r="D112">
        <v>0</v>
      </c>
      <c r="E112">
        <v>105</v>
      </c>
      <c r="F112">
        <v>786</v>
      </c>
      <c r="G112">
        <v>361</v>
      </c>
      <c r="H112">
        <v>5705</v>
      </c>
      <c r="I112">
        <v>5344</v>
      </c>
      <c r="J112">
        <v>19</v>
      </c>
      <c r="K112">
        <v>100.25</v>
      </c>
      <c r="L112">
        <v>96.81</v>
      </c>
      <c r="M112">
        <v>2.2999999999999998</v>
      </c>
      <c r="N112">
        <v>102.26</v>
      </c>
      <c r="O112">
        <v>3290</v>
      </c>
      <c r="P112">
        <v>96.29</v>
      </c>
      <c r="Q112">
        <v>86.31</v>
      </c>
      <c r="R112">
        <v>24.95</v>
      </c>
      <c r="S112">
        <v>120.35</v>
      </c>
      <c r="T112">
        <v>751</v>
      </c>
      <c r="U112">
        <v>123.84</v>
      </c>
      <c r="V112">
        <v>724</v>
      </c>
      <c r="W112">
        <v>241.08</v>
      </c>
      <c r="X112">
        <v>79</v>
      </c>
      <c r="Y112">
        <v>35</v>
      </c>
      <c r="Z112">
        <v>9</v>
      </c>
      <c r="AA112">
        <v>2</v>
      </c>
      <c r="AB112">
        <v>48</v>
      </c>
      <c r="AC112">
        <v>17</v>
      </c>
      <c r="AD112">
        <v>3977</v>
      </c>
      <c r="AE112">
        <v>14</v>
      </c>
      <c r="AF112">
        <v>24</v>
      </c>
      <c r="AG112">
        <v>38</v>
      </c>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row>
    <row r="113" spans="1:159" ht="14.5" x14ac:dyDescent="0.35">
      <c r="A113" t="s">
        <v>282</v>
      </c>
      <c r="B113" t="s">
        <v>283</v>
      </c>
      <c r="C113">
        <v>2623</v>
      </c>
      <c r="D113">
        <v>0</v>
      </c>
      <c r="E113">
        <v>128</v>
      </c>
      <c r="F113">
        <v>501</v>
      </c>
      <c r="G113">
        <v>312</v>
      </c>
      <c r="H113">
        <v>3564</v>
      </c>
      <c r="I113">
        <v>3252</v>
      </c>
      <c r="J113">
        <v>2</v>
      </c>
      <c r="K113">
        <v>93.19</v>
      </c>
      <c r="L113">
        <v>90.42</v>
      </c>
      <c r="M113">
        <v>3.76</v>
      </c>
      <c r="N113">
        <v>96.71</v>
      </c>
      <c r="O113">
        <v>1855</v>
      </c>
      <c r="P113">
        <v>93.06</v>
      </c>
      <c r="Q113">
        <v>78.81</v>
      </c>
      <c r="R113">
        <v>26.17</v>
      </c>
      <c r="S113">
        <v>118.69</v>
      </c>
      <c r="T113">
        <v>597</v>
      </c>
      <c r="U113">
        <v>119.15</v>
      </c>
      <c r="V113">
        <v>748</v>
      </c>
      <c r="W113">
        <v>0</v>
      </c>
      <c r="X113">
        <v>0</v>
      </c>
      <c r="Y113">
        <v>0</v>
      </c>
      <c r="Z113">
        <v>5</v>
      </c>
      <c r="AA113">
        <v>0</v>
      </c>
      <c r="AB113">
        <v>49</v>
      </c>
      <c r="AC113">
        <v>9</v>
      </c>
      <c r="AD113">
        <v>2602</v>
      </c>
      <c r="AE113">
        <v>19</v>
      </c>
      <c r="AF113">
        <v>3</v>
      </c>
      <c r="AG113">
        <v>22</v>
      </c>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row>
    <row r="114" spans="1:159" ht="14.5" x14ac:dyDescent="0.35">
      <c r="A114" t="s">
        <v>284</v>
      </c>
      <c r="B114" t="s">
        <v>285</v>
      </c>
      <c r="C114">
        <v>4063</v>
      </c>
      <c r="D114">
        <v>0</v>
      </c>
      <c r="E114">
        <v>441</v>
      </c>
      <c r="F114">
        <v>1088</v>
      </c>
      <c r="G114">
        <v>306</v>
      </c>
      <c r="H114">
        <v>5898</v>
      </c>
      <c r="I114">
        <v>5592</v>
      </c>
      <c r="J114">
        <v>54</v>
      </c>
      <c r="K114">
        <v>84.31</v>
      </c>
      <c r="L114">
        <v>81.13</v>
      </c>
      <c r="M114">
        <v>7.92</v>
      </c>
      <c r="N114">
        <v>89.11</v>
      </c>
      <c r="O114">
        <v>2825</v>
      </c>
      <c r="P114">
        <v>101.71</v>
      </c>
      <c r="Q114">
        <v>83.11</v>
      </c>
      <c r="R114">
        <v>65.709999999999994</v>
      </c>
      <c r="S114">
        <v>165.98</v>
      </c>
      <c r="T114">
        <v>1324</v>
      </c>
      <c r="U114">
        <v>104.24</v>
      </c>
      <c r="V114">
        <v>1173</v>
      </c>
      <c r="W114">
        <v>239.23</v>
      </c>
      <c r="X114">
        <v>177</v>
      </c>
      <c r="Y114">
        <v>0</v>
      </c>
      <c r="Z114">
        <v>3</v>
      </c>
      <c r="AA114">
        <v>1</v>
      </c>
      <c r="AB114">
        <v>15</v>
      </c>
      <c r="AC114">
        <v>7</v>
      </c>
      <c r="AD114">
        <v>3721</v>
      </c>
      <c r="AE114">
        <v>50</v>
      </c>
      <c r="AF114">
        <v>39</v>
      </c>
      <c r="AG114">
        <v>89</v>
      </c>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row>
    <row r="115" spans="1:159" ht="14.5" x14ac:dyDescent="0.35">
      <c r="A115" t="s">
        <v>286</v>
      </c>
      <c r="B115" t="s">
        <v>287</v>
      </c>
      <c r="C115">
        <v>3779</v>
      </c>
      <c r="D115">
        <v>0</v>
      </c>
      <c r="E115">
        <v>235</v>
      </c>
      <c r="F115">
        <v>1171</v>
      </c>
      <c r="G115">
        <v>226</v>
      </c>
      <c r="H115">
        <v>5411</v>
      </c>
      <c r="I115">
        <v>5185</v>
      </c>
      <c r="J115">
        <v>21</v>
      </c>
      <c r="K115">
        <v>88.26</v>
      </c>
      <c r="L115">
        <v>86.77</v>
      </c>
      <c r="M115">
        <v>5.61</v>
      </c>
      <c r="N115">
        <v>90.44</v>
      </c>
      <c r="O115">
        <v>3431</v>
      </c>
      <c r="P115">
        <v>94.77</v>
      </c>
      <c r="Q115">
        <v>77.89</v>
      </c>
      <c r="R115">
        <v>37.17</v>
      </c>
      <c r="S115">
        <v>131.88999999999999</v>
      </c>
      <c r="T115">
        <v>1350</v>
      </c>
      <c r="U115">
        <v>118.7</v>
      </c>
      <c r="V115">
        <v>325</v>
      </c>
      <c r="W115">
        <v>168.27</v>
      </c>
      <c r="X115">
        <v>53</v>
      </c>
      <c r="Y115">
        <v>0</v>
      </c>
      <c r="Z115">
        <v>11</v>
      </c>
      <c r="AA115">
        <v>5</v>
      </c>
      <c r="AB115">
        <v>32</v>
      </c>
      <c r="AC115">
        <v>9</v>
      </c>
      <c r="AD115">
        <v>3779</v>
      </c>
      <c r="AE115">
        <v>27</v>
      </c>
      <c r="AF115">
        <v>10</v>
      </c>
      <c r="AG115">
        <v>37</v>
      </c>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row>
    <row r="116" spans="1:159" ht="14.5" x14ac:dyDescent="0.35">
      <c r="A116" t="s">
        <v>288</v>
      </c>
      <c r="B116" t="s">
        <v>289</v>
      </c>
      <c r="C116">
        <v>7135</v>
      </c>
      <c r="D116">
        <v>0</v>
      </c>
      <c r="E116">
        <v>649</v>
      </c>
      <c r="F116">
        <v>790</v>
      </c>
      <c r="G116">
        <v>734</v>
      </c>
      <c r="H116">
        <v>9308</v>
      </c>
      <c r="I116">
        <v>8574</v>
      </c>
      <c r="J116">
        <v>34</v>
      </c>
      <c r="K116">
        <v>91.67</v>
      </c>
      <c r="L116">
        <v>90.08</v>
      </c>
      <c r="M116">
        <v>9.18</v>
      </c>
      <c r="N116">
        <v>95.93</v>
      </c>
      <c r="O116">
        <v>6261</v>
      </c>
      <c r="P116">
        <v>92.13</v>
      </c>
      <c r="Q116">
        <v>86.19</v>
      </c>
      <c r="R116">
        <v>57.58</v>
      </c>
      <c r="S116">
        <v>148.6</v>
      </c>
      <c r="T116">
        <v>987</v>
      </c>
      <c r="U116">
        <v>129.19999999999999</v>
      </c>
      <c r="V116">
        <v>778</v>
      </c>
      <c r="W116">
        <v>188.68</v>
      </c>
      <c r="X116">
        <v>26</v>
      </c>
      <c r="Y116">
        <v>0</v>
      </c>
      <c r="Z116">
        <v>19</v>
      </c>
      <c r="AA116">
        <v>23</v>
      </c>
      <c r="AB116">
        <v>76</v>
      </c>
      <c r="AC116">
        <v>18</v>
      </c>
      <c r="AD116">
        <v>7076</v>
      </c>
      <c r="AE116">
        <v>69</v>
      </c>
      <c r="AF116">
        <v>22</v>
      </c>
      <c r="AG116">
        <v>91</v>
      </c>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row>
    <row r="117" spans="1:159" ht="14.5" x14ac:dyDescent="0.35">
      <c r="A117" t="s">
        <v>290</v>
      </c>
      <c r="B117" t="s">
        <v>291</v>
      </c>
      <c r="C117">
        <v>2344</v>
      </c>
      <c r="D117">
        <v>0</v>
      </c>
      <c r="E117">
        <v>80</v>
      </c>
      <c r="F117">
        <v>589</v>
      </c>
      <c r="G117">
        <v>486</v>
      </c>
      <c r="H117">
        <v>3499</v>
      </c>
      <c r="I117">
        <v>3013</v>
      </c>
      <c r="J117">
        <v>16</v>
      </c>
      <c r="K117">
        <v>105.15</v>
      </c>
      <c r="L117">
        <v>100.7</v>
      </c>
      <c r="M117">
        <v>10.28</v>
      </c>
      <c r="N117">
        <v>113.99</v>
      </c>
      <c r="O117">
        <v>1915</v>
      </c>
      <c r="P117">
        <v>100.55</v>
      </c>
      <c r="Q117">
        <v>91.14</v>
      </c>
      <c r="R117">
        <v>45.56</v>
      </c>
      <c r="S117">
        <v>144.93</v>
      </c>
      <c r="T117">
        <v>384</v>
      </c>
      <c r="U117">
        <v>138.49</v>
      </c>
      <c r="V117">
        <v>297</v>
      </c>
      <c r="W117">
        <v>145.16999999999999</v>
      </c>
      <c r="X117">
        <v>31</v>
      </c>
      <c r="Y117">
        <v>0</v>
      </c>
      <c r="Z117">
        <v>1</v>
      </c>
      <c r="AA117">
        <v>0</v>
      </c>
      <c r="AB117">
        <v>2</v>
      </c>
      <c r="AC117">
        <v>8</v>
      </c>
      <c r="AD117">
        <v>2344</v>
      </c>
      <c r="AE117">
        <v>6</v>
      </c>
      <c r="AF117">
        <v>3</v>
      </c>
      <c r="AG117">
        <v>9</v>
      </c>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row>
    <row r="118" spans="1:159" ht="14.5" x14ac:dyDescent="0.35">
      <c r="A118" t="s">
        <v>292</v>
      </c>
      <c r="B118" t="s">
        <v>293</v>
      </c>
      <c r="C118">
        <v>1668</v>
      </c>
      <c r="D118">
        <v>0</v>
      </c>
      <c r="E118">
        <v>83</v>
      </c>
      <c r="F118">
        <v>118</v>
      </c>
      <c r="G118">
        <v>675</v>
      </c>
      <c r="H118">
        <v>2544</v>
      </c>
      <c r="I118">
        <v>1869</v>
      </c>
      <c r="J118">
        <v>12</v>
      </c>
      <c r="K118">
        <v>112.9</v>
      </c>
      <c r="L118">
        <v>113.11</v>
      </c>
      <c r="M118">
        <v>7.32</v>
      </c>
      <c r="N118">
        <v>118.76</v>
      </c>
      <c r="O118">
        <v>743</v>
      </c>
      <c r="P118">
        <v>109.23</v>
      </c>
      <c r="Q118">
        <v>95.09</v>
      </c>
      <c r="R118">
        <v>91.77</v>
      </c>
      <c r="S118">
        <v>191.22</v>
      </c>
      <c r="T118">
        <v>75</v>
      </c>
      <c r="U118">
        <v>161.66999999999999</v>
      </c>
      <c r="V118">
        <v>450</v>
      </c>
      <c r="W118">
        <v>244.59</v>
      </c>
      <c r="X118">
        <v>57</v>
      </c>
      <c r="Y118">
        <v>0</v>
      </c>
      <c r="Z118">
        <v>0</v>
      </c>
      <c r="AA118">
        <v>0</v>
      </c>
      <c r="AB118">
        <v>87</v>
      </c>
      <c r="AC118">
        <v>16</v>
      </c>
      <c r="AD118">
        <v>1198</v>
      </c>
      <c r="AE118">
        <v>10</v>
      </c>
      <c r="AF118">
        <v>21</v>
      </c>
      <c r="AG118">
        <v>31</v>
      </c>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row>
    <row r="119" spans="1:159" ht="14.5" x14ac:dyDescent="0.35">
      <c r="A119" t="s">
        <v>294</v>
      </c>
      <c r="B119" t="s">
        <v>295</v>
      </c>
      <c r="C119">
        <v>1498</v>
      </c>
      <c r="D119">
        <v>0</v>
      </c>
      <c r="E119">
        <v>254</v>
      </c>
      <c r="F119">
        <v>150</v>
      </c>
      <c r="G119">
        <v>102</v>
      </c>
      <c r="H119">
        <v>2004</v>
      </c>
      <c r="I119">
        <v>1902</v>
      </c>
      <c r="J119">
        <v>24</v>
      </c>
      <c r="K119">
        <v>92.79</v>
      </c>
      <c r="L119">
        <v>90.77</v>
      </c>
      <c r="M119">
        <v>5.8</v>
      </c>
      <c r="N119">
        <v>96.67</v>
      </c>
      <c r="O119">
        <v>1161</v>
      </c>
      <c r="P119">
        <v>106.56</v>
      </c>
      <c r="Q119">
        <v>82.95</v>
      </c>
      <c r="R119">
        <v>76.05</v>
      </c>
      <c r="S119">
        <v>182.05</v>
      </c>
      <c r="T119">
        <v>270</v>
      </c>
      <c r="U119">
        <v>111.55</v>
      </c>
      <c r="V119">
        <v>302</v>
      </c>
      <c r="W119">
        <v>0</v>
      </c>
      <c r="X119">
        <v>0</v>
      </c>
      <c r="Y119">
        <v>0</v>
      </c>
      <c r="Z119">
        <v>2</v>
      </c>
      <c r="AA119">
        <v>12</v>
      </c>
      <c r="AB119">
        <v>12</v>
      </c>
      <c r="AC119">
        <v>3</v>
      </c>
      <c r="AD119">
        <v>1498</v>
      </c>
      <c r="AE119">
        <v>3</v>
      </c>
      <c r="AF119">
        <v>17</v>
      </c>
      <c r="AG119">
        <v>20</v>
      </c>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row>
    <row r="120" spans="1:159" ht="14.5" x14ac:dyDescent="0.35">
      <c r="A120" t="s">
        <v>296</v>
      </c>
      <c r="B120" t="s">
        <v>297</v>
      </c>
      <c r="C120">
        <v>13506</v>
      </c>
      <c r="D120">
        <v>300</v>
      </c>
      <c r="E120">
        <v>508</v>
      </c>
      <c r="F120">
        <v>980</v>
      </c>
      <c r="G120">
        <v>2829</v>
      </c>
      <c r="H120">
        <v>18123</v>
      </c>
      <c r="I120">
        <v>15294</v>
      </c>
      <c r="J120">
        <v>62</v>
      </c>
      <c r="K120">
        <v>127.49</v>
      </c>
      <c r="L120">
        <v>126.83</v>
      </c>
      <c r="M120">
        <v>15.92</v>
      </c>
      <c r="N120">
        <v>140.04</v>
      </c>
      <c r="O120">
        <v>10007</v>
      </c>
      <c r="P120">
        <v>122.36</v>
      </c>
      <c r="Q120">
        <v>111.13</v>
      </c>
      <c r="R120">
        <v>62.35</v>
      </c>
      <c r="S120">
        <v>180.61</v>
      </c>
      <c r="T120">
        <v>1215</v>
      </c>
      <c r="U120">
        <v>190.18</v>
      </c>
      <c r="V120">
        <v>1588</v>
      </c>
      <c r="W120">
        <v>0</v>
      </c>
      <c r="X120">
        <v>0</v>
      </c>
      <c r="Y120">
        <v>9</v>
      </c>
      <c r="Z120">
        <v>4</v>
      </c>
      <c r="AA120">
        <v>35</v>
      </c>
      <c r="AB120">
        <v>100</v>
      </c>
      <c r="AC120">
        <v>93</v>
      </c>
      <c r="AD120">
        <v>11991</v>
      </c>
      <c r="AE120">
        <v>109</v>
      </c>
      <c r="AF120">
        <v>137</v>
      </c>
      <c r="AG120">
        <v>246</v>
      </c>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row>
    <row r="121" spans="1:159" ht="14.5" x14ac:dyDescent="0.35">
      <c r="A121" t="s">
        <v>298</v>
      </c>
      <c r="B121" t="s">
        <v>299</v>
      </c>
      <c r="C121">
        <v>1997</v>
      </c>
      <c r="D121">
        <v>0</v>
      </c>
      <c r="E121">
        <v>267</v>
      </c>
      <c r="F121">
        <v>192</v>
      </c>
      <c r="G121">
        <v>581</v>
      </c>
      <c r="H121">
        <v>3037</v>
      </c>
      <c r="I121">
        <v>2456</v>
      </c>
      <c r="J121">
        <v>19</v>
      </c>
      <c r="K121">
        <v>132.77000000000001</v>
      </c>
      <c r="L121">
        <v>129.56</v>
      </c>
      <c r="M121">
        <v>9.0299999999999994</v>
      </c>
      <c r="N121">
        <v>140.08000000000001</v>
      </c>
      <c r="O121">
        <v>1384</v>
      </c>
      <c r="P121">
        <v>102.98</v>
      </c>
      <c r="Q121">
        <v>89.23</v>
      </c>
      <c r="R121">
        <v>104.38</v>
      </c>
      <c r="S121">
        <v>203.12</v>
      </c>
      <c r="T121">
        <v>197</v>
      </c>
      <c r="U121">
        <v>188.21</v>
      </c>
      <c r="V121">
        <v>454</v>
      </c>
      <c r="W121">
        <v>290.02999999999997</v>
      </c>
      <c r="X121">
        <v>42</v>
      </c>
      <c r="Y121">
        <v>39</v>
      </c>
      <c r="Z121">
        <v>1</v>
      </c>
      <c r="AA121">
        <v>23</v>
      </c>
      <c r="AB121">
        <v>97</v>
      </c>
      <c r="AC121">
        <v>12</v>
      </c>
      <c r="AD121">
        <v>1832</v>
      </c>
      <c r="AE121">
        <v>7</v>
      </c>
      <c r="AF121">
        <v>27</v>
      </c>
      <c r="AG121">
        <v>34</v>
      </c>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row>
    <row r="122" spans="1:159" ht="14.5" x14ac:dyDescent="0.35">
      <c r="A122" t="s">
        <v>300</v>
      </c>
      <c r="B122" t="s">
        <v>301</v>
      </c>
      <c r="C122">
        <v>20166</v>
      </c>
      <c r="D122">
        <v>591</v>
      </c>
      <c r="E122">
        <v>1523</v>
      </c>
      <c r="F122">
        <v>1782</v>
      </c>
      <c r="G122">
        <v>2472</v>
      </c>
      <c r="H122">
        <v>26534</v>
      </c>
      <c r="I122">
        <v>24062</v>
      </c>
      <c r="J122">
        <v>121</v>
      </c>
      <c r="K122">
        <v>128.57</v>
      </c>
      <c r="L122">
        <v>134.52000000000001</v>
      </c>
      <c r="M122">
        <v>13.45</v>
      </c>
      <c r="N122">
        <v>138.9</v>
      </c>
      <c r="O122">
        <v>17292</v>
      </c>
      <c r="P122">
        <v>119.58</v>
      </c>
      <c r="Q122">
        <v>113.69</v>
      </c>
      <c r="R122">
        <v>63.43</v>
      </c>
      <c r="S122">
        <v>179.23</v>
      </c>
      <c r="T122">
        <v>2956</v>
      </c>
      <c r="U122">
        <v>230.63</v>
      </c>
      <c r="V122">
        <v>1073</v>
      </c>
      <c r="W122">
        <v>276.63</v>
      </c>
      <c r="X122">
        <v>53</v>
      </c>
      <c r="Y122">
        <v>5</v>
      </c>
      <c r="Z122">
        <v>3</v>
      </c>
      <c r="AA122">
        <v>26</v>
      </c>
      <c r="AB122">
        <v>47</v>
      </c>
      <c r="AC122">
        <v>57</v>
      </c>
      <c r="AD122">
        <v>18929</v>
      </c>
      <c r="AE122">
        <v>115</v>
      </c>
      <c r="AF122">
        <v>121</v>
      </c>
      <c r="AG122">
        <v>236</v>
      </c>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row>
    <row r="123" spans="1:159" ht="14.5" x14ac:dyDescent="0.35">
      <c r="A123" t="s">
        <v>302</v>
      </c>
      <c r="B123" t="s">
        <v>303</v>
      </c>
      <c r="C123">
        <v>13366</v>
      </c>
      <c r="D123">
        <v>0</v>
      </c>
      <c r="E123">
        <v>521</v>
      </c>
      <c r="F123">
        <v>468</v>
      </c>
      <c r="G123">
        <v>433</v>
      </c>
      <c r="H123">
        <v>14788</v>
      </c>
      <c r="I123">
        <v>14355</v>
      </c>
      <c r="J123">
        <v>27</v>
      </c>
      <c r="K123">
        <v>88.78</v>
      </c>
      <c r="L123">
        <v>87.68</v>
      </c>
      <c r="M123">
        <v>5.28</v>
      </c>
      <c r="N123">
        <v>93.88</v>
      </c>
      <c r="O123">
        <v>11212</v>
      </c>
      <c r="P123">
        <v>94.3</v>
      </c>
      <c r="Q123">
        <v>78.790000000000006</v>
      </c>
      <c r="R123">
        <v>36.799999999999997</v>
      </c>
      <c r="S123">
        <v>130.21</v>
      </c>
      <c r="T123">
        <v>782</v>
      </c>
      <c r="U123">
        <v>107.95</v>
      </c>
      <c r="V123">
        <v>2130</v>
      </c>
      <c r="W123">
        <v>182.43</v>
      </c>
      <c r="X123">
        <v>134</v>
      </c>
      <c r="Y123">
        <v>0</v>
      </c>
      <c r="Z123">
        <v>30</v>
      </c>
      <c r="AA123">
        <v>1</v>
      </c>
      <c r="AB123">
        <v>25</v>
      </c>
      <c r="AC123">
        <v>14</v>
      </c>
      <c r="AD123">
        <v>13366</v>
      </c>
      <c r="AE123">
        <v>75</v>
      </c>
      <c r="AF123">
        <v>64</v>
      </c>
      <c r="AG123">
        <v>139</v>
      </c>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row>
    <row r="124" spans="1:159" ht="14.5" x14ac:dyDescent="0.35">
      <c r="A124" t="s">
        <v>304</v>
      </c>
      <c r="B124" t="s">
        <v>305</v>
      </c>
      <c r="C124">
        <v>5392</v>
      </c>
      <c r="D124">
        <v>4</v>
      </c>
      <c r="E124">
        <v>389</v>
      </c>
      <c r="F124">
        <v>169</v>
      </c>
      <c r="G124">
        <v>398</v>
      </c>
      <c r="H124">
        <v>6352</v>
      </c>
      <c r="I124">
        <v>5954</v>
      </c>
      <c r="J124">
        <v>94</v>
      </c>
      <c r="K124">
        <v>97.73</v>
      </c>
      <c r="L124">
        <v>94.35</v>
      </c>
      <c r="M124">
        <v>2.12</v>
      </c>
      <c r="N124">
        <v>99.61</v>
      </c>
      <c r="O124">
        <v>4792</v>
      </c>
      <c r="P124">
        <v>120.06</v>
      </c>
      <c r="Q124">
        <v>90.86</v>
      </c>
      <c r="R124">
        <v>80.09</v>
      </c>
      <c r="S124">
        <v>200.16</v>
      </c>
      <c r="T124">
        <v>423</v>
      </c>
      <c r="U124">
        <v>123.93</v>
      </c>
      <c r="V124">
        <v>500</v>
      </c>
      <c r="W124">
        <v>196.99</v>
      </c>
      <c r="X124">
        <v>107</v>
      </c>
      <c r="Y124">
        <v>0</v>
      </c>
      <c r="Z124">
        <v>5</v>
      </c>
      <c r="AA124">
        <v>0</v>
      </c>
      <c r="AB124">
        <v>30</v>
      </c>
      <c r="AC124">
        <v>17</v>
      </c>
      <c r="AD124">
        <v>5380</v>
      </c>
      <c r="AE124">
        <v>31</v>
      </c>
      <c r="AF124">
        <v>94</v>
      </c>
      <c r="AG124">
        <v>125</v>
      </c>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row>
    <row r="125" spans="1:159" ht="14.5" x14ac:dyDescent="0.35">
      <c r="A125" t="s">
        <v>306</v>
      </c>
      <c r="B125" t="s">
        <v>307</v>
      </c>
      <c r="C125">
        <v>12097</v>
      </c>
      <c r="D125">
        <v>122</v>
      </c>
      <c r="E125">
        <v>1153</v>
      </c>
      <c r="F125">
        <v>519</v>
      </c>
      <c r="G125">
        <v>1105</v>
      </c>
      <c r="H125">
        <v>14996</v>
      </c>
      <c r="I125">
        <v>13891</v>
      </c>
      <c r="J125">
        <v>227</v>
      </c>
      <c r="K125">
        <v>138.38999999999999</v>
      </c>
      <c r="L125">
        <v>151.68</v>
      </c>
      <c r="M125">
        <v>12.82</v>
      </c>
      <c r="N125">
        <v>145.69999999999999</v>
      </c>
      <c r="O125">
        <v>9461</v>
      </c>
      <c r="P125">
        <v>131.75</v>
      </c>
      <c r="Q125">
        <v>124.92</v>
      </c>
      <c r="R125">
        <v>61.32</v>
      </c>
      <c r="S125">
        <v>188.94</v>
      </c>
      <c r="T125">
        <v>1189</v>
      </c>
      <c r="U125">
        <v>227.59</v>
      </c>
      <c r="V125">
        <v>1414</v>
      </c>
      <c r="W125">
        <v>245.5</v>
      </c>
      <c r="X125">
        <v>134</v>
      </c>
      <c r="Y125">
        <v>88</v>
      </c>
      <c r="Z125">
        <v>0</v>
      </c>
      <c r="AA125">
        <v>27</v>
      </c>
      <c r="AB125">
        <v>59</v>
      </c>
      <c r="AC125">
        <v>31</v>
      </c>
      <c r="AD125">
        <v>11661</v>
      </c>
      <c r="AE125">
        <v>82</v>
      </c>
      <c r="AF125">
        <v>100</v>
      </c>
      <c r="AG125">
        <v>182</v>
      </c>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row>
    <row r="126" spans="1:159" ht="14.5" x14ac:dyDescent="0.35">
      <c r="A126" t="s">
        <v>308</v>
      </c>
      <c r="B126" t="s">
        <v>309</v>
      </c>
      <c r="C126">
        <v>3399</v>
      </c>
      <c r="D126">
        <v>0</v>
      </c>
      <c r="E126">
        <v>109</v>
      </c>
      <c r="F126">
        <v>292</v>
      </c>
      <c r="G126">
        <v>973</v>
      </c>
      <c r="H126">
        <v>4773</v>
      </c>
      <c r="I126">
        <v>3800</v>
      </c>
      <c r="J126">
        <v>6</v>
      </c>
      <c r="K126">
        <v>96.15</v>
      </c>
      <c r="L126">
        <v>96.32</v>
      </c>
      <c r="M126">
        <v>4.4800000000000004</v>
      </c>
      <c r="N126">
        <v>99.07</v>
      </c>
      <c r="O126">
        <v>2433</v>
      </c>
      <c r="P126">
        <v>85.17</v>
      </c>
      <c r="Q126">
        <v>80.52</v>
      </c>
      <c r="R126">
        <v>48.42</v>
      </c>
      <c r="S126">
        <v>130.96</v>
      </c>
      <c r="T126">
        <v>368</v>
      </c>
      <c r="U126">
        <v>125.98</v>
      </c>
      <c r="V126">
        <v>862</v>
      </c>
      <c r="W126">
        <v>131.21</v>
      </c>
      <c r="X126">
        <v>17</v>
      </c>
      <c r="Y126">
        <v>0</v>
      </c>
      <c r="Z126">
        <v>6</v>
      </c>
      <c r="AA126">
        <v>0</v>
      </c>
      <c r="AB126">
        <v>83</v>
      </c>
      <c r="AC126">
        <v>17</v>
      </c>
      <c r="AD126">
        <v>3399</v>
      </c>
      <c r="AE126">
        <v>29</v>
      </c>
      <c r="AF126">
        <v>32</v>
      </c>
      <c r="AG126">
        <v>61</v>
      </c>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row>
    <row r="127" spans="1:159" ht="14.5" x14ac:dyDescent="0.35">
      <c r="A127" t="s">
        <v>310</v>
      </c>
      <c r="B127" t="s">
        <v>311</v>
      </c>
      <c r="C127">
        <v>10178</v>
      </c>
      <c r="D127">
        <v>110</v>
      </c>
      <c r="E127">
        <v>874</v>
      </c>
      <c r="F127">
        <v>956</v>
      </c>
      <c r="G127">
        <v>1785</v>
      </c>
      <c r="H127">
        <v>13903</v>
      </c>
      <c r="I127">
        <v>12118</v>
      </c>
      <c r="J127">
        <v>155</v>
      </c>
      <c r="K127">
        <v>127.99</v>
      </c>
      <c r="L127">
        <v>127.93</v>
      </c>
      <c r="M127">
        <v>12.29</v>
      </c>
      <c r="N127">
        <v>136.13</v>
      </c>
      <c r="O127">
        <v>8120</v>
      </c>
      <c r="P127">
        <v>119.98</v>
      </c>
      <c r="Q127">
        <v>108.72</v>
      </c>
      <c r="R127">
        <v>71.94</v>
      </c>
      <c r="S127">
        <v>188.19</v>
      </c>
      <c r="T127">
        <v>1177</v>
      </c>
      <c r="U127">
        <v>207.64</v>
      </c>
      <c r="V127">
        <v>767</v>
      </c>
      <c r="W127">
        <v>277.25</v>
      </c>
      <c r="X127">
        <v>135</v>
      </c>
      <c r="Y127">
        <v>0</v>
      </c>
      <c r="Z127">
        <v>13</v>
      </c>
      <c r="AA127">
        <v>13</v>
      </c>
      <c r="AB127">
        <v>167</v>
      </c>
      <c r="AC127">
        <v>42</v>
      </c>
      <c r="AD127">
        <v>9190</v>
      </c>
      <c r="AE127">
        <v>211</v>
      </c>
      <c r="AF127">
        <v>53</v>
      </c>
      <c r="AG127">
        <v>264</v>
      </c>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row>
    <row r="128" spans="1:159" ht="14.5" x14ac:dyDescent="0.35">
      <c r="A128" t="s">
        <v>312</v>
      </c>
      <c r="B128" t="s">
        <v>313</v>
      </c>
      <c r="C128">
        <v>1640</v>
      </c>
      <c r="D128">
        <v>280</v>
      </c>
      <c r="E128">
        <v>108</v>
      </c>
      <c r="F128">
        <v>262</v>
      </c>
      <c r="G128">
        <v>577</v>
      </c>
      <c r="H128">
        <v>2867</v>
      </c>
      <c r="I128">
        <v>2290</v>
      </c>
      <c r="J128">
        <v>5</v>
      </c>
      <c r="K128">
        <v>109.72</v>
      </c>
      <c r="L128">
        <v>107.55</v>
      </c>
      <c r="M128">
        <v>9.5</v>
      </c>
      <c r="N128">
        <v>118.56</v>
      </c>
      <c r="O128">
        <v>1130</v>
      </c>
      <c r="P128">
        <v>101.71</v>
      </c>
      <c r="Q128">
        <v>90.42</v>
      </c>
      <c r="R128">
        <v>48.32</v>
      </c>
      <c r="S128">
        <v>145.79</v>
      </c>
      <c r="T128">
        <v>353</v>
      </c>
      <c r="U128">
        <v>178.03</v>
      </c>
      <c r="V128">
        <v>493</v>
      </c>
      <c r="W128">
        <v>0</v>
      </c>
      <c r="X128">
        <v>0</v>
      </c>
      <c r="Y128">
        <v>143</v>
      </c>
      <c r="Z128">
        <v>1</v>
      </c>
      <c r="AA128">
        <v>1</v>
      </c>
      <c r="AB128">
        <v>50</v>
      </c>
      <c r="AC128">
        <v>12</v>
      </c>
      <c r="AD128">
        <v>1599</v>
      </c>
      <c r="AE128">
        <v>21</v>
      </c>
      <c r="AF128">
        <v>42</v>
      </c>
      <c r="AG128">
        <v>63</v>
      </c>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row>
    <row r="129" spans="1:159" ht="14.5" x14ac:dyDescent="0.35">
      <c r="A129" t="s">
        <v>314</v>
      </c>
      <c r="B129" t="s">
        <v>315</v>
      </c>
      <c r="C129">
        <v>3165</v>
      </c>
      <c r="D129">
        <v>0</v>
      </c>
      <c r="E129">
        <v>243</v>
      </c>
      <c r="F129">
        <v>382</v>
      </c>
      <c r="G129">
        <v>758</v>
      </c>
      <c r="H129">
        <v>4548</v>
      </c>
      <c r="I129">
        <v>3790</v>
      </c>
      <c r="J129">
        <v>13</v>
      </c>
      <c r="K129">
        <v>101.43</v>
      </c>
      <c r="L129">
        <v>98.11</v>
      </c>
      <c r="M129">
        <v>6.96</v>
      </c>
      <c r="N129">
        <v>106.01</v>
      </c>
      <c r="O129">
        <v>1721</v>
      </c>
      <c r="P129">
        <v>113.75</v>
      </c>
      <c r="Q129">
        <v>88.66</v>
      </c>
      <c r="R129">
        <v>60.91</v>
      </c>
      <c r="S129">
        <v>174.66</v>
      </c>
      <c r="T129">
        <v>485</v>
      </c>
      <c r="U129">
        <v>136.80000000000001</v>
      </c>
      <c r="V129">
        <v>1283</v>
      </c>
      <c r="W129">
        <v>203.37</v>
      </c>
      <c r="X129">
        <v>11</v>
      </c>
      <c r="Y129">
        <v>0</v>
      </c>
      <c r="Z129">
        <v>0</v>
      </c>
      <c r="AA129">
        <v>6</v>
      </c>
      <c r="AB129">
        <v>128</v>
      </c>
      <c r="AC129">
        <v>15</v>
      </c>
      <c r="AD129">
        <v>2897</v>
      </c>
      <c r="AE129">
        <v>26</v>
      </c>
      <c r="AF129">
        <v>19</v>
      </c>
      <c r="AG129">
        <v>45</v>
      </c>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row>
    <row r="130" spans="1:159" ht="14.5" x14ac:dyDescent="0.35">
      <c r="A130" t="s">
        <v>316</v>
      </c>
      <c r="B130" t="s">
        <v>317</v>
      </c>
      <c r="C130">
        <v>3729</v>
      </c>
      <c r="D130">
        <v>12</v>
      </c>
      <c r="E130">
        <v>261</v>
      </c>
      <c r="F130">
        <v>845</v>
      </c>
      <c r="G130">
        <v>1044</v>
      </c>
      <c r="H130">
        <v>5891</v>
      </c>
      <c r="I130">
        <v>4847</v>
      </c>
      <c r="J130">
        <v>56</v>
      </c>
      <c r="K130">
        <v>141.08000000000001</v>
      </c>
      <c r="L130">
        <v>134.22999999999999</v>
      </c>
      <c r="M130">
        <v>11.31</v>
      </c>
      <c r="N130">
        <v>148.96</v>
      </c>
      <c r="O130">
        <v>2748</v>
      </c>
      <c r="P130">
        <v>111.93</v>
      </c>
      <c r="Q130">
        <v>97.42</v>
      </c>
      <c r="R130">
        <v>42.4</v>
      </c>
      <c r="S130">
        <v>153.85</v>
      </c>
      <c r="T130">
        <v>441</v>
      </c>
      <c r="U130">
        <v>199.24</v>
      </c>
      <c r="V130">
        <v>735</v>
      </c>
      <c r="W130">
        <v>239.07</v>
      </c>
      <c r="X130">
        <v>86</v>
      </c>
      <c r="Y130">
        <v>0</v>
      </c>
      <c r="Z130">
        <v>4</v>
      </c>
      <c r="AA130">
        <v>0</v>
      </c>
      <c r="AB130">
        <v>73</v>
      </c>
      <c r="AC130">
        <v>31</v>
      </c>
      <c r="AD130">
        <v>3658</v>
      </c>
      <c r="AE130">
        <v>47</v>
      </c>
      <c r="AF130">
        <v>20</v>
      </c>
      <c r="AG130">
        <v>67</v>
      </c>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row>
    <row r="131" spans="1:159" ht="14.5" x14ac:dyDescent="0.35">
      <c r="A131" t="s">
        <v>318</v>
      </c>
      <c r="B131" t="s">
        <v>319</v>
      </c>
      <c r="C131">
        <v>3317</v>
      </c>
      <c r="D131">
        <v>0</v>
      </c>
      <c r="E131">
        <v>51</v>
      </c>
      <c r="F131">
        <v>322</v>
      </c>
      <c r="G131">
        <v>786</v>
      </c>
      <c r="H131">
        <v>4476</v>
      </c>
      <c r="I131">
        <v>3690</v>
      </c>
      <c r="J131">
        <v>37</v>
      </c>
      <c r="K131">
        <v>124.41</v>
      </c>
      <c r="L131">
        <v>120.43</v>
      </c>
      <c r="M131">
        <v>7.1</v>
      </c>
      <c r="N131">
        <v>127.33</v>
      </c>
      <c r="O131">
        <v>2389</v>
      </c>
      <c r="P131">
        <v>109.8</v>
      </c>
      <c r="Q131">
        <v>103.72</v>
      </c>
      <c r="R131">
        <v>46.06</v>
      </c>
      <c r="S131">
        <v>155.26</v>
      </c>
      <c r="T131">
        <v>314</v>
      </c>
      <c r="U131">
        <v>188.58</v>
      </c>
      <c r="V131">
        <v>894</v>
      </c>
      <c r="W131">
        <v>0</v>
      </c>
      <c r="X131">
        <v>0</v>
      </c>
      <c r="Y131">
        <v>0</v>
      </c>
      <c r="Z131">
        <v>0</v>
      </c>
      <c r="AA131">
        <v>0</v>
      </c>
      <c r="AB131">
        <v>76</v>
      </c>
      <c r="AC131">
        <v>24</v>
      </c>
      <c r="AD131">
        <v>3317</v>
      </c>
      <c r="AE131">
        <v>17</v>
      </c>
      <c r="AF131">
        <v>26</v>
      </c>
      <c r="AG131">
        <v>43</v>
      </c>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row>
    <row r="132" spans="1:159" ht="14.5" x14ac:dyDescent="0.35">
      <c r="A132" t="s">
        <v>320</v>
      </c>
      <c r="B132" t="s">
        <v>321</v>
      </c>
      <c r="C132">
        <v>7663</v>
      </c>
      <c r="D132">
        <v>0</v>
      </c>
      <c r="E132">
        <v>218</v>
      </c>
      <c r="F132">
        <v>1987</v>
      </c>
      <c r="G132">
        <v>283</v>
      </c>
      <c r="H132">
        <v>10151</v>
      </c>
      <c r="I132">
        <v>9868</v>
      </c>
      <c r="J132">
        <v>25</v>
      </c>
      <c r="K132">
        <v>87.62</v>
      </c>
      <c r="L132">
        <v>85.91</v>
      </c>
      <c r="M132">
        <v>5.54</v>
      </c>
      <c r="N132">
        <v>89.97</v>
      </c>
      <c r="O132">
        <v>6437</v>
      </c>
      <c r="P132">
        <v>87.84</v>
      </c>
      <c r="Q132">
        <v>83.29</v>
      </c>
      <c r="R132">
        <v>47.28</v>
      </c>
      <c r="S132">
        <v>116.15</v>
      </c>
      <c r="T132">
        <v>2101</v>
      </c>
      <c r="U132">
        <v>102.29</v>
      </c>
      <c r="V132">
        <v>1135</v>
      </c>
      <c r="W132">
        <v>113.05</v>
      </c>
      <c r="X132">
        <v>67</v>
      </c>
      <c r="Y132">
        <v>0</v>
      </c>
      <c r="Z132">
        <v>19</v>
      </c>
      <c r="AA132">
        <v>0</v>
      </c>
      <c r="AB132">
        <v>32</v>
      </c>
      <c r="AC132">
        <v>3</v>
      </c>
      <c r="AD132">
        <v>7632</v>
      </c>
      <c r="AE132">
        <v>39</v>
      </c>
      <c r="AF132">
        <v>56</v>
      </c>
      <c r="AG132">
        <v>95</v>
      </c>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row>
    <row r="133" spans="1:159" ht="14.5" x14ac:dyDescent="0.35">
      <c r="A133" t="s">
        <v>322</v>
      </c>
      <c r="B133" t="s">
        <v>323</v>
      </c>
      <c r="C133">
        <v>5137</v>
      </c>
      <c r="D133">
        <v>0</v>
      </c>
      <c r="E133">
        <v>252</v>
      </c>
      <c r="F133">
        <v>713</v>
      </c>
      <c r="G133">
        <v>233</v>
      </c>
      <c r="H133">
        <v>6335</v>
      </c>
      <c r="I133">
        <v>6102</v>
      </c>
      <c r="J133">
        <v>115</v>
      </c>
      <c r="K133">
        <v>91.36</v>
      </c>
      <c r="L133">
        <v>89.59</v>
      </c>
      <c r="M133">
        <v>7.33</v>
      </c>
      <c r="N133">
        <v>97.67</v>
      </c>
      <c r="O133">
        <v>4160</v>
      </c>
      <c r="P133">
        <v>76.91</v>
      </c>
      <c r="Q133">
        <v>72.42</v>
      </c>
      <c r="R133">
        <v>47.41</v>
      </c>
      <c r="S133">
        <v>123.74</v>
      </c>
      <c r="T133">
        <v>811</v>
      </c>
      <c r="U133">
        <v>123.13</v>
      </c>
      <c r="V133">
        <v>782</v>
      </c>
      <c r="W133">
        <v>112.42</v>
      </c>
      <c r="X133">
        <v>20</v>
      </c>
      <c r="Y133">
        <v>9</v>
      </c>
      <c r="Z133">
        <v>1</v>
      </c>
      <c r="AA133">
        <v>1</v>
      </c>
      <c r="AB133">
        <v>18</v>
      </c>
      <c r="AC133">
        <v>2</v>
      </c>
      <c r="AD133">
        <v>5068</v>
      </c>
      <c r="AE133">
        <v>8</v>
      </c>
      <c r="AF133">
        <v>77</v>
      </c>
      <c r="AG133">
        <v>85</v>
      </c>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row>
    <row r="134" spans="1:159" ht="14.5" x14ac:dyDescent="0.35">
      <c r="A134" t="s">
        <v>324</v>
      </c>
      <c r="B134" t="s">
        <v>325</v>
      </c>
      <c r="C134">
        <v>4573</v>
      </c>
      <c r="D134">
        <v>0</v>
      </c>
      <c r="E134">
        <v>260</v>
      </c>
      <c r="F134">
        <v>1082</v>
      </c>
      <c r="G134">
        <v>482</v>
      </c>
      <c r="H134">
        <v>6397</v>
      </c>
      <c r="I134">
        <v>5915</v>
      </c>
      <c r="J134">
        <v>27</v>
      </c>
      <c r="K134">
        <v>113.41</v>
      </c>
      <c r="L134">
        <v>108.14</v>
      </c>
      <c r="M134">
        <v>10.029999999999999</v>
      </c>
      <c r="N134">
        <v>118.05</v>
      </c>
      <c r="O134">
        <v>3564</v>
      </c>
      <c r="P134">
        <v>104.22</v>
      </c>
      <c r="Q134">
        <v>93.45</v>
      </c>
      <c r="R134">
        <v>25.35</v>
      </c>
      <c r="S134">
        <v>127.42</v>
      </c>
      <c r="T134">
        <v>1141</v>
      </c>
      <c r="U134">
        <v>158.49</v>
      </c>
      <c r="V134">
        <v>875</v>
      </c>
      <c r="W134">
        <v>171.7</v>
      </c>
      <c r="X134">
        <v>14</v>
      </c>
      <c r="Y134">
        <v>0</v>
      </c>
      <c r="Z134">
        <v>1</v>
      </c>
      <c r="AA134">
        <v>2</v>
      </c>
      <c r="AB134">
        <v>51</v>
      </c>
      <c r="AC134">
        <v>16</v>
      </c>
      <c r="AD134">
        <v>4522</v>
      </c>
      <c r="AE134">
        <v>52</v>
      </c>
      <c r="AF134">
        <v>9</v>
      </c>
      <c r="AG134">
        <v>61</v>
      </c>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row>
    <row r="135" spans="1:159" ht="14.5" x14ac:dyDescent="0.35">
      <c r="A135" t="s">
        <v>326</v>
      </c>
      <c r="B135" t="s">
        <v>327</v>
      </c>
      <c r="C135">
        <v>3872</v>
      </c>
      <c r="D135">
        <v>354</v>
      </c>
      <c r="E135">
        <v>140</v>
      </c>
      <c r="F135">
        <v>315</v>
      </c>
      <c r="G135">
        <v>1091</v>
      </c>
      <c r="H135">
        <v>5772</v>
      </c>
      <c r="I135">
        <v>4681</v>
      </c>
      <c r="J135">
        <v>9</v>
      </c>
      <c r="K135">
        <v>124.5</v>
      </c>
      <c r="L135">
        <v>124.63</v>
      </c>
      <c r="M135">
        <v>12.67</v>
      </c>
      <c r="N135">
        <v>134.38999999999999</v>
      </c>
      <c r="O135">
        <v>2387</v>
      </c>
      <c r="P135">
        <v>114.36</v>
      </c>
      <c r="Q135">
        <v>104.3</v>
      </c>
      <c r="R135">
        <v>49.52</v>
      </c>
      <c r="S135">
        <v>163.27000000000001</v>
      </c>
      <c r="T135">
        <v>640</v>
      </c>
      <c r="U135">
        <v>193.57</v>
      </c>
      <c r="V135">
        <v>1139</v>
      </c>
      <c r="W135">
        <v>219.59</v>
      </c>
      <c r="X135">
        <v>3</v>
      </c>
      <c r="Y135">
        <v>0</v>
      </c>
      <c r="Z135">
        <v>2</v>
      </c>
      <c r="AA135">
        <v>4</v>
      </c>
      <c r="AB135">
        <v>86</v>
      </c>
      <c r="AC135">
        <v>34</v>
      </c>
      <c r="AD135">
        <v>3793</v>
      </c>
      <c r="AE135">
        <v>120</v>
      </c>
      <c r="AF135">
        <v>15</v>
      </c>
      <c r="AG135">
        <v>135</v>
      </c>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row>
    <row r="136" spans="1:159" ht="14.5" x14ac:dyDescent="0.35">
      <c r="A136" t="s">
        <v>328</v>
      </c>
      <c r="B136" t="s">
        <v>329</v>
      </c>
      <c r="C136">
        <v>9563</v>
      </c>
      <c r="D136">
        <v>0</v>
      </c>
      <c r="E136">
        <v>337</v>
      </c>
      <c r="F136">
        <v>1631</v>
      </c>
      <c r="G136">
        <v>1082</v>
      </c>
      <c r="H136">
        <v>12613</v>
      </c>
      <c r="I136">
        <v>11531</v>
      </c>
      <c r="J136">
        <v>128</v>
      </c>
      <c r="K136">
        <v>95.84</v>
      </c>
      <c r="L136">
        <v>94.75</v>
      </c>
      <c r="M136">
        <v>4.5599999999999996</v>
      </c>
      <c r="N136">
        <v>98.31</v>
      </c>
      <c r="O136">
        <v>8405</v>
      </c>
      <c r="P136">
        <v>91.51</v>
      </c>
      <c r="Q136">
        <v>86.81</v>
      </c>
      <c r="R136">
        <v>43.42</v>
      </c>
      <c r="S136">
        <v>125.46</v>
      </c>
      <c r="T136">
        <v>1924</v>
      </c>
      <c r="U136">
        <v>118.5</v>
      </c>
      <c r="V136">
        <v>1048</v>
      </c>
      <c r="W136">
        <v>141.82</v>
      </c>
      <c r="X136">
        <v>12</v>
      </c>
      <c r="Y136">
        <v>11</v>
      </c>
      <c r="Z136">
        <v>14</v>
      </c>
      <c r="AA136">
        <v>13</v>
      </c>
      <c r="AB136">
        <v>95</v>
      </c>
      <c r="AC136">
        <v>10</v>
      </c>
      <c r="AD136">
        <v>9507</v>
      </c>
      <c r="AE136">
        <v>102</v>
      </c>
      <c r="AF136">
        <v>23</v>
      </c>
      <c r="AG136">
        <v>125</v>
      </c>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row>
    <row r="137" spans="1:159" ht="14.5" x14ac:dyDescent="0.35">
      <c r="A137" t="s">
        <v>330</v>
      </c>
      <c r="B137" t="s">
        <v>331</v>
      </c>
      <c r="C137">
        <v>6491</v>
      </c>
      <c r="D137">
        <v>1</v>
      </c>
      <c r="E137">
        <v>207</v>
      </c>
      <c r="F137">
        <v>801</v>
      </c>
      <c r="G137">
        <v>533</v>
      </c>
      <c r="H137">
        <v>8033</v>
      </c>
      <c r="I137">
        <v>7500</v>
      </c>
      <c r="J137">
        <v>34</v>
      </c>
      <c r="K137">
        <v>128.41999999999999</v>
      </c>
      <c r="L137">
        <v>128.56</v>
      </c>
      <c r="M137">
        <v>7.99</v>
      </c>
      <c r="N137">
        <v>132.88999999999999</v>
      </c>
      <c r="O137">
        <v>5416</v>
      </c>
      <c r="P137">
        <v>116.75</v>
      </c>
      <c r="Q137">
        <v>112.3</v>
      </c>
      <c r="R137">
        <v>33.5</v>
      </c>
      <c r="S137">
        <v>149.35</v>
      </c>
      <c r="T137">
        <v>932</v>
      </c>
      <c r="U137">
        <v>199.53</v>
      </c>
      <c r="V137">
        <v>867</v>
      </c>
      <c r="W137">
        <v>222.16</v>
      </c>
      <c r="X137">
        <v>4</v>
      </c>
      <c r="Y137">
        <v>0</v>
      </c>
      <c r="Z137">
        <v>2</v>
      </c>
      <c r="AA137">
        <v>4</v>
      </c>
      <c r="AB137">
        <v>18</v>
      </c>
      <c r="AC137">
        <v>12</v>
      </c>
      <c r="AD137">
        <v>6316</v>
      </c>
      <c r="AE137">
        <v>56</v>
      </c>
      <c r="AF137">
        <v>91</v>
      </c>
      <c r="AG137">
        <v>147</v>
      </c>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row>
    <row r="138" spans="1:159" ht="14.5" x14ac:dyDescent="0.35">
      <c r="A138" t="s">
        <v>332</v>
      </c>
      <c r="B138" t="s">
        <v>333</v>
      </c>
      <c r="C138">
        <v>1146</v>
      </c>
      <c r="D138">
        <v>1</v>
      </c>
      <c r="E138">
        <v>63</v>
      </c>
      <c r="F138">
        <v>318</v>
      </c>
      <c r="G138">
        <v>274</v>
      </c>
      <c r="H138">
        <v>1802</v>
      </c>
      <c r="I138">
        <v>1528</v>
      </c>
      <c r="J138">
        <v>0</v>
      </c>
      <c r="K138">
        <v>101.9</v>
      </c>
      <c r="L138">
        <v>98.76</v>
      </c>
      <c r="M138">
        <v>9.11</v>
      </c>
      <c r="N138">
        <v>106.86</v>
      </c>
      <c r="O138">
        <v>789</v>
      </c>
      <c r="P138">
        <v>96.84</v>
      </c>
      <c r="Q138">
        <v>83.99</v>
      </c>
      <c r="R138">
        <v>54.3</v>
      </c>
      <c r="S138">
        <v>149.94999999999999</v>
      </c>
      <c r="T138">
        <v>365</v>
      </c>
      <c r="U138">
        <v>123.82</v>
      </c>
      <c r="V138">
        <v>330</v>
      </c>
      <c r="W138">
        <v>0</v>
      </c>
      <c r="X138">
        <v>0</v>
      </c>
      <c r="Y138">
        <v>0</v>
      </c>
      <c r="Z138">
        <v>0</v>
      </c>
      <c r="AA138">
        <v>0</v>
      </c>
      <c r="AB138">
        <v>48</v>
      </c>
      <c r="AC138">
        <v>8</v>
      </c>
      <c r="AD138">
        <v>1128</v>
      </c>
      <c r="AE138">
        <v>13</v>
      </c>
      <c r="AF138">
        <v>0</v>
      </c>
      <c r="AG138">
        <v>13</v>
      </c>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row>
    <row r="139" spans="1:159" ht="14.5" x14ac:dyDescent="0.35">
      <c r="A139" t="s">
        <v>334</v>
      </c>
      <c r="B139" t="s">
        <v>335</v>
      </c>
      <c r="C139">
        <v>6850</v>
      </c>
      <c r="D139">
        <v>12</v>
      </c>
      <c r="E139">
        <v>532</v>
      </c>
      <c r="F139">
        <v>543</v>
      </c>
      <c r="G139">
        <v>1459</v>
      </c>
      <c r="H139">
        <v>9396</v>
      </c>
      <c r="I139">
        <v>7937</v>
      </c>
      <c r="J139">
        <v>53</v>
      </c>
      <c r="K139">
        <v>132.03</v>
      </c>
      <c r="L139">
        <v>129.41999999999999</v>
      </c>
      <c r="M139">
        <v>11.43</v>
      </c>
      <c r="N139">
        <v>140.19999999999999</v>
      </c>
      <c r="O139">
        <v>5106</v>
      </c>
      <c r="P139">
        <v>120.44</v>
      </c>
      <c r="Q139">
        <v>112.32</v>
      </c>
      <c r="R139">
        <v>51.59</v>
      </c>
      <c r="S139">
        <v>165.46</v>
      </c>
      <c r="T139">
        <v>832</v>
      </c>
      <c r="U139">
        <v>201.17</v>
      </c>
      <c r="V139">
        <v>1032</v>
      </c>
      <c r="W139">
        <v>174.41</v>
      </c>
      <c r="X139">
        <v>57</v>
      </c>
      <c r="Y139">
        <v>10</v>
      </c>
      <c r="Z139">
        <v>8</v>
      </c>
      <c r="AA139">
        <v>15</v>
      </c>
      <c r="AB139">
        <v>92</v>
      </c>
      <c r="AC139">
        <v>36</v>
      </c>
      <c r="AD139">
        <v>6552</v>
      </c>
      <c r="AE139">
        <v>25</v>
      </c>
      <c r="AF139">
        <v>25</v>
      </c>
      <c r="AG139">
        <v>50</v>
      </c>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row>
    <row r="140" spans="1:159" ht="14.5" x14ac:dyDescent="0.35">
      <c r="A140" t="s">
        <v>336</v>
      </c>
      <c r="B140" t="s">
        <v>337</v>
      </c>
      <c r="C140">
        <v>2134</v>
      </c>
      <c r="D140">
        <v>1</v>
      </c>
      <c r="E140">
        <v>179</v>
      </c>
      <c r="F140">
        <v>125</v>
      </c>
      <c r="G140">
        <v>498</v>
      </c>
      <c r="H140">
        <v>2937</v>
      </c>
      <c r="I140">
        <v>2439</v>
      </c>
      <c r="J140">
        <v>10</v>
      </c>
      <c r="K140">
        <v>97.23</v>
      </c>
      <c r="L140">
        <v>94.32</v>
      </c>
      <c r="M140">
        <v>5.69</v>
      </c>
      <c r="N140">
        <v>100.35</v>
      </c>
      <c r="O140">
        <v>1394</v>
      </c>
      <c r="P140">
        <v>119.93</v>
      </c>
      <c r="Q140">
        <v>78.260000000000005</v>
      </c>
      <c r="R140">
        <v>60.27</v>
      </c>
      <c r="S140">
        <v>176.22</v>
      </c>
      <c r="T140">
        <v>242</v>
      </c>
      <c r="U140">
        <v>122.84</v>
      </c>
      <c r="V140">
        <v>703</v>
      </c>
      <c r="W140">
        <v>0</v>
      </c>
      <c r="X140">
        <v>0</v>
      </c>
      <c r="Y140">
        <v>0</v>
      </c>
      <c r="Z140">
        <v>0</v>
      </c>
      <c r="AA140">
        <v>4</v>
      </c>
      <c r="AB140">
        <v>60</v>
      </c>
      <c r="AC140">
        <v>9</v>
      </c>
      <c r="AD140">
        <v>2134</v>
      </c>
      <c r="AE140">
        <v>7</v>
      </c>
      <c r="AF140">
        <v>8</v>
      </c>
      <c r="AG140">
        <v>15</v>
      </c>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row>
    <row r="141" spans="1:159" ht="14.5" x14ac:dyDescent="0.35">
      <c r="A141" t="s">
        <v>338</v>
      </c>
      <c r="B141" t="s">
        <v>339</v>
      </c>
      <c r="C141">
        <v>6205</v>
      </c>
      <c r="D141">
        <v>0</v>
      </c>
      <c r="E141">
        <v>104</v>
      </c>
      <c r="F141">
        <v>1046</v>
      </c>
      <c r="G141">
        <v>1126</v>
      </c>
      <c r="H141">
        <v>8481</v>
      </c>
      <c r="I141">
        <v>7355</v>
      </c>
      <c r="J141">
        <v>178</v>
      </c>
      <c r="K141">
        <v>118.85</v>
      </c>
      <c r="L141">
        <v>117.47</v>
      </c>
      <c r="M141">
        <v>6.3</v>
      </c>
      <c r="N141">
        <v>122.69</v>
      </c>
      <c r="O141">
        <v>4639</v>
      </c>
      <c r="P141">
        <v>104.3</v>
      </c>
      <c r="Q141">
        <v>100.65</v>
      </c>
      <c r="R141">
        <v>31.68</v>
      </c>
      <c r="S141">
        <v>135.88</v>
      </c>
      <c r="T141">
        <v>909</v>
      </c>
      <c r="U141">
        <v>183.09</v>
      </c>
      <c r="V141">
        <v>1513</v>
      </c>
      <c r="W141">
        <v>238.19</v>
      </c>
      <c r="X141">
        <v>117</v>
      </c>
      <c r="Y141">
        <v>0</v>
      </c>
      <c r="Z141">
        <v>5</v>
      </c>
      <c r="AA141">
        <v>11</v>
      </c>
      <c r="AB141">
        <v>61</v>
      </c>
      <c r="AC141">
        <v>11</v>
      </c>
      <c r="AD141">
        <v>6171</v>
      </c>
      <c r="AE141">
        <v>42</v>
      </c>
      <c r="AF141">
        <v>97</v>
      </c>
      <c r="AG141">
        <v>139</v>
      </c>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row>
    <row r="142" spans="1:159" ht="14.5" x14ac:dyDescent="0.35">
      <c r="A142" t="s">
        <v>340</v>
      </c>
      <c r="B142" t="s">
        <v>341</v>
      </c>
      <c r="C142">
        <v>8138</v>
      </c>
      <c r="D142">
        <v>44</v>
      </c>
      <c r="E142">
        <v>389</v>
      </c>
      <c r="F142">
        <v>241</v>
      </c>
      <c r="G142">
        <v>2396</v>
      </c>
      <c r="H142">
        <v>11208</v>
      </c>
      <c r="I142">
        <v>8812</v>
      </c>
      <c r="J142">
        <v>33</v>
      </c>
      <c r="K142">
        <v>132.72</v>
      </c>
      <c r="L142">
        <v>132.02000000000001</v>
      </c>
      <c r="M142">
        <v>12.24</v>
      </c>
      <c r="N142">
        <v>142.26</v>
      </c>
      <c r="O142">
        <v>5884</v>
      </c>
      <c r="P142">
        <v>138.86000000000001</v>
      </c>
      <c r="Q142">
        <v>129.9</v>
      </c>
      <c r="R142">
        <v>120.85</v>
      </c>
      <c r="S142">
        <v>257.51</v>
      </c>
      <c r="T142">
        <v>330</v>
      </c>
      <c r="U142">
        <v>210.41</v>
      </c>
      <c r="V142">
        <v>1405</v>
      </c>
      <c r="W142">
        <v>226.36</v>
      </c>
      <c r="X142">
        <v>109</v>
      </c>
      <c r="Y142">
        <v>22</v>
      </c>
      <c r="Z142">
        <v>2</v>
      </c>
      <c r="AA142">
        <v>7</v>
      </c>
      <c r="AB142">
        <v>112</v>
      </c>
      <c r="AC142">
        <v>78</v>
      </c>
      <c r="AD142">
        <v>7669</v>
      </c>
      <c r="AE142">
        <v>34</v>
      </c>
      <c r="AF142">
        <v>69</v>
      </c>
      <c r="AG142">
        <v>103</v>
      </c>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row>
    <row r="143" spans="1:159" ht="14.5" x14ac:dyDescent="0.35">
      <c r="A143" t="s">
        <v>342</v>
      </c>
      <c r="B143" t="s">
        <v>343</v>
      </c>
      <c r="C143">
        <v>9179</v>
      </c>
      <c r="D143">
        <v>0</v>
      </c>
      <c r="E143">
        <v>537</v>
      </c>
      <c r="F143">
        <v>951</v>
      </c>
      <c r="G143">
        <v>1224</v>
      </c>
      <c r="H143">
        <v>11891</v>
      </c>
      <c r="I143">
        <v>10667</v>
      </c>
      <c r="J143">
        <v>36</v>
      </c>
      <c r="K143">
        <v>101.82</v>
      </c>
      <c r="L143">
        <v>101.37</v>
      </c>
      <c r="M143">
        <v>3.87</v>
      </c>
      <c r="N143">
        <v>105.45</v>
      </c>
      <c r="O143">
        <v>7863</v>
      </c>
      <c r="P143">
        <v>105.81</v>
      </c>
      <c r="Q143">
        <v>88.07</v>
      </c>
      <c r="R143">
        <v>54.08</v>
      </c>
      <c r="S143">
        <v>156.85</v>
      </c>
      <c r="T143">
        <v>1315</v>
      </c>
      <c r="U143">
        <v>148.52000000000001</v>
      </c>
      <c r="V143">
        <v>1182</v>
      </c>
      <c r="W143">
        <v>102.77</v>
      </c>
      <c r="X143">
        <v>84</v>
      </c>
      <c r="Y143">
        <v>1</v>
      </c>
      <c r="Z143">
        <v>10</v>
      </c>
      <c r="AA143">
        <v>3</v>
      </c>
      <c r="AB143">
        <v>100</v>
      </c>
      <c r="AC143">
        <v>19</v>
      </c>
      <c r="AD143">
        <v>9179</v>
      </c>
      <c r="AE143">
        <v>77</v>
      </c>
      <c r="AF143">
        <v>98</v>
      </c>
      <c r="AG143">
        <v>175</v>
      </c>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row>
    <row r="144" spans="1:159" ht="14.5" x14ac:dyDescent="0.35">
      <c r="A144" t="s">
        <v>344</v>
      </c>
      <c r="B144" t="s">
        <v>345</v>
      </c>
      <c r="C144">
        <v>3143</v>
      </c>
      <c r="D144">
        <v>0</v>
      </c>
      <c r="E144">
        <v>321</v>
      </c>
      <c r="F144">
        <v>1547</v>
      </c>
      <c r="G144">
        <v>88</v>
      </c>
      <c r="H144">
        <v>5099</v>
      </c>
      <c r="I144">
        <v>5011</v>
      </c>
      <c r="J144">
        <v>0</v>
      </c>
      <c r="K144">
        <v>82.14</v>
      </c>
      <c r="L144">
        <v>81.86</v>
      </c>
      <c r="M144">
        <v>2.65</v>
      </c>
      <c r="N144">
        <v>83.57</v>
      </c>
      <c r="O144">
        <v>2883</v>
      </c>
      <c r="P144">
        <v>82.05</v>
      </c>
      <c r="Q144">
        <v>74.36</v>
      </c>
      <c r="R144">
        <v>24.05</v>
      </c>
      <c r="S144">
        <v>105.33</v>
      </c>
      <c r="T144">
        <v>1721</v>
      </c>
      <c r="U144">
        <v>104.51</v>
      </c>
      <c r="V144">
        <v>245</v>
      </c>
      <c r="W144">
        <v>268.79000000000002</v>
      </c>
      <c r="X144">
        <v>14</v>
      </c>
      <c r="Y144">
        <v>0</v>
      </c>
      <c r="Z144">
        <v>7</v>
      </c>
      <c r="AA144">
        <v>2</v>
      </c>
      <c r="AB144">
        <v>18</v>
      </c>
      <c r="AC144">
        <v>2</v>
      </c>
      <c r="AD144">
        <v>3143</v>
      </c>
      <c r="AE144">
        <v>19</v>
      </c>
      <c r="AF144">
        <v>5</v>
      </c>
      <c r="AG144">
        <v>24</v>
      </c>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row>
    <row r="145" spans="1:159" ht="14.5" x14ac:dyDescent="0.35">
      <c r="A145" t="s">
        <v>346</v>
      </c>
      <c r="B145" t="s">
        <v>347</v>
      </c>
      <c r="C145">
        <v>3737</v>
      </c>
      <c r="D145">
        <v>0</v>
      </c>
      <c r="E145">
        <v>572</v>
      </c>
      <c r="F145">
        <v>707</v>
      </c>
      <c r="G145">
        <v>294</v>
      </c>
      <c r="H145">
        <v>5310</v>
      </c>
      <c r="I145">
        <v>5016</v>
      </c>
      <c r="J145">
        <v>90</v>
      </c>
      <c r="K145">
        <v>94.93</v>
      </c>
      <c r="L145">
        <v>93.91</v>
      </c>
      <c r="M145">
        <v>7.77</v>
      </c>
      <c r="N145">
        <v>100.99</v>
      </c>
      <c r="O145">
        <v>2991</v>
      </c>
      <c r="P145">
        <v>86.51</v>
      </c>
      <c r="Q145">
        <v>77.94</v>
      </c>
      <c r="R145">
        <v>73.75</v>
      </c>
      <c r="S145">
        <v>158.97999999999999</v>
      </c>
      <c r="T145">
        <v>1034</v>
      </c>
      <c r="U145">
        <v>112.72</v>
      </c>
      <c r="V145">
        <v>556</v>
      </c>
      <c r="W145">
        <v>0</v>
      </c>
      <c r="X145">
        <v>0</v>
      </c>
      <c r="Y145">
        <v>0</v>
      </c>
      <c r="Z145">
        <v>1</v>
      </c>
      <c r="AA145">
        <v>34</v>
      </c>
      <c r="AB145">
        <v>2</v>
      </c>
      <c r="AC145">
        <v>6</v>
      </c>
      <c r="AD145">
        <v>3608</v>
      </c>
      <c r="AE145">
        <v>16</v>
      </c>
      <c r="AF145">
        <v>45</v>
      </c>
      <c r="AG145">
        <v>61</v>
      </c>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row>
    <row r="146" spans="1:159" ht="14.5" x14ac:dyDescent="0.35">
      <c r="A146" t="s">
        <v>348</v>
      </c>
      <c r="B146" t="s">
        <v>349</v>
      </c>
      <c r="C146">
        <v>6302</v>
      </c>
      <c r="D146">
        <v>0</v>
      </c>
      <c r="E146">
        <v>518</v>
      </c>
      <c r="F146">
        <v>637</v>
      </c>
      <c r="G146">
        <v>356</v>
      </c>
      <c r="H146">
        <v>7813</v>
      </c>
      <c r="I146">
        <v>7457</v>
      </c>
      <c r="J146">
        <v>86</v>
      </c>
      <c r="K146">
        <v>94.78</v>
      </c>
      <c r="L146">
        <v>94.3</v>
      </c>
      <c r="M146">
        <v>6.79</v>
      </c>
      <c r="N146">
        <v>98.84</v>
      </c>
      <c r="O146">
        <v>5442</v>
      </c>
      <c r="P146">
        <v>88.84</v>
      </c>
      <c r="Q146">
        <v>81.209999999999994</v>
      </c>
      <c r="R146">
        <v>52.1</v>
      </c>
      <c r="S146">
        <v>137.94</v>
      </c>
      <c r="T146">
        <v>1078</v>
      </c>
      <c r="U146">
        <v>131.19999999999999</v>
      </c>
      <c r="V146">
        <v>328</v>
      </c>
      <c r="W146">
        <v>96.56</v>
      </c>
      <c r="X146">
        <v>12</v>
      </c>
      <c r="Y146">
        <v>0</v>
      </c>
      <c r="Z146">
        <v>1</v>
      </c>
      <c r="AA146">
        <v>0</v>
      </c>
      <c r="AB146">
        <v>17</v>
      </c>
      <c r="AC146">
        <v>6</v>
      </c>
      <c r="AD146">
        <v>5825</v>
      </c>
      <c r="AE146">
        <v>8</v>
      </c>
      <c r="AF146">
        <v>36</v>
      </c>
      <c r="AG146">
        <v>44</v>
      </c>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row>
    <row r="147" spans="1:159" ht="14.5" x14ac:dyDescent="0.35">
      <c r="A147" t="s">
        <v>350</v>
      </c>
      <c r="B147" t="s">
        <v>351</v>
      </c>
      <c r="C147">
        <v>54</v>
      </c>
      <c r="D147">
        <v>0</v>
      </c>
      <c r="E147">
        <v>0</v>
      </c>
      <c r="F147">
        <v>7</v>
      </c>
      <c r="G147">
        <v>6</v>
      </c>
      <c r="H147">
        <v>67</v>
      </c>
      <c r="I147">
        <v>61</v>
      </c>
      <c r="J147">
        <v>0</v>
      </c>
      <c r="K147">
        <v>104.86</v>
      </c>
      <c r="L147">
        <v>110.85</v>
      </c>
      <c r="M147">
        <v>3.25</v>
      </c>
      <c r="N147">
        <v>106.19</v>
      </c>
      <c r="O147">
        <v>27</v>
      </c>
      <c r="P147">
        <v>102.48</v>
      </c>
      <c r="Q147">
        <v>93.16</v>
      </c>
      <c r="R147">
        <v>29.73</v>
      </c>
      <c r="S147">
        <v>132.21</v>
      </c>
      <c r="T147">
        <v>7</v>
      </c>
      <c r="U147">
        <v>123.63</v>
      </c>
      <c r="V147">
        <v>2</v>
      </c>
      <c r="W147">
        <v>0</v>
      </c>
      <c r="X147">
        <v>0</v>
      </c>
      <c r="Y147">
        <v>0</v>
      </c>
      <c r="Z147">
        <v>0</v>
      </c>
      <c r="AA147">
        <v>0</v>
      </c>
      <c r="AB147">
        <v>0</v>
      </c>
      <c r="AC147">
        <v>0</v>
      </c>
      <c r="AD147">
        <v>27</v>
      </c>
      <c r="AE147">
        <v>0</v>
      </c>
      <c r="AF147">
        <v>0</v>
      </c>
      <c r="AG147">
        <v>0</v>
      </c>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row>
    <row r="148" spans="1:159" ht="14.5" x14ac:dyDescent="0.35">
      <c r="A148" t="s">
        <v>352</v>
      </c>
      <c r="B148" t="s">
        <v>353</v>
      </c>
      <c r="C148">
        <v>14023</v>
      </c>
      <c r="D148">
        <v>301</v>
      </c>
      <c r="E148">
        <v>1425</v>
      </c>
      <c r="F148">
        <v>772</v>
      </c>
      <c r="G148">
        <v>1402</v>
      </c>
      <c r="H148">
        <v>17923</v>
      </c>
      <c r="I148">
        <v>16521</v>
      </c>
      <c r="J148">
        <v>161</v>
      </c>
      <c r="K148">
        <v>136.13</v>
      </c>
      <c r="L148">
        <v>144.43</v>
      </c>
      <c r="M148">
        <v>13.14</v>
      </c>
      <c r="N148">
        <v>146.85</v>
      </c>
      <c r="O148">
        <v>12126</v>
      </c>
      <c r="P148">
        <v>123.92</v>
      </c>
      <c r="Q148">
        <v>120.54</v>
      </c>
      <c r="R148">
        <v>76.819999999999993</v>
      </c>
      <c r="S148">
        <v>197.72</v>
      </c>
      <c r="T148">
        <v>1753</v>
      </c>
      <c r="U148">
        <v>199.88</v>
      </c>
      <c r="V148">
        <v>580</v>
      </c>
      <c r="W148">
        <v>205.41</v>
      </c>
      <c r="X148">
        <v>13</v>
      </c>
      <c r="Y148">
        <v>174</v>
      </c>
      <c r="Z148">
        <v>1</v>
      </c>
      <c r="AA148">
        <v>14</v>
      </c>
      <c r="AB148">
        <v>0</v>
      </c>
      <c r="AC148">
        <v>44</v>
      </c>
      <c r="AD148">
        <v>12988</v>
      </c>
      <c r="AE148">
        <v>87</v>
      </c>
      <c r="AF148">
        <v>119</v>
      </c>
      <c r="AG148">
        <v>206</v>
      </c>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row>
    <row r="149" spans="1:159" ht="14.5" x14ac:dyDescent="0.35">
      <c r="A149" t="s">
        <v>354</v>
      </c>
      <c r="B149" t="s">
        <v>355</v>
      </c>
      <c r="C149">
        <v>10556</v>
      </c>
      <c r="D149">
        <v>220</v>
      </c>
      <c r="E149">
        <v>1028</v>
      </c>
      <c r="F149">
        <v>930</v>
      </c>
      <c r="G149">
        <v>539</v>
      </c>
      <c r="H149">
        <v>13273</v>
      </c>
      <c r="I149">
        <v>12734</v>
      </c>
      <c r="J149">
        <v>126</v>
      </c>
      <c r="K149">
        <v>136.84</v>
      </c>
      <c r="L149">
        <v>158.88</v>
      </c>
      <c r="M149">
        <v>11.54</v>
      </c>
      <c r="N149">
        <v>145.44999999999999</v>
      </c>
      <c r="O149">
        <v>9182</v>
      </c>
      <c r="P149">
        <v>131.59</v>
      </c>
      <c r="Q149">
        <v>133.27000000000001</v>
      </c>
      <c r="R149">
        <v>63.48</v>
      </c>
      <c r="S149">
        <v>188.33</v>
      </c>
      <c r="T149">
        <v>1536</v>
      </c>
      <c r="U149">
        <v>222.7</v>
      </c>
      <c r="V149">
        <v>631</v>
      </c>
      <c r="W149">
        <v>197</v>
      </c>
      <c r="X149">
        <v>31</v>
      </c>
      <c r="Y149">
        <v>0</v>
      </c>
      <c r="Z149">
        <v>0</v>
      </c>
      <c r="AA149">
        <v>19</v>
      </c>
      <c r="AB149">
        <v>0</v>
      </c>
      <c r="AC149">
        <v>8</v>
      </c>
      <c r="AD149">
        <v>9749</v>
      </c>
      <c r="AE149">
        <v>47</v>
      </c>
      <c r="AF149">
        <v>66</v>
      </c>
      <c r="AG149">
        <v>113</v>
      </c>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row>
    <row r="150" spans="1:159" ht="14.5" x14ac:dyDescent="0.35">
      <c r="A150" t="s">
        <v>356</v>
      </c>
      <c r="B150" t="s">
        <v>357</v>
      </c>
      <c r="C150">
        <v>8566</v>
      </c>
      <c r="D150">
        <v>22</v>
      </c>
      <c r="E150">
        <v>287</v>
      </c>
      <c r="F150">
        <v>912</v>
      </c>
      <c r="G150">
        <v>235</v>
      </c>
      <c r="H150">
        <v>10022</v>
      </c>
      <c r="I150">
        <v>9787</v>
      </c>
      <c r="J150">
        <v>268</v>
      </c>
      <c r="K150">
        <v>89.22</v>
      </c>
      <c r="L150">
        <v>86.03</v>
      </c>
      <c r="M150">
        <v>5.97</v>
      </c>
      <c r="N150">
        <v>91.36</v>
      </c>
      <c r="O150">
        <v>7693</v>
      </c>
      <c r="P150">
        <v>95.43</v>
      </c>
      <c r="Q150">
        <v>81.16</v>
      </c>
      <c r="R150">
        <v>26.85</v>
      </c>
      <c r="S150">
        <v>120.8</v>
      </c>
      <c r="T150">
        <v>1126</v>
      </c>
      <c r="U150">
        <v>115.54</v>
      </c>
      <c r="V150">
        <v>772</v>
      </c>
      <c r="W150">
        <v>101.28</v>
      </c>
      <c r="X150">
        <v>17</v>
      </c>
      <c r="Y150">
        <v>30</v>
      </c>
      <c r="Z150">
        <v>33</v>
      </c>
      <c r="AA150">
        <v>14</v>
      </c>
      <c r="AB150">
        <v>16</v>
      </c>
      <c r="AC150">
        <v>9</v>
      </c>
      <c r="AD150">
        <v>8467</v>
      </c>
      <c r="AE150">
        <v>139</v>
      </c>
      <c r="AF150">
        <v>158</v>
      </c>
      <c r="AG150">
        <v>297</v>
      </c>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row>
    <row r="151" spans="1:159" ht="14.5" x14ac:dyDescent="0.35">
      <c r="A151" t="s">
        <v>358</v>
      </c>
      <c r="B151" t="s">
        <v>359</v>
      </c>
      <c r="C151">
        <v>7308</v>
      </c>
      <c r="D151">
        <v>0</v>
      </c>
      <c r="E151">
        <v>1025</v>
      </c>
      <c r="F151">
        <v>1261</v>
      </c>
      <c r="G151">
        <v>317</v>
      </c>
      <c r="H151">
        <v>9911</v>
      </c>
      <c r="I151">
        <v>9594</v>
      </c>
      <c r="J151">
        <v>133</v>
      </c>
      <c r="K151">
        <v>87.85</v>
      </c>
      <c r="L151">
        <v>86.99</v>
      </c>
      <c r="M151">
        <v>6.29</v>
      </c>
      <c r="N151">
        <v>92.82</v>
      </c>
      <c r="O151">
        <v>6119</v>
      </c>
      <c r="P151">
        <v>89.18</v>
      </c>
      <c r="Q151">
        <v>79.31</v>
      </c>
      <c r="R151">
        <v>59.12</v>
      </c>
      <c r="S151">
        <v>144.37</v>
      </c>
      <c r="T151">
        <v>1702</v>
      </c>
      <c r="U151">
        <v>102.39</v>
      </c>
      <c r="V151">
        <v>991</v>
      </c>
      <c r="W151">
        <v>234.91</v>
      </c>
      <c r="X151">
        <v>31</v>
      </c>
      <c r="Y151">
        <v>1</v>
      </c>
      <c r="Z151">
        <v>13</v>
      </c>
      <c r="AA151">
        <v>2</v>
      </c>
      <c r="AB151">
        <v>0</v>
      </c>
      <c r="AC151">
        <v>6</v>
      </c>
      <c r="AD151">
        <v>7068</v>
      </c>
      <c r="AE151">
        <v>50</v>
      </c>
      <c r="AF151">
        <v>67</v>
      </c>
      <c r="AG151">
        <v>117</v>
      </c>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row>
    <row r="152" spans="1:159" ht="14.5" x14ac:dyDescent="0.35">
      <c r="A152" t="s">
        <v>360</v>
      </c>
      <c r="B152" t="s">
        <v>361</v>
      </c>
      <c r="C152">
        <v>2157</v>
      </c>
      <c r="D152">
        <v>93</v>
      </c>
      <c r="E152">
        <v>297</v>
      </c>
      <c r="F152">
        <v>285</v>
      </c>
      <c r="G152">
        <v>426</v>
      </c>
      <c r="H152">
        <v>3258</v>
      </c>
      <c r="I152">
        <v>2832</v>
      </c>
      <c r="J152">
        <v>8</v>
      </c>
      <c r="K152">
        <v>137.79</v>
      </c>
      <c r="L152">
        <v>138.32</v>
      </c>
      <c r="M152">
        <v>10.83</v>
      </c>
      <c r="N152">
        <v>147.35</v>
      </c>
      <c r="O152">
        <v>1516</v>
      </c>
      <c r="P152">
        <v>139.49</v>
      </c>
      <c r="Q152">
        <v>109.71</v>
      </c>
      <c r="R152">
        <v>58.89</v>
      </c>
      <c r="S152">
        <v>196.74</v>
      </c>
      <c r="T152">
        <v>322</v>
      </c>
      <c r="U152">
        <v>233.83</v>
      </c>
      <c r="V152">
        <v>375</v>
      </c>
      <c r="W152">
        <v>0</v>
      </c>
      <c r="X152">
        <v>0</v>
      </c>
      <c r="Y152">
        <v>0</v>
      </c>
      <c r="Z152">
        <v>0</v>
      </c>
      <c r="AA152">
        <v>0</v>
      </c>
      <c r="AB152">
        <v>6</v>
      </c>
      <c r="AC152">
        <v>8</v>
      </c>
      <c r="AD152">
        <v>1885</v>
      </c>
      <c r="AE152">
        <v>22</v>
      </c>
      <c r="AF152">
        <v>12</v>
      </c>
      <c r="AG152">
        <v>34</v>
      </c>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row>
    <row r="153" spans="1:159" ht="14.5" x14ac:dyDescent="0.35">
      <c r="A153" t="s">
        <v>362</v>
      </c>
      <c r="B153" t="s">
        <v>363</v>
      </c>
      <c r="C153">
        <v>4321</v>
      </c>
      <c r="D153">
        <v>3</v>
      </c>
      <c r="E153">
        <v>448</v>
      </c>
      <c r="F153">
        <v>1269</v>
      </c>
      <c r="G153">
        <v>541</v>
      </c>
      <c r="H153">
        <v>6582</v>
      </c>
      <c r="I153">
        <v>6041</v>
      </c>
      <c r="J153">
        <v>2</v>
      </c>
      <c r="K153">
        <v>90.26</v>
      </c>
      <c r="L153">
        <v>86.71</v>
      </c>
      <c r="M153">
        <v>4.84</v>
      </c>
      <c r="N153">
        <v>93.94</v>
      </c>
      <c r="O153">
        <v>3547</v>
      </c>
      <c r="P153">
        <v>87.63</v>
      </c>
      <c r="Q153">
        <v>78.28</v>
      </c>
      <c r="R153">
        <v>38.61</v>
      </c>
      <c r="S153">
        <v>125.71</v>
      </c>
      <c r="T153">
        <v>1480</v>
      </c>
      <c r="U153">
        <v>105.03</v>
      </c>
      <c r="V153">
        <v>652</v>
      </c>
      <c r="W153">
        <v>138.6</v>
      </c>
      <c r="X153">
        <v>57</v>
      </c>
      <c r="Y153">
        <v>0</v>
      </c>
      <c r="Z153">
        <v>10</v>
      </c>
      <c r="AA153">
        <v>4</v>
      </c>
      <c r="AB153">
        <v>27</v>
      </c>
      <c r="AC153">
        <v>21</v>
      </c>
      <c r="AD153">
        <v>4309</v>
      </c>
      <c r="AE153">
        <v>23</v>
      </c>
      <c r="AF153">
        <v>15</v>
      </c>
      <c r="AG153">
        <v>38</v>
      </c>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row>
    <row r="154" spans="1:159" ht="14.5" x14ac:dyDescent="0.35">
      <c r="A154" t="s">
        <v>364</v>
      </c>
      <c r="B154" t="s">
        <v>365</v>
      </c>
      <c r="C154">
        <v>16076</v>
      </c>
      <c r="D154">
        <v>4</v>
      </c>
      <c r="E154">
        <v>724</v>
      </c>
      <c r="F154">
        <v>1329</v>
      </c>
      <c r="G154">
        <v>603</v>
      </c>
      <c r="H154">
        <v>18736</v>
      </c>
      <c r="I154">
        <v>18133</v>
      </c>
      <c r="J154">
        <v>1</v>
      </c>
      <c r="K154">
        <v>89.61</v>
      </c>
      <c r="L154">
        <v>89.75</v>
      </c>
      <c r="M154">
        <v>12.02</v>
      </c>
      <c r="N154">
        <v>92.6</v>
      </c>
      <c r="O154">
        <v>14300</v>
      </c>
      <c r="P154">
        <v>91.58</v>
      </c>
      <c r="Q154">
        <v>79.86</v>
      </c>
      <c r="R154">
        <v>33.520000000000003</v>
      </c>
      <c r="S154">
        <v>121.87</v>
      </c>
      <c r="T154">
        <v>1582</v>
      </c>
      <c r="U154">
        <v>115.75</v>
      </c>
      <c r="V154">
        <v>1437</v>
      </c>
      <c r="W154">
        <v>159.96</v>
      </c>
      <c r="X154">
        <v>425</v>
      </c>
      <c r="Y154">
        <v>0</v>
      </c>
      <c r="Z154">
        <v>112</v>
      </c>
      <c r="AA154">
        <v>25</v>
      </c>
      <c r="AB154">
        <v>71</v>
      </c>
      <c r="AC154">
        <v>3</v>
      </c>
      <c r="AD154">
        <v>15914</v>
      </c>
      <c r="AE154">
        <v>26</v>
      </c>
      <c r="AF154">
        <v>389</v>
      </c>
      <c r="AG154">
        <v>415</v>
      </c>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row>
    <row r="155" spans="1:159" ht="14.5" x14ac:dyDescent="0.35">
      <c r="A155" t="s">
        <v>366</v>
      </c>
      <c r="B155" t="s">
        <v>367</v>
      </c>
      <c r="C155">
        <v>21427</v>
      </c>
      <c r="D155">
        <v>90</v>
      </c>
      <c r="E155">
        <v>1849</v>
      </c>
      <c r="F155">
        <v>1544</v>
      </c>
      <c r="G155">
        <v>2127</v>
      </c>
      <c r="H155">
        <v>27037</v>
      </c>
      <c r="I155">
        <v>24910</v>
      </c>
      <c r="J155">
        <v>263</v>
      </c>
      <c r="K155">
        <v>126.98</v>
      </c>
      <c r="L155">
        <v>134.35</v>
      </c>
      <c r="M155">
        <v>15.91</v>
      </c>
      <c r="N155">
        <v>140.43</v>
      </c>
      <c r="O155">
        <v>18370</v>
      </c>
      <c r="P155">
        <v>119.25</v>
      </c>
      <c r="Q155">
        <v>112.97</v>
      </c>
      <c r="R155">
        <v>55.86</v>
      </c>
      <c r="S155">
        <v>170.35</v>
      </c>
      <c r="T155">
        <v>2894</v>
      </c>
      <c r="U155">
        <v>208.55</v>
      </c>
      <c r="V155">
        <v>1376</v>
      </c>
      <c r="W155">
        <v>265.29000000000002</v>
      </c>
      <c r="X155">
        <v>161</v>
      </c>
      <c r="Y155">
        <v>67</v>
      </c>
      <c r="Z155">
        <v>14</v>
      </c>
      <c r="AA155">
        <v>30</v>
      </c>
      <c r="AB155">
        <v>51</v>
      </c>
      <c r="AC155">
        <v>103</v>
      </c>
      <c r="AD155">
        <v>20022</v>
      </c>
      <c r="AE155">
        <v>120</v>
      </c>
      <c r="AF155">
        <v>114</v>
      </c>
      <c r="AG155">
        <v>234</v>
      </c>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row>
    <row r="156" spans="1:159" ht="14.5" x14ac:dyDescent="0.35">
      <c r="A156" t="s">
        <v>368</v>
      </c>
      <c r="B156" t="s">
        <v>369</v>
      </c>
      <c r="C156">
        <v>2058</v>
      </c>
      <c r="D156">
        <v>0</v>
      </c>
      <c r="E156">
        <v>400</v>
      </c>
      <c r="F156">
        <v>526</v>
      </c>
      <c r="G156">
        <v>374</v>
      </c>
      <c r="H156">
        <v>3358</v>
      </c>
      <c r="I156">
        <v>2984</v>
      </c>
      <c r="J156">
        <v>6</v>
      </c>
      <c r="K156">
        <v>89.28</v>
      </c>
      <c r="L156">
        <v>85.78</v>
      </c>
      <c r="M156">
        <v>6.89</v>
      </c>
      <c r="N156">
        <v>95.34</v>
      </c>
      <c r="O156">
        <v>1254</v>
      </c>
      <c r="P156">
        <v>97.61</v>
      </c>
      <c r="Q156">
        <v>75.989999999999995</v>
      </c>
      <c r="R156">
        <v>63.65</v>
      </c>
      <c r="S156">
        <v>159.05000000000001</v>
      </c>
      <c r="T156">
        <v>777</v>
      </c>
      <c r="U156">
        <v>113.56</v>
      </c>
      <c r="V156">
        <v>735</v>
      </c>
      <c r="W156">
        <v>302.57</v>
      </c>
      <c r="X156">
        <v>36</v>
      </c>
      <c r="Y156">
        <v>4</v>
      </c>
      <c r="Z156">
        <v>1</v>
      </c>
      <c r="AA156">
        <v>5</v>
      </c>
      <c r="AB156">
        <v>9</v>
      </c>
      <c r="AC156">
        <v>9</v>
      </c>
      <c r="AD156">
        <v>2002</v>
      </c>
      <c r="AE156">
        <v>27</v>
      </c>
      <c r="AF156">
        <v>9</v>
      </c>
      <c r="AG156">
        <v>36</v>
      </c>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row>
    <row r="157" spans="1:159" ht="14.5" x14ac:dyDescent="0.35">
      <c r="A157" t="s">
        <v>370</v>
      </c>
      <c r="B157" t="s">
        <v>371</v>
      </c>
      <c r="C157">
        <v>13740</v>
      </c>
      <c r="D157">
        <v>8</v>
      </c>
      <c r="E157">
        <v>1508</v>
      </c>
      <c r="F157">
        <v>3037</v>
      </c>
      <c r="G157">
        <v>1715</v>
      </c>
      <c r="H157">
        <v>20008</v>
      </c>
      <c r="I157">
        <v>18293</v>
      </c>
      <c r="J157">
        <v>70</v>
      </c>
      <c r="K157">
        <v>89.93</v>
      </c>
      <c r="L157">
        <v>88.29</v>
      </c>
      <c r="M157">
        <v>7.19</v>
      </c>
      <c r="N157">
        <v>94.52</v>
      </c>
      <c r="O157">
        <v>11356</v>
      </c>
      <c r="P157">
        <v>101.82</v>
      </c>
      <c r="Q157">
        <v>78.12</v>
      </c>
      <c r="R157">
        <v>55.94</v>
      </c>
      <c r="S157">
        <v>155.91999999999999</v>
      </c>
      <c r="T157">
        <v>3459</v>
      </c>
      <c r="U157">
        <v>117.14</v>
      </c>
      <c r="V157">
        <v>1503</v>
      </c>
      <c r="W157">
        <v>220.34</v>
      </c>
      <c r="X157">
        <v>162</v>
      </c>
      <c r="Y157">
        <v>0</v>
      </c>
      <c r="Z157">
        <v>11</v>
      </c>
      <c r="AA157">
        <v>22</v>
      </c>
      <c r="AB157">
        <v>108</v>
      </c>
      <c r="AC157">
        <v>57</v>
      </c>
      <c r="AD157">
        <v>13325</v>
      </c>
      <c r="AE157">
        <v>120</v>
      </c>
      <c r="AF157">
        <v>70</v>
      </c>
      <c r="AG157">
        <v>190</v>
      </c>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row>
    <row r="158" spans="1:159" ht="14.5" x14ac:dyDescent="0.35">
      <c r="A158" t="s">
        <v>372</v>
      </c>
      <c r="B158" t="s">
        <v>373</v>
      </c>
      <c r="C158">
        <v>8986</v>
      </c>
      <c r="D158">
        <v>0</v>
      </c>
      <c r="E158">
        <v>927</v>
      </c>
      <c r="F158">
        <v>997</v>
      </c>
      <c r="G158">
        <v>549</v>
      </c>
      <c r="H158">
        <v>11459</v>
      </c>
      <c r="I158">
        <v>10910</v>
      </c>
      <c r="J158">
        <v>85</v>
      </c>
      <c r="K158">
        <v>89.46</v>
      </c>
      <c r="L158">
        <v>88.43</v>
      </c>
      <c r="M158">
        <v>9.14</v>
      </c>
      <c r="N158">
        <v>95.95</v>
      </c>
      <c r="O158">
        <v>6958</v>
      </c>
      <c r="P158">
        <v>95.31</v>
      </c>
      <c r="Q158">
        <v>79.45</v>
      </c>
      <c r="R158">
        <v>66.290000000000006</v>
      </c>
      <c r="S158">
        <v>156.99</v>
      </c>
      <c r="T158">
        <v>1550</v>
      </c>
      <c r="U158">
        <v>120.79</v>
      </c>
      <c r="V158">
        <v>1153</v>
      </c>
      <c r="W158">
        <v>140.43</v>
      </c>
      <c r="X158">
        <v>86</v>
      </c>
      <c r="Y158">
        <v>259</v>
      </c>
      <c r="Z158">
        <v>12</v>
      </c>
      <c r="AA158">
        <v>10</v>
      </c>
      <c r="AB158">
        <v>2</v>
      </c>
      <c r="AC158">
        <v>22</v>
      </c>
      <c r="AD158">
        <v>8265</v>
      </c>
      <c r="AE158">
        <v>38</v>
      </c>
      <c r="AF158">
        <v>43</v>
      </c>
      <c r="AG158">
        <v>81</v>
      </c>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row>
    <row r="159" spans="1:159" ht="14.5" x14ac:dyDescent="0.35">
      <c r="A159" t="s">
        <v>374</v>
      </c>
      <c r="B159" t="s">
        <v>375</v>
      </c>
      <c r="C159">
        <v>1247</v>
      </c>
      <c r="D159">
        <v>0</v>
      </c>
      <c r="E159">
        <v>156</v>
      </c>
      <c r="F159">
        <v>442</v>
      </c>
      <c r="G159">
        <v>729</v>
      </c>
      <c r="H159">
        <v>2574</v>
      </c>
      <c r="I159">
        <v>1845</v>
      </c>
      <c r="J159">
        <v>3</v>
      </c>
      <c r="K159">
        <v>100.41</v>
      </c>
      <c r="L159">
        <v>98.91</v>
      </c>
      <c r="M159">
        <v>10.07</v>
      </c>
      <c r="N159">
        <v>109.24</v>
      </c>
      <c r="O159">
        <v>867</v>
      </c>
      <c r="P159">
        <v>88.67</v>
      </c>
      <c r="Q159">
        <v>82.08</v>
      </c>
      <c r="R159">
        <v>59.32</v>
      </c>
      <c r="S159">
        <v>146.85</v>
      </c>
      <c r="T159">
        <v>312</v>
      </c>
      <c r="U159">
        <v>185.58</v>
      </c>
      <c r="V159">
        <v>330</v>
      </c>
      <c r="W159">
        <v>158.25</v>
      </c>
      <c r="X159">
        <v>9</v>
      </c>
      <c r="Y159">
        <v>9</v>
      </c>
      <c r="Z159">
        <v>0</v>
      </c>
      <c r="AA159">
        <v>1</v>
      </c>
      <c r="AB159">
        <v>106</v>
      </c>
      <c r="AC159">
        <v>7</v>
      </c>
      <c r="AD159">
        <v>1238</v>
      </c>
      <c r="AE159">
        <v>53</v>
      </c>
      <c r="AF159">
        <v>6</v>
      </c>
      <c r="AG159">
        <v>59</v>
      </c>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row>
    <row r="160" spans="1:159" ht="14.5" x14ac:dyDescent="0.35">
      <c r="A160" t="s">
        <v>376</v>
      </c>
      <c r="B160" t="s">
        <v>377</v>
      </c>
      <c r="C160">
        <v>21047</v>
      </c>
      <c r="D160">
        <v>120</v>
      </c>
      <c r="E160">
        <v>1327</v>
      </c>
      <c r="F160">
        <v>815</v>
      </c>
      <c r="G160">
        <v>2005</v>
      </c>
      <c r="H160">
        <v>25314</v>
      </c>
      <c r="I160">
        <v>23309</v>
      </c>
      <c r="J160">
        <v>269</v>
      </c>
      <c r="K160">
        <v>117.5</v>
      </c>
      <c r="L160">
        <v>120.22</v>
      </c>
      <c r="M160">
        <v>12.21</v>
      </c>
      <c r="N160">
        <v>125.22</v>
      </c>
      <c r="O160">
        <v>18215</v>
      </c>
      <c r="P160">
        <v>112.88</v>
      </c>
      <c r="Q160">
        <v>106.05</v>
      </c>
      <c r="R160">
        <v>94.33</v>
      </c>
      <c r="S160">
        <v>201.82</v>
      </c>
      <c r="T160">
        <v>1767</v>
      </c>
      <c r="U160">
        <v>191.93</v>
      </c>
      <c r="V160">
        <v>1641</v>
      </c>
      <c r="W160">
        <v>308.25</v>
      </c>
      <c r="X160">
        <v>119</v>
      </c>
      <c r="Y160">
        <v>78</v>
      </c>
      <c r="Z160">
        <v>30</v>
      </c>
      <c r="AA160">
        <v>56</v>
      </c>
      <c r="AB160">
        <v>44</v>
      </c>
      <c r="AC160">
        <v>66</v>
      </c>
      <c r="AD160">
        <v>20036</v>
      </c>
      <c r="AE160">
        <v>193</v>
      </c>
      <c r="AF160">
        <v>107</v>
      </c>
      <c r="AG160">
        <v>300</v>
      </c>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row>
    <row r="161" spans="1:159" ht="14.5" x14ac:dyDescent="0.35">
      <c r="A161" t="s">
        <v>378</v>
      </c>
      <c r="B161" t="s">
        <v>379</v>
      </c>
      <c r="C161">
        <v>5849</v>
      </c>
      <c r="D161">
        <v>0</v>
      </c>
      <c r="E161">
        <v>124</v>
      </c>
      <c r="F161">
        <v>298</v>
      </c>
      <c r="G161">
        <v>672</v>
      </c>
      <c r="H161">
        <v>6943</v>
      </c>
      <c r="I161">
        <v>6271</v>
      </c>
      <c r="J161">
        <v>1</v>
      </c>
      <c r="K161">
        <v>95.67</v>
      </c>
      <c r="L161">
        <v>92.06</v>
      </c>
      <c r="M161">
        <v>3.62</v>
      </c>
      <c r="N161">
        <v>98.4</v>
      </c>
      <c r="O161">
        <v>5189</v>
      </c>
      <c r="P161">
        <v>105.32</v>
      </c>
      <c r="Q161">
        <v>94.38</v>
      </c>
      <c r="R161">
        <v>37.79</v>
      </c>
      <c r="S161">
        <v>140.05000000000001</v>
      </c>
      <c r="T161">
        <v>421</v>
      </c>
      <c r="U161">
        <v>121.12</v>
      </c>
      <c r="V161">
        <v>578</v>
      </c>
      <c r="W161">
        <v>0</v>
      </c>
      <c r="X161">
        <v>0</v>
      </c>
      <c r="Y161">
        <v>0</v>
      </c>
      <c r="Z161">
        <v>6</v>
      </c>
      <c r="AA161">
        <v>11</v>
      </c>
      <c r="AB161">
        <v>129</v>
      </c>
      <c r="AC161">
        <v>17</v>
      </c>
      <c r="AD161">
        <v>5787</v>
      </c>
      <c r="AE161">
        <v>21</v>
      </c>
      <c r="AF161">
        <v>68</v>
      </c>
      <c r="AG161">
        <v>89</v>
      </c>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row>
    <row r="162" spans="1:159" ht="14.5" x14ac:dyDescent="0.35">
      <c r="A162" t="s">
        <v>380</v>
      </c>
      <c r="B162" t="s">
        <v>381</v>
      </c>
      <c r="C162">
        <v>1353</v>
      </c>
      <c r="D162">
        <v>0</v>
      </c>
      <c r="E162">
        <v>483</v>
      </c>
      <c r="F162">
        <v>161</v>
      </c>
      <c r="G162">
        <v>291</v>
      </c>
      <c r="H162">
        <v>2288</v>
      </c>
      <c r="I162">
        <v>1997</v>
      </c>
      <c r="J162">
        <v>5</v>
      </c>
      <c r="K162">
        <v>85.99</v>
      </c>
      <c r="L162">
        <v>82.67</v>
      </c>
      <c r="M162">
        <v>9.36</v>
      </c>
      <c r="N162">
        <v>93.44</v>
      </c>
      <c r="O162">
        <v>1019</v>
      </c>
      <c r="P162">
        <v>95.93</v>
      </c>
      <c r="Q162">
        <v>77.61</v>
      </c>
      <c r="R162">
        <v>118.72</v>
      </c>
      <c r="S162">
        <v>214.65</v>
      </c>
      <c r="T162">
        <v>290</v>
      </c>
      <c r="U162">
        <v>108.57</v>
      </c>
      <c r="V162">
        <v>232</v>
      </c>
      <c r="W162">
        <v>315.37</v>
      </c>
      <c r="X162">
        <v>31</v>
      </c>
      <c r="Y162">
        <v>0</v>
      </c>
      <c r="Z162">
        <v>0</v>
      </c>
      <c r="AA162">
        <v>0</v>
      </c>
      <c r="AB162">
        <v>1</v>
      </c>
      <c r="AC162">
        <v>10</v>
      </c>
      <c r="AD162">
        <v>1320</v>
      </c>
      <c r="AE162">
        <v>7</v>
      </c>
      <c r="AF162">
        <v>24</v>
      </c>
      <c r="AG162">
        <v>31</v>
      </c>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row>
    <row r="163" spans="1:159" ht="14.5" x14ac:dyDescent="0.35">
      <c r="A163" t="s">
        <v>382</v>
      </c>
      <c r="B163" t="s">
        <v>383</v>
      </c>
      <c r="C163">
        <v>52214</v>
      </c>
      <c r="D163">
        <v>16</v>
      </c>
      <c r="E163">
        <v>2490</v>
      </c>
      <c r="F163">
        <v>3780</v>
      </c>
      <c r="G163">
        <v>955</v>
      </c>
      <c r="H163">
        <v>59455</v>
      </c>
      <c r="I163">
        <v>58500</v>
      </c>
      <c r="J163">
        <v>41</v>
      </c>
      <c r="K163">
        <v>89.35</v>
      </c>
      <c r="L163">
        <v>88.83</v>
      </c>
      <c r="M163">
        <v>11.71</v>
      </c>
      <c r="N163">
        <v>92.3</v>
      </c>
      <c r="O163">
        <v>42925</v>
      </c>
      <c r="P163">
        <v>95.92</v>
      </c>
      <c r="Q163">
        <v>82.92</v>
      </c>
      <c r="R163">
        <v>54.6</v>
      </c>
      <c r="S163">
        <v>149.16999999999999</v>
      </c>
      <c r="T163">
        <v>5023</v>
      </c>
      <c r="U163">
        <v>110.86</v>
      </c>
      <c r="V163">
        <v>6272</v>
      </c>
      <c r="W163">
        <v>142.44</v>
      </c>
      <c r="X163">
        <v>171</v>
      </c>
      <c r="Y163">
        <v>0</v>
      </c>
      <c r="Z163">
        <v>240</v>
      </c>
      <c r="AA163">
        <v>30</v>
      </c>
      <c r="AB163">
        <v>28</v>
      </c>
      <c r="AC163">
        <v>22</v>
      </c>
      <c r="AD163">
        <v>49528</v>
      </c>
      <c r="AE163">
        <v>352</v>
      </c>
      <c r="AF163">
        <v>451</v>
      </c>
      <c r="AG163">
        <v>803</v>
      </c>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row>
    <row r="164" spans="1:159" ht="14.5" x14ac:dyDescent="0.35">
      <c r="A164" t="s">
        <v>384</v>
      </c>
      <c r="B164" t="s">
        <v>385</v>
      </c>
      <c r="C164">
        <v>3871</v>
      </c>
      <c r="D164">
        <v>175</v>
      </c>
      <c r="E164">
        <v>261</v>
      </c>
      <c r="F164">
        <v>393</v>
      </c>
      <c r="G164">
        <v>318</v>
      </c>
      <c r="H164">
        <v>5018</v>
      </c>
      <c r="I164">
        <v>4700</v>
      </c>
      <c r="J164">
        <v>10</v>
      </c>
      <c r="K164">
        <v>107.39</v>
      </c>
      <c r="L164">
        <v>104.73</v>
      </c>
      <c r="M164">
        <v>6.77</v>
      </c>
      <c r="N164">
        <v>112.54</v>
      </c>
      <c r="O164">
        <v>2778</v>
      </c>
      <c r="P164">
        <v>108.23</v>
      </c>
      <c r="Q164">
        <v>101.61</v>
      </c>
      <c r="R164">
        <v>48.09</v>
      </c>
      <c r="S164">
        <v>153.69999999999999</v>
      </c>
      <c r="T164">
        <v>423</v>
      </c>
      <c r="U164">
        <v>152.09</v>
      </c>
      <c r="V164">
        <v>625</v>
      </c>
      <c r="W164">
        <v>147.57</v>
      </c>
      <c r="X164">
        <v>13</v>
      </c>
      <c r="Y164">
        <v>0</v>
      </c>
      <c r="Z164">
        <v>3</v>
      </c>
      <c r="AA164">
        <v>15</v>
      </c>
      <c r="AB164">
        <v>2</v>
      </c>
      <c r="AC164">
        <v>7</v>
      </c>
      <c r="AD164">
        <v>3532</v>
      </c>
      <c r="AE164">
        <v>12</v>
      </c>
      <c r="AF164">
        <v>18</v>
      </c>
      <c r="AG164">
        <v>30</v>
      </c>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row>
    <row r="165" spans="1:159" ht="14.5" x14ac:dyDescent="0.35">
      <c r="A165" t="s">
        <v>386</v>
      </c>
      <c r="B165" t="s">
        <v>387</v>
      </c>
      <c r="C165">
        <v>8622</v>
      </c>
      <c r="D165">
        <v>0</v>
      </c>
      <c r="E165">
        <v>324</v>
      </c>
      <c r="F165">
        <v>1144</v>
      </c>
      <c r="G165">
        <v>1345</v>
      </c>
      <c r="H165">
        <v>11435</v>
      </c>
      <c r="I165">
        <v>10090</v>
      </c>
      <c r="J165">
        <v>148</v>
      </c>
      <c r="K165">
        <v>103.15</v>
      </c>
      <c r="L165">
        <v>101.78</v>
      </c>
      <c r="M165">
        <v>7.4</v>
      </c>
      <c r="N165">
        <v>108.78</v>
      </c>
      <c r="O165">
        <v>6052</v>
      </c>
      <c r="P165">
        <v>99.27</v>
      </c>
      <c r="Q165">
        <v>92.68</v>
      </c>
      <c r="R165">
        <v>30.92</v>
      </c>
      <c r="S165">
        <v>128.94</v>
      </c>
      <c r="T165">
        <v>1331</v>
      </c>
      <c r="U165">
        <v>172.74</v>
      </c>
      <c r="V165">
        <v>2206</v>
      </c>
      <c r="W165">
        <v>124.23</v>
      </c>
      <c r="X165">
        <v>13</v>
      </c>
      <c r="Y165">
        <v>0</v>
      </c>
      <c r="Z165">
        <v>11</v>
      </c>
      <c r="AA165">
        <v>3</v>
      </c>
      <c r="AB165">
        <v>135</v>
      </c>
      <c r="AC165">
        <v>17</v>
      </c>
      <c r="AD165">
        <v>8090</v>
      </c>
      <c r="AE165">
        <v>138</v>
      </c>
      <c r="AF165">
        <v>14</v>
      </c>
      <c r="AG165">
        <v>152</v>
      </c>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row>
    <row r="166" spans="1:159" ht="14.5" x14ac:dyDescent="0.35">
      <c r="A166" t="s">
        <v>388</v>
      </c>
      <c r="B166" t="s">
        <v>389</v>
      </c>
      <c r="C166">
        <v>2584</v>
      </c>
      <c r="D166">
        <v>0</v>
      </c>
      <c r="E166">
        <v>31</v>
      </c>
      <c r="F166">
        <v>795</v>
      </c>
      <c r="G166">
        <v>241</v>
      </c>
      <c r="H166">
        <v>3651</v>
      </c>
      <c r="I166">
        <v>3410</v>
      </c>
      <c r="J166">
        <v>10</v>
      </c>
      <c r="K166">
        <v>110.02</v>
      </c>
      <c r="L166">
        <v>108.98</v>
      </c>
      <c r="M166">
        <v>5.33</v>
      </c>
      <c r="N166">
        <v>113.43</v>
      </c>
      <c r="O166">
        <v>2003</v>
      </c>
      <c r="P166">
        <v>94.35</v>
      </c>
      <c r="Q166">
        <v>92.16</v>
      </c>
      <c r="R166">
        <v>16.190000000000001</v>
      </c>
      <c r="S166">
        <v>109.48</v>
      </c>
      <c r="T166">
        <v>766</v>
      </c>
      <c r="U166">
        <v>158.28</v>
      </c>
      <c r="V166">
        <v>553</v>
      </c>
      <c r="W166">
        <v>117.4</v>
      </c>
      <c r="X166">
        <v>1</v>
      </c>
      <c r="Y166">
        <v>0</v>
      </c>
      <c r="Z166">
        <v>1</v>
      </c>
      <c r="AA166">
        <v>0</v>
      </c>
      <c r="AB166">
        <v>25</v>
      </c>
      <c r="AC166">
        <v>3</v>
      </c>
      <c r="AD166">
        <v>2548</v>
      </c>
      <c r="AE166">
        <v>20</v>
      </c>
      <c r="AF166">
        <v>15</v>
      </c>
      <c r="AG166">
        <v>35</v>
      </c>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row>
    <row r="167" spans="1:159" ht="14.5" x14ac:dyDescent="0.35">
      <c r="A167" t="s">
        <v>390</v>
      </c>
      <c r="B167" t="s">
        <v>391</v>
      </c>
      <c r="C167">
        <v>4721</v>
      </c>
      <c r="D167">
        <v>0</v>
      </c>
      <c r="E167">
        <v>78</v>
      </c>
      <c r="F167">
        <v>594</v>
      </c>
      <c r="G167">
        <v>540</v>
      </c>
      <c r="H167">
        <v>5933</v>
      </c>
      <c r="I167">
        <v>5393</v>
      </c>
      <c r="J167">
        <v>21</v>
      </c>
      <c r="K167">
        <v>103.22</v>
      </c>
      <c r="L167">
        <v>102.79</v>
      </c>
      <c r="M167">
        <v>4.16</v>
      </c>
      <c r="N167">
        <v>107.02</v>
      </c>
      <c r="O167">
        <v>4210</v>
      </c>
      <c r="P167">
        <v>97.9</v>
      </c>
      <c r="Q167">
        <v>96.99</v>
      </c>
      <c r="R167">
        <v>32.64</v>
      </c>
      <c r="S167">
        <v>130.38</v>
      </c>
      <c r="T167">
        <v>608</v>
      </c>
      <c r="U167">
        <v>127.18</v>
      </c>
      <c r="V167">
        <v>429</v>
      </c>
      <c r="W167">
        <v>205.96</v>
      </c>
      <c r="X167">
        <v>60</v>
      </c>
      <c r="Y167">
        <v>0</v>
      </c>
      <c r="Z167">
        <v>6</v>
      </c>
      <c r="AA167">
        <v>1</v>
      </c>
      <c r="AB167">
        <v>38</v>
      </c>
      <c r="AC167">
        <v>7</v>
      </c>
      <c r="AD167">
        <v>4709</v>
      </c>
      <c r="AE167">
        <v>28</v>
      </c>
      <c r="AF167">
        <v>2</v>
      </c>
      <c r="AG167">
        <v>30</v>
      </c>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row>
    <row r="168" spans="1:159" ht="14.5" x14ac:dyDescent="0.35">
      <c r="A168" t="s">
        <v>392</v>
      </c>
      <c r="B168" t="s">
        <v>393</v>
      </c>
      <c r="C168">
        <v>46165</v>
      </c>
      <c r="D168">
        <v>66</v>
      </c>
      <c r="E168">
        <v>1785</v>
      </c>
      <c r="F168">
        <v>3343</v>
      </c>
      <c r="G168">
        <v>1737</v>
      </c>
      <c r="H168">
        <v>53096</v>
      </c>
      <c r="I168">
        <v>51359</v>
      </c>
      <c r="J168">
        <v>83</v>
      </c>
      <c r="K168">
        <v>86.93</v>
      </c>
      <c r="L168">
        <v>88.85</v>
      </c>
      <c r="M168">
        <v>5.51</v>
      </c>
      <c r="N168">
        <v>89.11</v>
      </c>
      <c r="O168">
        <v>41944</v>
      </c>
      <c r="P168">
        <v>85.76</v>
      </c>
      <c r="Q168">
        <v>80.3</v>
      </c>
      <c r="R168">
        <v>45.92</v>
      </c>
      <c r="S168">
        <v>128.41</v>
      </c>
      <c r="T168">
        <v>4743</v>
      </c>
      <c r="U168">
        <v>119.59</v>
      </c>
      <c r="V168">
        <v>3311</v>
      </c>
      <c r="W168">
        <v>135.19</v>
      </c>
      <c r="X168">
        <v>124</v>
      </c>
      <c r="Y168">
        <v>2</v>
      </c>
      <c r="Z168">
        <v>266</v>
      </c>
      <c r="AA168">
        <v>9</v>
      </c>
      <c r="AB168">
        <v>124</v>
      </c>
      <c r="AC168">
        <v>62</v>
      </c>
      <c r="AD168">
        <v>45659</v>
      </c>
      <c r="AE168">
        <v>207</v>
      </c>
      <c r="AF168">
        <v>339</v>
      </c>
      <c r="AG168">
        <v>546</v>
      </c>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row>
    <row r="169" spans="1:159" ht="14.5" x14ac:dyDescent="0.35">
      <c r="A169" t="s">
        <v>394</v>
      </c>
      <c r="B169" t="s">
        <v>395</v>
      </c>
      <c r="C169">
        <v>1731</v>
      </c>
      <c r="D169">
        <v>0</v>
      </c>
      <c r="E169">
        <v>330</v>
      </c>
      <c r="F169">
        <v>237</v>
      </c>
      <c r="G169">
        <v>138</v>
      </c>
      <c r="H169">
        <v>2436</v>
      </c>
      <c r="I169">
        <v>2298</v>
      </c>
      <c r="J169">
        <v>9</v>
      </c>
      <c r="K169">
        <v>87.31</v>
      </c>
      <c r="L169">
        <v>84.43</v>
      </c>
      <c r="M169">
        <v>6.76</v>
      </c>
      <c r="N169">
        <v>90.48</v>
      </c>
      <c r="O169">
        <v>1627</v>
      </c>
      <c r="P169">
        <v>121.51</v>
      </c>
      <c r="Q169">
        <v>81.89</v>
      </c>
      <c r="R169">
        <v>87.63</v>
      </c>
      <c r="S169">
        <v>205.32</v>
      </c>
      <c r="T169">
        <v>368</v>
      </c>
      <c r="U169">
        <v>104.29</v>
      </c>
      <c r="V169">
        <v>99</v>
      </c>
      <c r="W169">
        <v>0</v>
      </c>
      <c r="X169">
        <v>0</v>
      </c>
      <c r="Y169">
        <v>0</v>
      </c>
      <c r="Z169">
        <v>0</v>
      </c>
      <c r="AA169">
        <v>2</v>
      </c>
      <c r="AB169">
        <v>13</v>
      </c>
      <c r="AC169">
        <v>2</v>
      </c>
      <c r="AD169">
        <v>1731</v>
      </c>
      <c r="AE169">
        <v>3</v>
      </c>
      <c r="AF169">
        <v>4</v>
      </c>
      <c r="AG169">
        <v>7</v>
      </c>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row>
    <row r="170" spans="1:159" ht="14.5" x14ac:dyDescent="0.35">
      <c r="A170" t="s">
        <v>396</v>
      </c>
      <c r="B170" t="s">
        <v>397</v>
      </c>
      <c r="C170">
        <v>4094</v>
      </c>
      <c r="D170">
        <v>0</v>
      </c>
      <c r="E170">
        <v>379</v>
      </c>
      <c r="F170">
        <v>951</v>
      </c>
      <c r="G170">
        <v>1421</v>
      </c>
      <c r="H170">
        <v>6845</v>
      </c>
      <c r="I170">
        <v>5424</v>
      </c>
      <c r="J170">
        <v>19</v>
      </c>
      <c r="K170">
        <v>106.73</v>
      </c>
      <c r="L170">
        <v>103.58</v>
      </c>
      <c r="M170">
        <v>8.98</v>
      </c>
      <c r="N170">
        <v>114.08</v>
      </c>
      <c r="O170">
        <v>2838</v>
      </c>
      <c r="P170">
        <v>103.63</v>
      </c>
      <c r="Q170">
        <v>90.7</v>
      </c>
      <c r="R170">
        <v>45.13</v>
      </c>
      <c r="S170">
        <v>147.11000000000001</v>
      </c>
      <c r="T170">
        <v>1093</v>
      </c>
      <c r="U170">
        <v>145.13999999999999</v>
      </c>
      <c r="V170">
        <v>904</v>
      </c>
      <c r="W170">
        <v>145.71</v>
      </c>
      <c r="X170">
        <v>55</v>
      </c>
      <c r="Y170">
        <v>0</v>
      </c>
      <c r="Z170">
        <v>1</v>
      </c>
      <c r="AA170">
        <v>5</v>
      </c>
      <c r="AB170">
        <v>25</v>
      </c>
      <c r="AC170">
        <v>31</v>
      </c>
      <c r="AD170">
        <v>3707</v>
      </c>
      <c r="AE170">
        <v>62</v>
      </c>
      <c r="AF170">
        <v>16</v>
      </c>
      <c r="AG170">
        <v>78</v>
      </c>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row>
    <row r="171" spans="1:159" ht="14.5" x14ac:dyDescent="0.35">
      <c r="A171" t="s">
        <v>398</v>
      </c>
      <c r="B171" t="s">
        <v>399</v>
      </c>
      <c r="C171">
        <v>708</v>
      </c>
      <c r="D171">
        <v>0</v>
      </c>
      <c r="E171">
        <v>52</v>
      </c>
      <c r="F171">
        <v>77</v>
      </c>
      <c r="G171">
        <v>288</v>
      </c>
      <c r="H171">
        <v>1125</v>
      </c>
      <c r="I171">
        <v>837</v>
      </c>
      <c r="J171">
        <v>2</v>
      </c>
      <c r="K171">
        <v>97.91</v>
      </c>
      <c r="L171">
        <v>95.53</v>
      </c>
      <c r="M171">
        <v>2.95</v>
      </c>
      <c r="N171">
        <v>100.18</v>
      </c>
      <c r="O171">
        <v>382</v>
      </c>
      <c r="P171">
        <v>97.38</v>
      </c>
      <c r="Q171">
        <v>84.45</v>
      </c>
      <c r="R171">
        <v>69.69</v>
      </c>
      <c r="S171">
        <v>165.87</v>
      </c>
      <c r="T171">
        <v>116</v>
      </c>
      <c r="U171">
        <v>122.56</v>
      </c>
      <c r="V171">
        <v>304</v>
      </c>
      <c r="W171">
        <v>0</v>
      </c>
      <c r="X171">
        <v>0</v>
      </c>
      <c r="Y171">
        <v>0</v>
      </c>
      <c r="Z171">
        <v>0</v>
      </c>
      <c r="AA171">
        <v>0</v>
      </c>
      <c r="AB171">
        <v>8</v>
      </c>
      <c r="AC171">
        <v>6</v>
      </c>
      <c r="AD171">
        <v>708</v>
      </c>
      <c r="AE171">
        <v>34</v>
      </c>
      <c r="AF171">
        <v>3</v>
      </c>
      <c r="AG171">
        <v>37</v>
      </c>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row>
    <row r="172" spans="1:159" ht="14.5" x14ac:dyDescent="0.35">
      <c r="A172" t="s">
        <v>400</v>
      </c>
      <c r="B172" t="s">
        <v>401</v>
      </c>
      <c r="C172">
        <v>5270</v>
      </c>
      <c r="D172">
        <v>0</v>
      </c>
      <c r="E172">
        <v>296</v>
      </c>
      <c r="F172">
        <v>1013</v>
      </c>
      <c r="G172">
        <v>672</v>
      </c>
      <c r="H172">
        <v>7251</v>
      </c>
      <c r="I172">
        <v>6579</v>
      </c>
      <c r="J172">
        <v>4</v>
      </c>
      <c r="K172">
        <v>99.93</v>
      </c>
      <c r="L172">
        <v>99.03</v>
      </c>
      <c r="M172">
        <v>5.08</v>
      </c>
      <c r="N172">
        <v>102.65</v>
      </c>
      <c r="O172">
        <v>4428</v>
      </c>
      <c r="P172">
        <v>92.71</v>
      </c>
      <c r="Q172">
        <v>88.75</v>
      </c>
      <c r="R172">
        <v>32.46</v>
      </c>
      <c r="S172">
        <v>124.78</v>
      </c>
      <c r="T172">
        <v>1102</v>
      </c>
      <c r="U172">
        <v>127.47</v>
      </c>
      <c r="V172">
        <v>762</v>
      </c>
      <c r="W172">
        <v>116.33</v>
      </c>
      <c r="X172">
        <v>48</v>
      </c>
      <c r="Y172">
        <v>0</v>
      </c>
      <c r="Z172">
        <v>7</v>
      </c>
      <c r="AA172">
        <v>18</v>
      </c>
      <c r="AB172">
        <v>62</v>
      </c>
      <c r="AC172">
        <v>15</v>
      </c>
      <c r="AD172">
        <v>5200</v>
      </c>
      <c r="AE172">
        <v>10</v>
      </c>
      <c r="AF172">
        <v>37</v>
      </c>
      <c r="AG172">
        <v>47</v>
      </c>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row>
    <row r="173" spans="1:159" ht="14.5" x14ac:dyDescent="0.35">
      <c r="A173" t="s">
        <v>402</v>
      </c>
      <c r="B173" t="s">
        <v>403</v>
      </c>
      <c r="C173">
        <v>10279</v>
      </c>
      <c r="D173">
        <v>31</v>
      </c>
      <c r="E173">
        <v>382</v>
      </c>
      <c r="F173">
        <v>696</v>
      </c>
      <c r="G173">
        <v>1068</v>
      </c>
      <c r="H173">
        <v>12456</v>
      </c>
      <c r="I173">
        <v>11388</v>
      </c>
      <c r="J173">
        <v>43</v>
      </c>
      <c r="K173">
        <v>122.05</v>
      </c>
      <c r="L173">
        <v>122.48</v>
      </c>
      <c r="M173">
        <v>9.1300000000000008</v>
      </c>
      <c r="N173">
        <v>128.5</v>
      </c>
      <c r="O173">
        <v>8970</v>
      </c>
      <c r="P173">
        <v>115.32</v>
      </c>
      <c r="Q173">
        <v>109.1</v>
      </c>
      <c r="R173">
        <v>41.61</v>
      </c>
      <c r="S173">
        <v>156.55000000000001</v>
      </c>
      <c r="T173">
        <v>861</v>
      </c>
      <c r="U173">
        <v>173.81</v>
      </c>
      <c r="V173">
        <v>1117</v>
      </c>
      <c r="W173">
        <v>191.38</v>
      </c>
      <c r="X173">
        <v>6</v>
      </c>
      <c r="Y173">
        <v>0</v>
      </c>
      <c r="Z173">
        <v>39</v>
      </c>
      <c r="AA173">
        <v>10</v>
      </c>
      <c r="AB173">
        <v>102</v>
      </c>
      <c r="AC173">
        <v>33</v>
      </c>
      <c r="AD173">
        <v>10161</v>
      </c>
      <c r="AE173">
        <v>129</v>
      </c>
      <c r="AF173">
        <v>180</v>
      </c>
      <c r="AG173">
        <v>309</v>
      </c>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row>
    <row r="174" spans="1:159" ht="14.5" x14ac:dyDescent="0.35">
      <c r="A174" t="s">
        <v>404</v>
      </c>
      <c r="B174" t="s">
        <v>405</v>
      </c>
      <c r="C174">
        <v>1228</v>
      </c>
      <c r="D174">
        <v>0</v>
      </c>
      <c r="E174">
        <v>76</v>
      </c>
      <c r="F174">
        <v>282</v>
      </c>
      <c r="G174">
        <v>306</v>
      </c>
      <c r="H174">
        <v>1892</v>
      </c>
      <c r="I174">
        <v>1586</v>
      </c>
      <c r="J174">
        <v>0</v>
      </c>
      <c r="K174">
        <v>94.03</v>
      </c>
      <c r="L174">
        <v>90.22</v>
      </c>
      <c r="M174">
        <v>5.93</v>
      </c>
      <c r="N174">
        <v>99.21</v>
      </c>
      <c r="O174">
        <v>844</v>
      </c>
      <c r="P174">
        <v>85.45</v>
      </c>
      <c r="Q174">
        <v>77.209999999999994</v>
      </c>
      <c r="R174">
        <v>20.83</v>
      </c>
      <c r="S174">
        <v>106.18</v>
      </c>
      <c r="T174">
        <v>213</v>
      </c>
      <c r="U174">
        <v>135.24</v>
      </c>
      <c r="V174">
        <v>325</v>
      </c>
      <c r="W174">
        <v>0</v>
      </c>
      <c r="X174">
        <v>0</v>
      </c>
      <c r="Y174">
        <v>0</v>
      </c>
      <c r="Z174">
        <v>0</v>
      </c>
      <c r="AA174">
        <v>0</v>
      </c>
      <c r="AB174">
        <v>12</v>
      </c>
      <c r="AC174">
        <v>5</v>
      </c>
      <c r="AD174">
        <v>1190</v>
      </c>
      <c r="AE174">
        <v>5</v>
      </c>
      <c r="AF174">
        <v>3</v>
      </c>
      <c r="AG174">
        <v>8</v>
      </c>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row>
    <row r="175" spans="1:159" ht="14.5" x14ac:dyDescent="0.35">
      <c r="A175" t="s">
        <v>406</v>
      </c>
      <c r="B175" t="s">
        <v>407</v>
      </c>
      <c r="C175">
        <v>1916</v>
      </c>
      <c r="D175">
        <v>0</v>
      </c>
      <c r="E175">
        <v>115</v>
      </c>
      <c r="F175">
        <v>202</v>
      </c>
      <c r="G175">
        <v>663</v>
      </c>
      <c r="H175">
        <v>2896</v>
      </c>
      <c r="I175">
        <v>2233</v>
      </c>
      <c r="J175">
        <v>26</v>
      </c>
      <c r="K175">
        <v>98.95</v>
      </c>
      <c r="L175">
        <v>97.16</v>
      </c>
      <c r="M175">
        <v>5.35</v>
      </c>
      <c r="N175">
        <v>102.97</v>
      </c>
      <c r="O175">
        <v>957</v>
      </c>
      <c r="P175">
        <v>88.55</v>
      </c>
      <c r="Q175">
        <v>82.24</v>
      </c>
      <c r="R175">
        <v>45.49</v>
      </c>
      <c r="S175">
        <v>133.72999999999999</v>
      </c>
      <c r="T175">
        <v>295</v>
      </c>
      <c r="U175">
        <v>129.66</v>
      </c>
      <c r="V175">
        <v>892</v>
      </c>
      <c r="W175">
        <v>122.98</v>
      </c>
      <c r="X175">
        <v>1</v>
      </c>
      <c r="Y175">
        <v>8</v>
      </c>
      <c r="Z175">
        <v>0</v>
      </c>
      <c r="AA175">
        <v>0</v>
      </c>
      <c r="AB175">
        <v>130</v>
      </c>
      <c r="AC175">
        <v>17</v>
      </c>
      <c r="AD175">
        <v>1905</v>
      </c>
      <c r="AE175">
        <v>26</v>
      </c>
      <c r="AF175">
        <v>14</v>
      </c>
      <c r="AG175">
        <v>40</v>
      </c>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row>
    <row r="176" spans="1:159" ht="14.5" x14ac:dyDescent="0.35">
      <c r="A176" t="s">
        <v>408</v>
      </c>
      <c r="B176" t="s">
        <v>409</v>
      </c>
      <c r="C176">
        <v>6648</v>
      </c>
      <c r="D176">
        <v>3</v>
      </c>
      <c r="E176">
        <v>115</v>
      </c>
      <c r="F176">
        <v>901</v>
      </c>
      <c r="G176">
        <v>843</v>
      </c>
      <c r="H176">
        <v>8510</v>
      </c>
      <c r="I176">
        <v>7667</v>
      </c>
      <c r="J176">
        <v>36</v>
      </c>
      <c r="K176">
        <v>122.81</v>
      </c>
      <c r="L176">
        <v>118.88</v>
      </c>
      <c r="M176">
        <v>6.24</v>
      </c>
      <c r="N176">
        <v>127.76</v>
      </c>
      <c r="O176">
        <v>4132</v>
      </c>
      <c r="P176">
        <v>107.64</v>
      </c>
      <c r="Q176">
        <v>99.59</v>
      </c>
      <c r="R176">
        <v>48.4</v>
      </c>
      <c r="S176">
        <v>154.53</v>
      </c>
      <c r="T176">
        <v>769</v>
      </c>
      <c r="U176">
        <v>187.17</v>
      </c>
      <c r="V176">
        <v>2065</v>
      </c>
      <c r="W176">
        <v>171.82</v>
      </c>
      <c r="X176">
        <v>35</v>
      </c>
      <c r="Y176">
        <v>18</v>
      </c>
      <c r="Z176">
        <v>2</v>
      </c>
      <c r="AA176">
        <v>4</v>
      </c>
      <c r="AB176">
        <v>84</v>
      </c>
      <c r="AC176">
        <v>21</v>
      </c>
      <c r="AD176">
        <v>6327</v>
      </c>
      <c r="AE176">
        <v>152</v>
      </c>
      <c r="AF176">
        <v>15</v>
      </c>
      <c r="AG176">
        <v>167</v>
      </c>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row>
    <row r="177" spans="1:159" ht="14.5" x14ac:dyDescent="0.35">
      <c r="A177" t="s">
        <v>410</v>
      </c>
      <c r="B177" t="s">
        <v>411</v>
      </c>
      <c r="C177">
        <v>13166</v>
      </c>
      <c r="D177">
        <v>2</v>
      </c>
      <c r="E177">
        <v>568</v>
      </c>
      <c r="F177">
        <v>1381</v>
      </c>
      <c r="G177">
        <v>342</v>
      </c>
      <c r="H177">
        <v>15459</v>
      </c>
      <c r="I177">
        <v>15117</v>
      </c>
      <c r="J177">
        <v>19</v>
      </c>
      <c r="K177">
        <v>91.61</v>
      </c>
      <c r="L177">
        <v>87.85</v>
      </c>
      <c r="M177">
        <v>8.86</v>
      </c>
      <c r="N177">
        <v>94.48</v>
      </c>
      <c r="O177">
        <v>12126</v>
      </c>
      <c r="P177">
        <v>93.48</v>
      </c>
      <c r="Q177">
        <v>83.55</v>
      </c>
      <c r="R177">
        <v>63.86</v>
      </c>
      <c r="S177">
        <v>143.08000000000001</v>
      </c>
      <c r="T177">
        <v>1764</v>
      </c>
      <c r="U177">
        <v>109.49</v>
      </c>
      <c r="V177">
        <v>947</v>
      </c>
      <c r="W177">
        <v>172.71</v>
      </c>
      <c r="X177">
        <v>101</v>
      </c>
      <c r="Y177">
        <v>0</v>
      </c>
      <c r="Z177">
        <v>45</v>
      </c>
      <c r="AA177">
        <v>4</v>
      </c>
      <c r="AB177">
        <v>25</v>
      </c>
      <c r="AC177">
        <v>6</v>
      </c>
      <c r="AD177">
        <v>13136</v>
      </c>
      <c r="AE177">
        <v>76</v>
      </c>
      <c r="AF177">
        <v>432</v>
      </c>
      <c r="AG177">
        <v>508</v>
      </c>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row>
    <row r="178" spans="1:159" ht="14.5" x14ac:dyDescent="0.35">
      <c r="A178" t="s">
        <v>412</v>
      </c>
      <c r="B178" t="s">
        <v>413</v>
      </c>
      <c r="C178">
        <v>9459</v>
      </c>
      <c r="D178">
        <v>162</v>
      </c>
      <c r="E178">
        <v>616</v>
      </c>
      <c r="F178">
        <v>585</v>
      </c>
      <c r="G178">
        <v>6145</v>
      </c>
      <c r="H178">
        <v>16967</v>
      </c>
      <c r="I178">
        <v>10822</v>
      </c>
      <c r="J178">
        <v>64</v>
      </c>
      <c r="K178">
        <v>105.95</v>
      </c>
      <c r="L178">
        <v>103.09</v>
      </c>
      <c r="M178">
        <v>7.74</v>
      </c>
      <c r="N178">
        <v>111.19</v>
      </c>
      <c r="O178">
        <v>6616</v>
      </c>
      <c r="P178">
        <v>112.67</v>
      </c>
      <c r="Q178">
        <v>99.9</v>
      </c>
      <c r="R178">
        <v>49.51</v>
      </c>
      <c r="S178">
        <v>162.02000000000001</v>
      </c>
      <c r="T178">
        <v>883</v>
      </c>
      <c r="U178">
        <v>170.94</v>
      </c>
      <c r="V178">
        <v>2156</v>
      </c>
      <c r="W178">
        <v>203.73</v>
      </c>
      <c r="X178">
        <v>210</v>
      </c>
      <c r="Y178">
        <v>46</v>
      </c>
      <c r="Z178">
        <v>3</v>
      </c>
      <c r="AA178">
        <v>1</v>
      </c>
      <c r="AB178">
        <v>312</v>
      </c>
      <c r="AC178">
        <v>95</v>
      </c>
      <c r="AD178">
        <v>9061</v>
      </c>
      <c r="AE178">
        <v>96</v>
      </c>
      <c r="AF178">
        <v>26</v>
      </c>
      <c r="AG178">
        <v>122</v>
      </c>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row>
    <row r="179" spans="1:159" ht="14.5" x14ac:dyDescent="0.35">
      <c r="A179" t="s">
        <v>414</v>
      </c>
      <c r="B179" t="s">
        <v>415</v>
      </c>
      <c r="C179">
        <v>3534</v>
      </c>
      <c r="D179">
        <v>11</v>
      </c>
      <c r="E179">
        <v>242</v>
      </c>
      <c r="F179">
        <v>629</v>
      </c>
      <c r="G179">
        <v>322</v>
      </c>
      <c r="H179">
        <v>4738</v>
      </c>
      <c r="I179">
        <v>4416</v>
      </c>
      <c r="J179">
        <v>22</v>
      </c>
      <c r="K179">
        <v>119.97</v>
      </c>
      <c r="L179">
        <v>121.53</v>
      </c>
      <c r="M179">
        <v>6.3</v>
      </c>
      <c r="N179">
        <v>124.57</v>
      </c>
      <c r="O179">
        <v>3015</v>
      </c>
      <c r="P179">
        <v>108.39</v>
      </c>
      <c r="Q179">
        <v>100.68</v>
      </c>
      <c r="R179">
        <v>46.19</v>
      </c>
      <c r="S179">
        <v>154.31</v>
      </c>
      <c r="T179">
        <v>695</v>
      </c>
      <c r="U179">
        <v>176.35</v>
      </c>
      <c r="V179">
        <v>489</v>
      </c>
      <c r="W179">
        <v>0</v>
      </c>
      <c r="X179">
        <v>0</v>
      </c>
      <c r="Y179">
        <v>55</v>
      </c>
      <c r="Z179">
        <v>4</v>
      </c>
      <c r="AA179">
        <v>1</v>
      </c>
      <c r="AB179">
        <v>0</v>
      </c>
      <c r="AC179">
        <v>8</v>
      </c>
      <c r="AD179">
        <v>3528</v>
      </c>
      <c r="AE179">
        <v>90</v>
      </c>
      <c r="AF179">
        <v>49</v>
      </c>
      <c r="AG179">
        <v>139</v>
      </c>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row>
    <row r="180" spans="1:159" ht="14.5" x14ac:dyDescent="0.35">
      <c r="A180" t="s">
        <v>416</v>
      </c>
      <c r="B180" t="s">
        <v>417</v>
      </c>
      <c r="C180">
        <v>2891</v>
      </c>
      <c r="D180">
        <v>8</v>
      </c>
      <c r="E180">
        <v>177</v>
      </c>
      <c r="F180">
        <v>402</v>
      </c>
      <c r="G180">
        <v>422</v>
      </c>
      <c r="H180">
        <v>3900</v>
      </c>
      <c r="I180">
        <v>3478</v>
      </c>
      <c r="J180">
        <v>6</v>
      </c>
      <c r="K180">
        <v>119.98</v>
      </c>
      <c r="L180">
        <v>117.16</v>
      </c>
      <c r="M180">
        <v>4.87</v>
      </c>
      <c r="N180">
        <v>123.83</v>
      </c>
      <c r="O180">
        <v>2462</v>
      </c>
      <c r="P180">
        <v>109.9</v>
      </c>
      <c r="Q180">
        <v>93.79</v>
      </c>
      <c r="R180">
        <v>40.71</v>
      </c>
      <c r="S180">
        <v>148.31</v>
      </c>
      <c r="T180">
        <v>460</v>
      </c>
      <c r="U180">
        <v>157.62</v>
      </c>
      <c r="V180">
        <v>317</v>
      </c>
      <c r="W180">
        <v>150.59</v>
      </c>
      <c r="X180">
        <v>4</v>
      </c>
      <c r="Y180">
        <v>0</v>
      </c>
      <c r="Z180">
        <v>1</v>
      </c>
      <c r="AA180">
        <v>1</v>
      </c>
      <c r="AB180">
        <v>20</v>
      </c>
      <c r="AC180">
        <v>12</v>
      </c>
      <c r="AD180">
        <v>2846</v>
      </c>
      <c r="AE180">
        <v>5</v>
      </c>
      <c r="AF180">
        <v>16</v>
      </c>
      <c r="AG180">
        <v>21</v>
      </c>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row>
    <row r="181" spans="1:159" ht="14.5" x14ac:dyDescent="0.35">
      <c r="A181" t="s">
        <v>418</v>
      </c>
      <c r="B181" t="s">
        <v>419</v>
      </c>
      <c r="C181">
        <v>2026</v>
      </c>
      <c r="D181">
        <v>0</v>
      </c>
      <c r="E181">
        <v>334</v>
      </c>
      <c r="F181">
        <v>268</v>
      </c>
      <c r="G181">
        <v>410</v>
      </c>
      <c r="H181">
        <v>3038</v>
      </c>
      <c r="I181">
        <v>2628</v>
      </c>
      <c r="J181">
        <v>3</v>
      </c>
      <c r="K181">
        <v>93.36</v>
      </c>
      <c r="L181">
        <v>89.91</v>
      </c>
      <c r="M181">
        <v>5.07</v>
      </c>
      <c r="N181">
        <v>96.37</v>
      </c>
      <c r="O181">
        <v>1527</v>
      </c>
      <c r="P181">
        <v>120.16</v>
      </c>
      <c r="Q181">
        <v>81.8</v>
      </c>
      <c r="R181">
        <v>73.83</v>
      </c>
      <c r="S181">
        <v>193.82</v>
      </c>
      <c r="T181">
        <v>451</v>
      </c>
      <c r="U181">
        <v>105.83</v>
      </c>
      <c r="V181">
        <v>413</v>
      </c>
      <c r="W181">
        <v>170.67</v>
      </c>
      <c r="X181">
        <v>5</v>
      </c>
      <c r="Y181">
        <v>0</v>
      </c>
      <c r="Z181">
        <v>0</v>
      </c>
      <c r="AA181">
        <v>38</v>
      </c>
      <c r="AB181">
        <v>26</v>
      </c>
      <c r="AC181">
        <v>14</v>
      </c>
      <c r="AD181">
        <v>2026</v>
      </c>
      <c r="AE181">
        <v>9</v>
      </c>
      <c r="AF181">
        <v>5</v>
      </c>
      <c r="AG181">
        <v>14</v>
      </c>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row>
    <row r="182" spans="1:159" ht="14.5" x14ac:dyDescent="0.35">
      <c r="A182" t="s">
        <v>420</v>
      </c>
      <c r="B182" t="s">
        <v>421</v>
      </c>
      <c r="C182">
        <v>7315</v>
      </c>
      <c r="D182">
        <v>125</v>
      </c>
      <c r="E182">
        <v>1495</v>
      </c>
      <c r="F182">
        <v>1715</v>
      </c>
      <c r="G182">
        <v>421</v>
      </c>
      <c r="H182">
        <v>11071</v>
      </c>
      <c r="I182">
        <v>10650</v>
      </c>
      <c r="J182">
        <v>96</v>
      </c>
      <c r="K182">
        <v>83.33</v>
      </c>
      <c r="L182">
        <v>81.28</v>
      </c>
      <c r="M182">
        <v>10.32</v>
      </c>
      <c r="N182">
        <v>91.75</v>
      </c>
      <c r="O182">
        <v>5630</v>
      </c>
      <c r="P182">
        <v>90.19</v>
      </c>
      <c r="Q182">
        <v>76.739999999999995</v>
      </c>
      <c r="R182">
        <v>66.89</v>
      </c>
      <c r="S182">
        <v>155.66999999999999</v>
      </c>
      <c r="T182">
        <v>2316</v>
      </c>
      <c r="U182">
        <v>109.88</v>
      </c>
      <c r="V182">
        <v>1312</v>
      </c>
      <c r="W182">
        <v>217.46</v>
      </c>
      <c r="X182">
        <v>366</v>
      </c>
      <c r="Y182">
        <v>1</v>
      </c>
      <c r="Z182">
        <v>8</v>
      </c>
      <c r="AA182">
        <v>5</v>
      </c>
      <c r="AB182">
        <v>34</v>
      </c>
      <c r="AC182">
        <v>14</v>
      </c>
      <c r="AD182">
        <v>6791</v>
      </c>
      <c r="AE182">
        <v>109</v>
      </c>
      <c r="AF182">
        <v>79</v>
      </c>
      <c r="AG182">
        <v>188</v>
      </c>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row>
    <row r="183" spans="1:159" ht="14.5" x14ac:dyDescent="0.35">
      <c r="A183" t="s">
        <v>422</v>
      </c>
      <c r="B183" t="s">
        <v>423</v>
      </c>
      <c r="C183">
        <v>8677</v>
      </c>
      <c r="D183">
        <v>0</v>
      </c>
      <c r="E183">
        <v>128</v>
      </c>
      <c r="F183">
        <v>913</v>
      </c>
      <c r="G183">
        <v>276</v>
      </c>
      <c r="H183">
        <v>9994</v>
      </c>
      <c r="I183">
        <v>9718</v>
      </c>
      <c r="J183">
        <v>58</v>
      </c>
      <c r="K183">
        <v>83.03</v>
      </c>
      <c r="L183">
        <v>87.82</v>
      </c>
      <c r="M183">
        <v>4.4800000000000004</v>
      </c>
      <c r="N183">
        <v>87.31</v>
      </c>
      <c r="O183">
        <v>7995</v>
      </c>
      <c r="P183">
        <v>87.73</v>
      </c>
      <c r="Q183">
        <v>86.89</v>
      </c>
      <c r="R183">
        <v>34.08</v>
      </c>
      <c r="S183">
        <v>121.81</v>
      </c>
      <c r="T183">
        <v>883</v>
      </c>
      <c r="U183">
        <v>104.23</v>
      </c>
      <c r="V183">
        <v>627</v>
      </c>
      <c r="W183">
        <v>259.35000000000002</v>
      </c>
      <c r="X183">
        <v>73</v>
      </c>
      <c r="Y183">
        <v>0</v>
      </c>
      <c r="Z183">
        <v>25</v>
      </c>
      <c r="AA183">
        <v>14</v>
      </c>
      <c r="AB183">
        <v>4</v>
      </c>
      <c r="AC183">
        <v>5</v>
      </c>
      <c r="AD183">
        <v>8677</v>
      </c>
      <c r="AE183">
        <v>24</v>
      </c>
      <c r="AF183">
        <v>115</v>
      </c>
      <c r="AG183">
        <v>139</v>
      </c>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row>
    <row r="184" spans="1:159" ht="14.5" x14ac:dyDescent="0.35">
      <c r="A184" t="s">
        <v>424</v>
      </c>
      <c r="B184" t="s">
        <v>425</v>
      </c>
      <c r="C184">
        <v>13131</v>
      </c>
      <c r="D184">
        <v>22</v>
      </c>
      <c r="E184">
        <v>950</v>
      </c>
      <c r="F184">
        <v>893</v>
      </c>
      <c r="G184">
        <v>2948</v>
      </c>
      <c r="H184">
        <v>17944</v>
      </c>
      <c r="I184">
        <v>14996</v>
      </c>
      <c r="J184">
        <v>120</v>
      </c>
      <c r="K184">
        <v>128.16</v>
      </c>
      <c r="L184">
        <v>128.32</v>
      </c>
      <c r="M184">
        <v>11.74</v>
      </c>
      <c r="N184">
        <v>135.81</v>
      </c>
      <c r="O184">
        <v>9543</v>
      </c>
      <c r="P184">
        <v>111.29</v>
      </c>
      <c r="Q184">
        <v>103.47</v>
      </c>
      <c r="R184">
        <v>63.44</v>
      </c>
      <c r="S184">
        <v>172.24</v>
      </c>
      <c r="T184">
        <v>1578</v>
      </c>
      <c r="U184">
        <v>217.86</v>
      </c>
      <c r="V184">
        <v>1728</v>
      </c>
      <c r="W184">
        <v>207.45</v>
      </c>
      <c r="X184">
        <v>53</v>
      </c>
      <c r="Y184">
        <v>0</v>
      </c>
      <c r="Z184">
        <v>4</v>
      </c>
      <c r="AA184">
        <v>21</v>
      </c>
      <c r="AB184">
        <v>261</v>
      </c>
      <c r="AC184">
        <v>112</v>
      </c>
      <c r="AD184">
        <v>12378</v>
      </c>
      <c r="AE184">
        <v>273</v>
      </c>
      <c r="AF184">
        <v>34</v>
      </c>
      <c r="AG184">
        <v>307</v>
      </c>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row>
    <row r="185" spans="1:159" ht="14.5" x14ac:dyDescent="0.35">
      <c r="A185" t="s">
        <v>426</v>
      </c>
      <c r="B185" t="s">
        <v>427</v>
      </c>
      <c r="C185">
        <v>4126</v>
      </c>
      <c r="D185">
        <v>0</v>
      </c>
      <c r="E185">
        <v>110</v>
      </c>
      <c r="F185">
        <v>795</v>
      </c>
      <c r="G185">
        <v>457</v>
      </c>
      <c r="H185">
        <v>5488</v>
      </c>
      <c r="I185">
        <v>5031</v>
      </c>
      <c r="J185">
        <v>14</v>
      </c>
      <c r="K185">
        <v>91.23</v>
      </c>
      <c r="L185">
        <v>90.55</v>
      </c>
      <c r="M185">
        <v>4.67</v>
      </c>
      <c r="N185">
        <v>94.45</v>
      </c>
      <c r="O185">
        <v>3568</v>
      </c>
      <c r="P185">
        <v>81.31</v>
      </c>
      <c r="Q185">
        <v>79.27</v>
      </c>
      <c r="R185">
        <v>22.31</v>
      </c>
      <c r="S185">
        <v>103.56</v>
      </c>
      <c r="T185">
        <v>758</v>
      </c>
      <c r="U185">
        <v>123.55</v>
      </c>
      <c r="V185">
        <v>486</v>
      </c>
      <c r="W185">
        <v>140.29</v>
      </c>
      <c r="X185">
        <v>31</v>
      </c>
      <c r="Y185">
        <v>4</v>
      </c>
      <c r="Z185">
        <v>5</v>
      </c>
      <c r="AA185">
        <v>4</v>
      </c>
      <c r="AB185">
        <v>23</v>
      </c>
      <c r="AC185">
        <v>11</v>
      </c>
      <c r="AD185">
        <v>4085</v>
      </c>
      <c r="AE185">
        <v>7</v>
      </c>
      <c r="AF185">
        <v>34</v>
      </c>
      <c r="AG185">
        <v>41</v>
      </c>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row>
    <row r="186" spans="1:159" ht="14.5" x14ac:dyDescent="0.35">
      <c r="A186" t="s">
        <v>428</v>
      </c>
      <c r="B186" t="s">
        <v>429</v>
      </c>
      <c r="C186">
        <v>972</v>
      </c>
      <c r="D186">
        <v>1</v>
      </c>
      <c r="E186">
        <v>80</v>
      </c>
      <c r="F186">
        <v>118</v>
      </c>
      <c r="G186">
        <v>296</v>
      </c>
      <c r="H186">
        <v>1467</v>
      </c>
      <c r="I186">
        <v>1171</v>
      </c>
      <c r="J186">
        <v>3</v>
      </c>
      <c r="K186">
        <v>96.47</v>
      </c>
      <c r="L186">
        <v>93.46</v>
      </c>
      <c r="M186">
        <v>3.75</v>
      </c>
      <c r="N186">
        <v>98.21</v>
      </c>
      <c r="O186">
        <v>534</v>
      </c>
      <c r="P186">
        <v>112.61</v>
      </c>
      <c r="Q186">
        <v>93.86</v>
      </c>
      <c r="R186">
        <v>41.47</v>
      </c>
      <c r="S186">
        <v>151.76</v>
      </c>
      <c r="T186">
        <v>197</v>
      </c>
      <c r="U186">
        <v>113.28</v>
      </c>
      <c r="V186">
        <v>414</v>
      </c>
      <c r="W186">
        <v>0</v>
      </c>
      <c r="X186">
        <v>0</v>
      </c>
      <c r="Y186">
        <v>0</v>
      </c>
      <c r="Z186">
        <v>0</v>
      </c>
      <c r="AA186">
        <v>5</v>
      </c>
      <c r="AB186">
        <v>19</v>
      </c>
      <c r="AC186">
        <v>5</v>
      </c>
      <c r="AD186">
        <v>821</v>
      </c>
      <c r="AE186">
        <v>1</v>
      </c>
      <c r="AF186">
        <v>17</v>
      </c>
      <c r="AG186">
        <v>18</v>
      </c>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row>
    <row r="187" spans="1:159" ht="14.5" x14ac:dyDescent="0.35">
      <c r="A187" t="s">
        <v>430</v>
      </c>
      <c r="B187" t="s">
        <v>431</v>
      </c>
      <c r="C187">
        <v>7952</v>
      </c>
      <c r="D187">
        <v>0</v>
      </c>
      <c r="E187">
        <v>467</v>
      </c>
      <c r="F187">
        <v>1096</v>
      </c>
      <c r="G187">
        <v>268</v>
      </c>
      <c r="H187">
        <v>9783</v>
      </c>
      <c r="I187">
        <v>9515</v>
      </c>
      <c r="J187">
        <v>5</v>
      </c>
      <c r="K187">
        <v>84.15</v>
      </c>
      <c r="L187">
        <v>82.94</v>
      </c>
      <c r="M187">
        <v>2.6</v>
      </c>
      <c r="N187">
        <v>86.06</v>
      </c>
      <c r="O187">
        <v>7834</v>
      </c>
      <c r="P187">
        <v>102.48</v>
      </c>
      <c r="Q187">
        <v>72.55</v>
      </c>
      <c r="R187">
        <v>36.53</v>
      </c>
      <c r="S187">
        <v>135.06</v>
      </c>
      <c r="T187">
        <v>1380</v>
      </c>
      <c r="U187">
        <v>101.37</v>
      </c>
      <c r="V187">
        <v>96</v>
      </c>
      <c r="W187">
        <v>293.62</v>
      </c>
      <c r="X187">
        <v>60</v>
      </c>
      <c r="Y187">
        <v>0</v>
      </c>
      <c r="Z187">
        <v>13</v>
      </c>
      <c r="AA187">
        <v>4</v>
      </c>
      <c r="AB187">
        <v>8</v>
      </c>
      <c r="AC187">
        <v>9</v>
      </c>
      <c r="AD187">
        <v>7950</v>
      </c>
      <c r="AE187">
        <v>21</v>
      </c>
      <c r="AF187">
        <v>106</v>
      </c>
      <c r="AG187">
        <v>127</v>
      </c>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row>
    <row r="188" spans="1:159" ht="14.5" x14ac:dyDescent="0.35">
      <c r="A188" t="s">
        <v>432</v>
      </c>
      <c r="B188" t="s">
        <v>433</v>
      </c>
      <c r="C188">
        <v>9532</v>
      </c>
      <c r="D188">
        <v>0</v>
      </c>
      <c r="E188">
        <v>230</v>
      </c>
      <c r="F188">
        <v>1072</v>
      </c>
      <c r="G188">
        <v>628</v>
      </c>
      <c r="H188">
        <v>11462</v>
      </c>
      <c r="I188">
        <v>10834</v>
      </c>
      <c r="J188">
        <v>10</v>
      </c>
      <c r="K188">
        <v>117</v>
      </c>
      <c r="L188">
        <v>123.19</v>
      </c>
      <c r="M188">
        <v>5.03</v>
      </c>
      <c r="N188">
        <v>118.62</v>
      </c>
      <c r="O188">
        <v>9053</v>
      </c>
      <c r="P188">
        <v>105.12</v>
      </c>
      <c r="Q188">
        <v>100.9</v>
      </c>
      <c r="R188">
        <v>26.2</v>
      </c>
      <c r="S188">
        <v>131.05000000000001</v>
      </c>
      <c r="T188">
        <v>1251</v>
      </c>
      <c r="U188">
        <v>162.41999999999999</v>
      </c>
      <c r="V188">
        <v>417</v>
      </c>
      <c r="W188">
        <v>0</v>
      </c>
      <c r="X188">
        <v>0</v>
      </c>
      <c r="Y188">
        <v>0</v>
      </c>
      <c r="Z188">
        <v>14</v>
      </c>
      <c r="AA188">
        <v>5</v>
      </c>
      <c r="AB188">
        <v>20</v>
      </c>
      <c r="AC188">
        <v>9</v>
      </c>
      <c r="AD188">
        <v>9491</v>
      </c>
      <c r="AE188">
        <v>55</v>
      </c>
      <c r="AF188">
        <v>9</v>
      </c>
      <c r="AG188">
        <v>64</v>
      </c>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row>
    <row r="189" spans="1:159" ht="14.5" x14ac:dyDescent="0.35">
      <c r="A189" t="s">
        <v>434</v>
      </c>
      <c r="B189" t="s">
        <v>435</v>
      </c>
      <c r="C189">
        <v>1279</v>
      </c>
      <c r="D189">
        <v>0</v>
      </c>
      <c r="E189">
        <v>153</v>
      </c>
      <c r="F189">
        <v>98</v>
      </c>
      <c r="G189">
        <v>565</v>
      </c>
      <c r="H189">
        <v>2095</v>
      </c>
      <c r="I189">
        <v>1530</v>
      </c>
      <c r="J189">
        <v>1</v>
      </c>
      <c r="K189">
        <v>93.87</v>
      </c>
      <c r="L189">
        <v>91.98</v>
      </c>
      <c r="M189">
        <v>4.74</v>
      </c>
      <c r="N189">
        <v>97.73</v>
      </c>
      <c r="O189">
        <v>742</v>
      </c>
      <c r="P189">
        <v>122.21</v>
      </c>
      <c r="Q189">
        <v>82.84</v>
      </c>
      <c r="R189">
        <v>74.56</v>
      </c>
      <c r="S189">
        <v>196.77</v>
      </c>
      <c r="T189">
        <v>231</v>
      </c>
      <c r="U189">
        <v>113.9</v>
      </c>
      <c r="V189">
        <v>414</v>
      </c>
      <c r="W189">
        <v>123.98</v>
      </c>
      <c r="X189">
        <v>1</v>
      </c>
      <c r="Y189">
        <v>0</v>
      </c>
      <c r="Z189">
        <v>1</v>
      </c>
      <c r="AA189">
        <v>1</v>
      </c>
      <c r="AB189">
        <v>73</v>
      </c>
      <c r="AC189">
        <v>11</v>
      </c>
      <c r="AD189">
        <v>1196</v>
      </c>
      <c r="AE189">
        <v>7</v>
      </c>
      <c r="AF189">
        <v>8</v>
      </c>
      <c r="AG189">
        <v>15</v>
      </c>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row>
    <row r="190" spans="1:159" ht="14.5" x14ac:dyDescent="0.35">
      <c r="A190" t="s">
        <v>436</v>
      </c>
      <c r="B190" t="s">
        <v>437</v>
      </c>
      <c r="C190">
        <v>10969</v>
      </c>
      <c r="D190">
        <v>2</v>
      </c>
      <c r="E190">
        <v>275</v>
      </c>
      <c r="F190">
        <v>305</v>
      </c>
      <c r="G190">
        <v>100</v>
      </c>
      <c r="H190">
        <v>11651</v>
      </c>
      <c r="I190">
        <v>11551</v>
      </c>
      <c r="J190">
        <v>109</v>
      </c>
      <c r="K190">
        <v>84.95</v>
      </c>
      <c r="L190">
        <v>84.69</v>
      </c>
      <c r="M190">
        <v>3.11</v>
      </c>
      <c r="N190">
        <v>86.74</v>
      </c>
      <c r="O190">
        <v>10195</v>
      </c>
      <c r="P190">
        <v>107.64</v>
      </c>
      <c r="Q190">
        <v>83.23</v>
      </c>
      <c r="R190">
        <v>66.12</v>
      </c>
      <c r="S190">
        <v>167.55</v>
      </c>
      <c r="T190">
        <v>479</v>
      </c>
      <c r="U190">
        <v>106.95</v>
      </c>
      <c r="V190">
        <v>688</v>
      </c>
      <c r="W190">
        <v>204.44</v>
      </c>
      <c r="X190">
        <v>73</v>
      </c>
      <c r="Y190">
        <v>0</v>
      </c>
      <c r="Z190">
        <v>62</v>
      </c>
      <c r="AA190">
        <v>4</v>
      </c>
      <c r="AB190">
        <v>17</v>
      </c>
      <c r="AC190">
        <v>0</v>
      </c>
      <c r="AD190">
        <v>10930</v>
      </c>
      <c r="AE190">
        <v>129</v>
      </c>
      <c r="AF190">
        <v>38</v>
      </c>
      <c r="AG190">
        <v>167</v>
      </c>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row>
    <row r="191" spans="1:159" ht="14.5" x14ac:dyDescent="0.35">
      <c r="A191" t="s">
        <v>438</v>
      </c>
      <c r="B191" t="s">
        <v>439</v>
      </c>
      <c r="C191">
        <v>5915</v>
      </c>
      <c r="D191">
        <v>0</v>
      </c>
      <c r="E191">
        <v>129</v>
      </c>
      <c r="F191">
        <v>206</v>
      </c>
      <c r="G191">
        <v>299</v>
      </c>
      <c r="H191">
        <v>6549</v>
      </c>
      <c r="I191">
        <v>6250</v>
      </c>
      <c r="J191">
        <v>207</v>
      </c>
      <c r="K191">
        <v>93.09</v>
      </c>
      <c r="L191">
        <v>91.87</v>
      </c>
      <c r="M191">
        <v>4.26</v>
      </c>
      <c r="N191">
        <v>96.3</v>
      </c>
      <c r="O191">
        <v>5114</v>
      </c>
      <c r="P191">
        <v>116.56</v>
      </c>
      <c r="Q191">
        <v>87.75</v>
      </c>
      <c r="R191">
        <v>49.21</v>
      </c>
      <c r="S191">
        <v>165.77</v>
      </c>
      <c r="T191">
        <v>331</v>
      </c>
      <c r="U191">
        <v>116.01</v>
      </c>
      <c r="V191">
        <v>772</v>
      </c>
      <c r="W191">
        <v>0</v>
      </c>
      <c r="X191">
        <v>0</v>
      </c>
      <c r="Y191">
        <v>0</v>
      </c>
      <c r="Z191">
        <v>10</v>
      </c>
      <c r="AA191">
        <v>19</v>
      </c>
      <c r="AB191">
        <v>18</v>
      </c>
      <c r="AC191">
        <v>2</v>
      </c>
      <c r="AD191">
        <v>5893</v>
      </c>
      <c r="AE191">
        <v>4</v>
      </c>
      <c r="AF191">
        <v>17</v>
      </c>
      <c r="AG191">
        <v>21</v>
      </c>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row>
    <row r="192" spans="1:159" ht="14.5" x14ac:dyDescent="0.35">
      <c r="A192" t="s">
        <v>799</v>
      </c>
      <c r="B192" t="s">
        <v>797</v>
      </c>
      <c r="C192">
        <v>14576</v>
      </c>
      <c r="D192">
        <v>214</v>
      </c>
      <c r="E192">
        <v>829</v>
      </c>
      <c r="F192">
        <v>933</v>
      </c>
      <c r="G192">
        <v>1826</v>
      </c>
      <c r="H192">
        <v>18378</v>
      </c>
      <c r="I192">
        <v>16552</v>
      </c>
      <c r="J192">
        <v>54</v>
      </c>
      <c r="K192">
        <v>96.84</v>
      </c>
      <c r="L192">
        <v>95.53</v>
      </c>
      <c r="M192">
        <v>7.46</v>
      </c>
      <c r="N192">
        <v>100.39</v>
      </c>
      <c r="O192">
        <v>12051</v>
      </c>
      <c r="P192">
        <v>96.55</v>
      </c>
      <c r="Q192">
        <v>82.55</v>
      </c>
      <c r="R192">
        <v>55.12</v>
      </c>
      <c r="S192">
        <v>147.57</v>
      </c>
      <c r="T192">
        <v>1572</v>
      </c>
      <c r="U192">
        <v>119.14</v>
      </c>
      <c r="V192">
        <v>2102</v>
      </c>
      <c r="W192">
        <v>181.39</v>
      </c>
      <c r="X192">
        <v>4</v>
      </c>
      <c r="Y192">
        <v>0</v>
      </c>
      <c r="Z192">
        <v>11</v>
      </c>
      <c r="AA192">
        <v>3</v>
      </c>
      <c r="AB192">
        <v>125</v>
      </c>
      <c r="AC192">
        <v>31</v>
      </c>
      <c r="AD192">
        <v>14473</v>
      </c>
      <c r="AE192">
        <v>71</v>
      </c>
      <c r="AF192">
        <v>120</v>
      </c>
      <c r="AG192">
        <v>191</v>
      </c>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row>
    <row r="193" spans="1:159" ht="14.5" x14ac:dyDescent="0.35">
      <c r="A193" t="s">
        <v>440</v>
      </c>
      <c r="B193" t="s">
        <v>441</v>
      </c>
      <c r="C193">
        <v>8782</v>
      </c>
      <c r="D193">
        <v>61</v>
      </c>
      <c r="E193">
        <v>427</v>
      </c>
      <c r="F193">
        <v>671</v>
      </c>
      <c r="G193">
        <v>718</v>
      </c>
      <c r="H193">
        <v>10659</v>
      </c>
      <c r="I193">
        <v>9941</v>
      </c>
      <c r="J193">
        <v>110</v>
      </c>
      <c r="K193">
        <v>101.37</v>
      </c>
      <c r="L193">
        <v>97.75</v>
      </c>
      <c r="M193">
        <v>6.36</v>
      </c>
      <c r="N193">
        <v>107.54</v>
      </c>
      <c r="O193">
        <v>7680</v>
      </c>
      <c r="P193">
        <v>117.07</v>
      </c>
      <c r="Q193">
        <v>96.52</v>
      </c>
      <c r="R193">
        <v>75.64</v>
      </c>
      <c r="S193">
        <v>190.88</v>
      </c>
      <c r="T193">
        <v>905</v>
      </c>
      <c r="U193">
        <v>137.94999999999999</v>
      </c>
      <c r="V193">
        <v>955</v>
      </c>
      <c r="W193">
        <v>147.35</v>
      </c>
      <c r="X193">
        <v>40</v>
      </c>
      <c r="Y193">
        <v>0</v>
      </c>
      <c r="Z193">
        <v>7</v>
      </c>
      <c r="AA193">
        <v>8</v>
      </c>
      <c r="AB193">
        <v>80</v>
      </c>
      <c r="AC193">
        <v>14</v>
      </c>
      <c r="AD193">
        <v>8678</v>
      </c>
      <c r="AE193">
        <v>50</v>
      </c>
      <c r="AF193">
        <v>136</v>
      </c>
      <c r="AG193">
        <v>186</v>
      </c>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row>
    <row r="194" spans="1:159" ht="14.5" x14ac:dyDescent="0.35">
      <c r="A194" t="s">
        <v>442</v>
      </c>
      <c r="B194" t="s">
        <v>443</v>
      </c>
      <c r="C194">
        <v>4427</v>
      </c>
      <c r="D194">
        <v>0</v>
      </c>
      <c r="E194">
        <v>584</v>
      </c>
      <c r="F194">
        <v>1420</v>
      </c>
      <c r="G194">
        <v>449</v>
      </c>
      <c r="H194">
        <v>6880</v>
      </c>
      <c r="I194">
        <v>6431</v>
      </c>
      <c r="J194">
        <v>18</v>
      </c>
      <c r="K194">
        <v>87.39</v>
      </c>
      <c r="L194">
        <v>83.87</v>
      </c>
      <c r="M194">
        <v>8.2799999999999994</v>
      </c>
      <c r="N194">
        <v>93.8</v>
      </c>
      <c r="O194">
        <v>3162</v>
      </c>
      <c r="P194">
        <v>98.5</v>
      </c>
      <c r="Q194">
        <v>81.55</v>
      </c>
      <c r="R194">
        <v>57.48</v>
      </c>
      <c r="S194">
        <v>154.88</v>
      </c>
      <c r="T194">
        <v>1769</v>
      </c>
      <c r="U194">
        <v>110.64</v>
      </c>
      <c r="V194">
        <v>1064</v>
      </c>
      <c r="W194">
        <v>188.4</v>
      </c>
      <c r="X194">
        <v>81</v>
      </c>
      <c r="Y194">
        <v>0</v>
      </c>
      <c r="Z194">
        <v>1</v>
      </c>
      <c r="AA194">
        <v>1</v>
      </c>
      <c r="AB194">
        <v>42</v>
      </c>
      <c r="AC194">
        <v>8</v>
      </c>
      <c r="AD194">
        <v>4246</v>
      </c>
      <c r="AE194">
        <v>57</v>
      </c>
      <c r="AF194">
        <v>33</v>
      </c>
      <c r="AG194">
        <v>90</v>
      </c>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row>
    <row r="195" spans="1:159" ht="14.5" x14ac:dyDescent="0.35">
      <c r="A195" t="s">
        <v>444</v>
      </c>
      <c r="B195" t="s">
        <v>445</v>
      </c>
      <c r="C195">
        <v>1224</v>
      </c>
      <c r="D195">
        <v>0</v>
      </c>
      <c r="E195">
        <v>34</v>
      </c>
      <c r="F195">
        <v>58</v>
      </c>
      <c r="G195">
        <v>307</v>
      </c>
      <c r="H195">
        <v>1623</v>
      </c>
      <c r="I195">
        <v>1316</v>
      </c>
      <c r="J195">
        <v>0</v>
      </c>
      <c r="K195">
        <v>104.25</v>
      </c>
      <c r="L195">
        <v>102.06</v>
      </c>
      <c r="M195">
        <v>5.07</v>
      </c>
      <c r="N195">
        <v>107.82</v>
      </c>
      <c r="O195">
        <v>843</v>
      </c>
      <c r="P195">
        <v>116.17</v>
      </c>
      <c r="Q195">
        <v>87.83</v>
      </c>
      <c r="R195">
        <v>47.48</v>
      </c>
      <c r="S195">
        <v>163.65</v>
      </c>
      <c r="T195">
        <v>69</v>
      </c>
      <c r="U195">
        <v>129.46</v>
      </c>
      <c r="V195">
        <v>379</v>
      </c>
      <c r="W195">
        <v>0</v>
      </c>
      <c r="X195">
        <v>0</v>
      </c>
      <c r="Y195">
        <v>0</v>
      </c>
      <c r="Z195">
        <v>0</v>
      </c>
      <c r="AA195">
        <v>0</v>
      </c>
      <c r="AB195">
        <v>25</v>
      </c>
      <c r="AC195">
        <v>6</v>
      </c>
      <c r="AD195">
        <v>1222</v>
      </c>
      <c r="AE195">
        <v>8</v>
      </c>
      <c r="AF195">
        <v>1</v>
      </c>
      <c r="AG195">
        <v>9</v>
      </c>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row>
    <row r="196" spans="1:159" ht="14.5" x14ac:dyDescent="0.35">
      <c r="A196" t="s">
        <v>446</v>
      </c>
      <c r="B196" t="s">
        <v>447</v>
      </c>
      <c r="C196">
        <v>2248</v>
      </c>
      <c r="D196">
        <v>2</v>
      </c>
      <c r="E196">
        <v>114</v>
      </c>
      <c r="F196">
        <v>125</v>
      </c>
      <c r="G196">
        <v>595</v>
      </c>
      <c r="H196">
        <v>3084</v>
      </c>
      <c r="I196">
        <v>2489</v>
      </c>
      <c r="J196">
        <v>10</v>
      </c>
      <c r="K196">
        <v>93.22</v>
      </c>
      <c r="L196">
        <v>94.4</v>
      </c>
      <c r="M196">
        <v>7.92</v>
      </c>
      <c r="N196">
        <v>100.05</v>
      </c>
      <c r="O196">
        <v>1402</v>
      </c>
      <c r="P196">
        <v>97.04</v>
      </c>
      <c r="Q196">
        <v>99.57</v>
      </c>
      <c r="R196">
        <v>78.41</v>
      </c>
      <c r="S196">
        <v>175.45</v>
      </c>
      <c r="T196">
        <v>213</v>
      </c>
      <c r="U196">
        <v>118.91</v>
      </c>
      <c r="V196">
        <v>827</v>
      </c>
      <c r="W196">
        <v>147.79</v>
      </c>
      <c r="X196">
        <v>6</v>
      </c>
      <c r="Y196">
        <v>0</v>
      </c>
      <c r="Z196">
        <v>2</v>
      </c>
      <c r="AA196">
        <v>5</v>
      </c>
      <c r="AB196">
        <v>43</v>
      </c>
      <c r="AC196">
        <v>8</v>
      </c>
      <c r="AD196">
        <v>2248</v>
      </c>
      <c r="AE196">
        <v>11</v>
      </c>
      <c r="AF196">
        <v>6</v>
      </c>
      <c r="AG196">
        <v>17</v>
      </c>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row>
    <row r="197" spans="1:159" ht="14.5" x14ac:dyDescent="0.35">
      <c r="A197" t="s">
        <v>448</v>
      </c>
      <c r="B197" t="s">
        <v>449</v>
      </c>
      <c r="C197">
        <v>14584</v>
      </c>
      <c r="D197">
        <v>0</v>
      </c>
      <c r="E197">
        <v>507</v>
      </c>
      <c r="F197">
        <v>2943</v>
      </c>
      <c r="G197">
        <v>736</v>
      </c>
      <c r="H197">
        <v>18770</v>
      </c>
      <c r="I197">
        <v>18034</v>
      </c>
      <c r="J197">
        <v>40</v>
      </c>
      <c r="K197">
        <v>80.41</v>
      </c>
      <c r="L197">
        <v>77.510000000000005</v>
      </c>
      <c r="M197">
        <v>2.35</v>
      </c>
      <c r="N197">
        <v>81.58</v>
      </c>
      <c r="O197">
        <v>12794</v>
      </c>
      <c r="P197">
        <v>83.23</v>
      </c>
      <c r="Q197">
        <v>71.2</v>
      </c>
      <c r="R197">
        <v>32.19</v>
      </c>
      <c r="S197">
        <v>112.14</v>
      </c>
      <c r="T197">
        <v>3142</v>
      </c>
      <c r="U197">
        <v>107.02</v>
      </c>
      <c r="V197">
        <v>1536</v>
      </c>
      <c r="W197">
        <v>143.57</v>
      </c>
      <c r="X197">
        <v>194</v>
      </c>
      <c r="Y197">
        <v>9</v>
      </c>
      <c r="Z197">
        <v>44</v>
      </c>
      <c r="AA197">
        <v>5</v>
      </c>
      <c r="AB197">
        <v>68</v>
      </c>
      <c r="AC197">
        <v>19</v>
      </c>
      <c r="AD197">
        <v>14337</v>
      </c>
      <c r="AE197">
        <v>106</v>
      </c>
      <c r="AF197">
        <v>71</v>
      </c>
      <c r="AG197">
        <v>177</v>
      </c>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row>
    <row r="198" spans="1:159" ht="14.5" x14ac:dyDescent="0.35">
      <c r="A198" t="s">
        <v>450</v>
      </c>
      <c r="B198" t="s">
        <v>451</v>
      </c>
      <c r="C198">
        <v>4173</v>
      </c>
      <c r="D198">
        <v>5</v>
      </c>
      <c r="E198">
        <v>516</v>
      </c>
      <c r="F198">
        <v>1165</v>
      </c>
      <c r="G198">
        <v>348</v>
      </c>
      <c r="H198">
        <v>6207</v>
      </c>
      <c r="I198">
        <v>5859</v>
      </c>
      <c r="J198">
        <v>75</v>
      </c>
      <c r="K198">
        <v>94.29</v>
      </c>
      <c r="L198">
        <v>92.89</v>
      </c>
      <c r="M198">
        <v>6.51</v>
      </c>
      <c r="N198">
        <v>99.56</v>
      </c>
      <c r="O198">
        <v>3532</v>
      </c>
      <c r="P198">
        <v>95.14</v>
      </c>
      <c r="Q198">
        <v>84.63</v>
      </c>
      <c r="R198">
        <v>57.05</v>
      </c>
      <c r="S198">
        <v>152.13</v>
      </c>
      <c r="T198">
        <v>963</v>
      </c>
      <c r="U198">
        <v>122.04</v>
      </c>
      <c r="V198">
        <v>552</v>
      </c>
      <c r="W198">
        <v>128.78</v>
      </c>
      <c r="X198">
        <v>34</v>
      </c>
      <c r="Y198">
        <v>16</v>
      </c>
      <c r="Z198">
        <v>0</v>
      </c>
      <c r="AA198">
        <v>2</v>
      </c>
      <c r="AB198">
        <v>24</v>
      </c>
      <c r="AC198">
        <v>4</v>
      </c>
      <c r="AD198">
        <v>4157</v>
      </c>
      <c r="AE198">
        <v>15</v>
      </c>
      <c r="AF198">
        <v>65</v>
      </c>
      <c r="AG198">
        <v>80</v>
      </c>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row>
    <row r="199" spans="1:159" ht="14.5" x14ac:dyDescent="0.35">
      <c r="A199" t="s">
        <v>452</v>
      </c>
      <c r="B199" t="s">
        <v>453</v>
      </c>
      <c r="C199">
        <v>6673</v>
      </c>
      <c r="D199">
        <v>150</v>
      </c>
      <c r="E199">
        <v>1417</v>
      </c>
      <c r="F199">
        <v>2210</v>
      </c>
      <c r="G199">
        <v>301</v>
      </c>
      <c r="H199">
        <v>10751</v>
      </c>
      <c r="I199">
        <v>10450</v>
      </c>
      <c r="J199">
        <v>78</v>
      </c>
      <c r="K199">
        <v>90.65</v>
      </c>
      <c r="L199">
        <v>87.46</v>
      </c>
      <c r="M199">
        <v>7.21</v>
      </c>
      <c r="N199">
        <v>95.27</v>
      </c>
      <c r="O199">
        <v>5654</v>
      </c>
      <c r="P199">
        <v>95.18</v>
      </c>
      <c r="Q199">
        <v>79.739999999999995</v>
      </c>
      <c r="R199">
        <v>86.33</v>
      </c>
      <c r="S199">
        <v>177.77</v>
      </c>
      <c r="T199">
        <v>3052</v>
      </c>
      <c r="U199">
        <v>112.17</v>
      </c>
      <c r="V199">
        <v>564</v>
      </c>
      <c r="W199">
        <v>246.22</v>
      </c>
      <c r="X199">
        <v>129</v>
      </c>
      <c r="Y199">
        <v>134</v>
      </c>
      <c r="Z199">
        <v>4</v>
      </c>
      <c r="AA199">
        <v>26</v>
      </c>
      <c r="AB199">
        <v>1</v>
      </c>
      <c r="AC199">
        <v>13</v>
      </c>
      <c r="AD199">
        <v>6603</v>
      </c>
      <c r="AE199">
        <v>51</v>
      </c>
      <c r="AF199">
        <v>38</v>
      </c>
      <c r="AG199">
        <v>89</v>
      </c>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row>
    <row r="200" spans="1:159" ht="14.5" x14ac:dyDescent="0.35">
      <c r="A200" t="s">
        <v>454</v>
      </c>
      <c r="B200" t="s">
        <v>455</v>
      </c>
      <c r="C200">
        <v>2608</v>
      </c>
      <c r="D200">
        <v>0</v>
      </c>
      <c r="E200">
        <v>260</v>
      </c>
      <c r="F200">
        <v>360</v>
      </c>
      <c r="G200">
        <v>572</v>
      </c>
      <c r="H200">
        <v>3800</v>
      </c>
      <c r="I200">
        <v>3228</v>
      </c>
      <c r="J200">
        <v>35</v>
      </c>
      <c r="K200">
        <v>102.26</v>
      </c>
      <c r="L200">
        <v>98.45</v>
      </c>
      <c r="M200">
        <v>6.77</v>
      </c>
      <c r="N200">
        <v>108.16</v>
      </c>
      <c r="O200">
        <v>1698</v>
      </c>
      <c r="P200">
        <v>128.09</v>
      </c>
      <c r="Q200">
        <v>90.7</v>
      </c>
      <c r="R200">
        <v>60.66</v>
      </c>
      <c r="S200">
        <v>186.91</v>
      </c>
      <c r="T200">
        <v>524</v>
      </c>
      <c r="U200">
        <v>127.8</v>
      </c>
      <c r="V200">
        <v>895</v>
      </c>
      <c r="W200">
        <v>0</v>
      </c>
      <c r="X200">
        <v>0</v>
      </c>
      <c r="Y200">
        <v>140</v>
      </c>
      <c r="Z200">
        <v>2</v>
      </c>
      <c r="AA200">
        <v>0</v>
      </c>
      <c r="AB200">
        <v>70</v>
      </c>
      <c r="AC200">
        <v>15</v>
      </c>
      <c r="AD200">
        <v>2601</v>
      </c>
      <c r="AE200">
        <v>44</v>
      </c>
      <c r="AF200">
        <v>22</v>
      </c>
      <c r="AG200">
        <v>66</v>
      </c>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row>
    <row r="201" spans="1:159" ht="14.5" x14ac:dyDescent="0.35">
      <c r="A201" t="s">
        <v>456</v>
      </c>
      <c r="B201" t="s">
        <v>457</v>
      </c>
      <c r="C201">
        <v>593</v>
      </c>
      <c r="D201">
        <v>0</v>
      </c>
      <c r="E201">
        <v>69</v>
      </c>
      <c r="F201">
        <v>95</v>
      </c>
      <c r="G201">
        <v>199</v>
      </c>
      <c r="H201">
        <v>956</v>
      </c>
      <c r="I201">
        <v>757</v>
      </c>
      <c r="J201">
        <v>1</v>
      </c>
      <c r="K201">
        <v>97.86</v>
      </c>
      <c r="L201">
        <v>95.3</v>
      </c>
      <c r="M201">
        <v>6.7</v>
      </c>
      <c r="N201">
        <v>101.74</v>
      </c>
      <c r="O201">
        <v>280</v>
      </c>
      <c r="P201">
        <v>114.32</v>
      </c>
      <c r="Q201">
        <v>76.19</v>
      </c>
      <c r="R201">
        <v>43.03</v>
      </c>
      <c r="S201">
        <v>154.16999999999999</v>
      </c>
      <c r="T201">
        <v>135</v>
      </c>
      <c r="U201">
        <v>121.52</v>
      </c>
      <c r="V201">
        <v>221</v>
      </c>
      <c r="W201">
        <v>0</v>
      </c>
      <c r="X201">
        <v>0</v>
      </c>
      <c r="Y201">
        <v>8</v>
      </c>
      <c r="Z201">
        <v>0</v>
      </c>
      <c r="AA201">
        <v>0</v>
      </c>
      <c r="AB201">
        <v>29</v>
      </c>
      <c r="AC201">
        <v>3</v>
      </c>
      <c r="AD201">
        <v>537</v>
      </c>
      <c r="AE201">
        <v>4</v>
      </c>
      <c r="AF201">
        <v>0</v>
      </c>
      <c r="AG201">
        <v>4</v>
      </c>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row>
    <row r="202" spans="1:159" ht="14.5" x14ac:dyDescent="0.35">
      <c r="A202" t="s">
        <v>458</v>
      </c>
      <c r="B202" t="s">
        <v>459</v>
      </c>
      <c r="C202">
        <v>17184</v>
      </c>
      <c r="D202">
        <v>5</v>
      </c>
      <c r="E202">
        <v>600</v>
      </c>
      <c r="F202">
        <v>792</v>
      </c>
      <c r="G202">
        <v>379</v>
      </c>
      <c r="H202">
        <v>18960</v>
      </c>
      <c r="I202">
        <v>18581</v>
      </c>
      <c r="J202">
        <v>7</v>
      </c>
      <c r="K202">
        <v>82.81</v>
      </c>
      <c r="L202">
        <v>82.77</v>
      </c>
      <c r="M202">
        <v>5.25</v>
      </c>
      <c r="N202">
        <v>85.57</v>
      </c>
      <c r="O202">
        <v>15252</v>
      </c>
      <c r="P202">
        <v>83.94</v>
      </c>
      <c r="Q202">
        <v>79.510000000000005</v>
      </c>
      <c r="R202">
        <v>35.17</v>
      </c>
      <c r="S202">
        <v>116.86</v>
      </c>
      <c r="T202">
        <v>1342</v>
      </c>
      <c r="U202">
        <v>108.72</v>
      </c>
      <c r="V202">
        <v>1756</v>
      </c>
      <c r="W202">
        <v>0</v>
      </c>
      <c r="X202">
        <v>0</v>
      </c>
      <c r="Y202">
        <v>0</v>
      </c>
      <c r="Z202">
        <v>96</v>
      </c>
      <c r="AA202">
        <v>7</v>
      </c>
      <c r="AB202">
        <v>41</v>
      </c>
      <c r="AC202">
        <v>12</v>
      </c>
      <c r="AD202">
        <v>17182</v>
      </c>
      <c r="AE202">
        <v>73</v>
      </c>
      <c r="AF202">
        <v>107</v>
      </c>
      <c r="AG202">
        <v>180</v>
      </c>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row>
    <row r="203" spans="1:159" ht="14.5" x14ac:dyDescent="0.35">
      <c r="A203" t="s">
        <v>460</v>
      </c>
      <c r="B203" t="s">
        <v>461</v>
      </c>
      <c r="C203">
        <v>3194</v>
      </c>
      <c r="D203">
        <v>2</v>
      </c>
      <c r="E203">
        <v>424</v>
      </c>
      <c r="F203">
        <v>860</v>
      </c>
      <c r="G203">
        <v>842</v>
      </c>
      <c r="H203">
        <v>5322</v>
      </c>
      <c r="I203">
        <v>4480</v>
      </c>
      <c r="J203">
        <v>45</v>
      </c>
      <c r="K203">
        <v>122.45</v>
      </c>
      <c r="L203">
        <v>116.31</v>
      </c>
      <c r="M203">
        <v>9.74</v>
      </c>
      <c r="N203">
        <v>129.78</v>
      </c>
      <c r="O203">
        <v>2957</v>
      </c>
      <c r="P203">
        <v>112.13</v>
      </c>
      <c r="Q203">
        <v>97.75</v>
      </c>
      <c r="R203">
        <v>67.52</v>
      </c>
      <c r="S203">
        <v>179.21</v>
      </c>
      <c r="T203">
        <v>1225</v>
      </c>
      <c r="U203">
        <v>189.83</v>
      </c>
      <c r="V203">
        <v>103</v>
      </c>
      <c r="W203">
        <v>0</v>
      </c>
      <c r="X203">
        <v>0</v>
      </c>
      <c r="Y203">
        <v>44</v>
      </c>
      <c r="Z203">
        <v>1</v>
      </c>
      <c r="AA203">
        <v>9</v>
      </c>
      <c r="AB203">
        <v>119</v>
      </c>
      <c r="AC203">
        <v>17</v>
      </c>
      <c r="AD203">
        <v>3150</v>
      </c>
      <c r="AE203">
        <v>80</v>
      </c>
      <c r="AF203">
        <v>12</v>
      </c>
      <c r="AG203">
        <v>92</v>
      </c>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row>
    <row r="204" spans="1:159" ht="14.5" x14ac:dyDescent="0.35">
      <c r="A204" t="s">
        <v>462</v>
      </c>
      <c r="B204" t="s">
        <v>463</v>
      </c>
      <c r="C204">
        <v>4186</v>
      </c>
      <c r="D204">
        <v>0</v>
      </c>
      <c r="E204">
        <v>273</v>
      </c>
      <c r="F204">
        <v>209</v>
      </c>
      <c r="G204">
        <v>20</v>
      </c>
      <c r="H204">
        <v>4688</v>
      </c>
      <c r="I204">
        <v>4668</v>
      </c>
      <c r="J204">
        <v>8</v>
      </c>
      <c r="K204">
        <v>78.3</v>
      </c>
      <c r="L204">
        <v>74.94</v>
      </c>
      <c r="M204">
        <v>2.56</v>
      </c>
      <c r="N204">
        <v>80.61</v>
      </c>
      <c r="O204">
        <v>3688</v>
      </c>
      <c r="P204">
        <v>105.72</v>
      </c>
      <c r="Q204">
        <v>74.930000000000007</v>
      </c>
      <c r="R204">
        <v>79.94</v>
      </c>
      <c r="S204">
        <v>184.44</v>
      </c>
      <c r="T204">
        <v>327</v>
      </c>
      <c r="U204">
        <v>102.37</v>
      </c>
      <c r="V204">
        <v>489</v>
      </c>
      <c r="W204">
        <v>176.78</v>
      </c>
      <c r="X204">
        <v>40</v>
      </c>
      <c r="Y204">
        <v>0</v>
      </c>
      <c r="Z204">
        <v>21</v>
      </c>
      <c r="AA204">
        <v>1</v>
      </c>
      <c r="AB204">
        <v>11</v>
      </c>
      <c r="AC204">
        <v>0</v>
      </c>
      <c r="AD204">
        <v>4185</v>
      </c>
      <c r="AE204">
        <v>33</v>
      </c>
      <c r="AF204">
        <v>16</v>
      </c>
      <c r="AG204">
        <v>49</v>
      </c>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row>
    <row r="205" spans="1:159" ht="14.5" x14ac:dyDescent="0.35">
      <c r="A205" t="s">
        <v>464</v>
      </c>
      <c r="B205" t="s">
        <v>465</v>
      </c>
      <c r="C205">
        <v>13193</v>
      </c>
      <c r="D205">
        <v>19</v>
      </c>
      <c r="E205">
        <v>644</v>
      </c>
      <c r="F205">
        <v>2308</v>
      </c>
      <c r="G205">
        <v>1155</v>
      </c>
      <c r="H205">
        <v>17319</v>
      </c>
      <c r="I205">
        <v>16164</v>
      </c>
      <c r="J205">
        <v>14</v>
      </c>
      <c r="K205">
        <v>92.17</v>
      </c>
      <c r="L205">
        <v>91.49</v>
      </c>
      <c r="M205">
        <v>6.95</v>
      </c>
      <c r="N205">
        <v>95.71</v>
      </c>
      <c r="O205">
        <v>10961</v>
      </c>
      <c r="P205">
        <v>99.34</v>
      </c>
      <c r="Q205">
        <v>88.19</v>
      </c>
      <c r="R205">
        <v>36.840000000000003</v>
      </c>
      <c r="S205">
        <v>134.16</v>
      </c>
      <c r="T205">
        <v>2609</v>
      </c>
      <c r="U205">
        <v>119.56</v>
      </c>
      <c r="V205">
        <v>1901</v>
      </c>
      <c r="W205">
        <v>217.09</v>
      </c>
      <c r="X205">
        <v>87</v>
      </c>
      <c r="Y205">
        <v>12</v>
      </c>
      <c r="Z205">
        <v>45</v>
      </c>
      <c r="AA205">
        <v>4</v>
      </c>
      <c r="AB205">
        <v>44</v>
      </c>
      <c r="AC205">
        <v>27</v>
      </c>
      <c r="AD205">
        <v>13165</v>
      </c>
      <c r="AE205">
        <v>79</v>
      </c>
      <c r="AF205">
        <v>36</v>
      </c>
      <c r="AG205">
        <v>115</v>
      </c>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row>
    <row r="206" spans="1:159" ht="14.5" x14ac:dyDescent="0.35">
      <c r="A206" t="s">
        <v>466</v>
      </c>
      <c r="B206" t="s">
        <v>467</v>
      </c>
      <c r="C206">
        <v>18754</v>
      </c>
      <c r="D206">
        <v>0</v>
      </c>
      <c r="E206">
        <v>2367</v>
      </c>
      <c r="F206">
        <v>1062</v>
      </c>
      <c r="G206">
        <v>1199</v>
      </c>
      <c r="H206">
        <v>23382</v>
      </c>
      <c r="I206">
        <v>22183</v>
      </c>
      <c r="J206">
        <v>107</v>
      </c>
      <c r="K206">
        <v>80.849999999999994</v>
      </c>
      <c r="L206">
        <v>79.86</v>
      </c>
      <c r="M206">
        <v>8.59</v>
      </c>
      <c r="N206">
        <v>86.29</v>
      </c>
      <c r="O206">
        <v>14640</v>
      </c>
      <c r="P206">
        <v>77.680000000000007</v>
      </c>
      <c r="Q206">
        <v>74.680000000000007</v>
      </c>
      <c r="R206">
        <v>31.75</v>
      </c>
      <c r="S206">
        <v>108.54</v>
      </c>
      <c r="T206">
        <v>2845</v>
      </c>
      <c r="U206">
        <v>104.81</v>
      </c>
      <c r="V206">
        <v>3954</v>
      </c>
      <c r="W206">
        <v>91.03</v>
      </c>
      <c r="X206">
        <v>478</v>
      </c>
      <c r="Y206">
        <v>1</v>
      </c>
      <c r="Z206">
        <v>55</v>
      </c>
      <c r="AA206">
        <v>32</v>
      </c>
      <c r="AB206">
        <v>44</v>
      </c>
      <c r="AC206">
        <v>32</v>
      </c>
      <c r="AD206">
        <v>18754</v>
      </c>
      <c r="AE206">
        <v>65</v>
      </c>
      <c r="AF206">
        <v>157</v>
      </c>
      <c r="AG206">
        <v>222</v>
      </c>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row>
    <row r="207" spans="1:159" ht="14.5" x14ac:dyDescent="0.35">
      <c r="A207" t="s">
        <v>468</v>
      </c>
      <c r="B207" t="s">
        <v>469</v>
      </c>
      <c r="C207">
        <v>4891</v>
      </c>
      <c r="D207">
        <v>18</v>
      </c>
      <c r="E207">
        <v>504</v>
      </c>
      <c r="F207">
        <v>1057</v>
      </c>
      <c r="G207">
        <v>687</v>
      </c>
      <c r="H207">
        <v>7157</v>
      </c>
      <c r="I207">
        <v>6470</v>
      </c>
      <c r="J207">
        <v>57</v>
      </c>
      <c r="K207">
        <v>105.68</v>
      </c>
      <c r="L207">
        <v>102.19</v>
      </c>
      <c r="M207">
        <v>10.18</v>
      </c>
      <c r="N207">
        <v>113.71</v>
      </c>
      <c r="O207">
        <v>3779</v>
      </c>
      <c r="P207">
        <v>101.22</v>
      </c>
      <c r="Q207">
        <v>92.35</v>
      </c>
      <c r="R207">
        <v>36.840000000000003</v>
      </c>
      <c r="S207">
        <v>137.51</v>
      </c>
      <c r="T207">
        <v>721</v>
      </c>
      <c r="U207">
        <v>140.9</v>
      </c>
      <c r="V207">
        <v>838</v>
      </c>
      <c r="W207">
        <v>195.44</v>
      </c>
      <c r="X207">
        <v>83</v>
      </c>
      <c r="Y207">
        <v>0</v>
      </c>
      <c r="Z207">
        <v>1</v>
      </c>
      <c r="AA207">
        <v>0</v>
      </c>
      <c r="AB207">
        <v>3</v>
      </c>
      <c r="AC207">
        <v>19</v>
      </c>
      <c r="AD207">
        <v>4794</v>
      </c>
      <c r="AE207">
        <v>79</v>
      </c>
      <c r="AF207">
        <v>14</v>
      </c>
      <c r="AG207">
        <v>93</v>
      </c>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row>
    <row r="208" spans="1:159" ht="14.5" x14ac:dyDescent="0.35">
      <c r="A208" t="s">
        <v>470</v>
      </c>
      <c r="B208" t="s">
        <v>471</v>
      </c>
      <c r="C208">
        <v>10521</v>
      </c>
      <c r="D208">
        <v>0</v>
      </c>
      <c r="E208">
        <v>661</v>
      </c>
      <c r="F208">
        <v>1104</v>
      </c>
      <c r="G208">
        <v>751</v>
      </c>
      <c r="H208">
        <v>13037</v>
      </c>
      <c r="I208">
        <v>12286</v>
      </c>
      <c r="J208">
        <v>3</v>
      </c>
      <c r="K208">
        <v>83.99</v>
      </c>
      <c r="L208">
        <v>83.05</v>
      </c>
      <c r="M208">
        <v>5.55</v>
      </c>
      <c r="N208">
        <v>87.1</v>
      </c>
      <c r="O208">
        <v>8728</v>
      </c>
      <c r="P208">
        <v>86.32</v>
      </c>
      <c r="Q208">
        <v>75.02</v>
      </c>
      <c r="R208">
        <v>51.99</v>
      </c>
      <c r="S208">
        <v>134.43</v>
      </c>
      <c r="T208">
        <v>1581</v>
      </c>
      <c r="U208">
        <v>115.31</v>
      </c>
      <c r="V208">
        <v>1750</v>
      </c>
      <c r="W208">
        <v>261.25</v>
      </c>
      <c r="X208">
        <v>98</v>
      </c>
      <c r="Y208">
        <v>6</v>
      </c>
      <c r="Z208">
        <v>47</v>
      </c>
      <c r="AA208">
        <v>7</v>
      </c>
      <c r="AB208">
        <v>150</v>
      </c>
      <c r="AC208">
        <v>14</v>
      </c>
      <c r="AD208">
        <v>10487</v>
      </c>
      <c r="AE208">
        <v>159</v>
      </c>
      <c r="AF208">
        <v>224</v>
      </c>
      <c r="AG208">
        <v>383</v>
      </c>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row>
    <row r="209" spans="1:159" ht="14.5" x14ac:dyDescent="0.35">
      <c r="A209" t="s">
        <v>472</v>
      </c>
      <c r="B209" t="s">
        <v>473</v>
      </c>
      <c r="C209">
        <v>3841</v>
      </c>
      <c r="D209">
        <v>0</v>
      </c>
      <c r="E209">
        <v>293</v>
      </c>
      <c r="F209">
        <v>610</v>
      </c>
      <c r="G209">
        <v>925</v>
      </c>
      <c r="H209">
        <v>5669</v>
      </c>
      <c r="I209">
        <v>4744</v>
      </c>
      <c r="J209">
        <v>22</v>
      </c>
      <c r="K209">
        <v>126.06</v>
      </c>
      <c r="L209">
        <v>123.03</v>
      </c>
      <c r="M209">
        <v>9.9700000000000006</v>
      </c>
      <c r="N209">
        <v>135.16999999999999</v>
      </c>
      <c r="O209">
        <v>2882</v>
      </c>
      <c r="P209">
        <v>112.87</v>
      </c>
      <c r="Q209">
        <v>105.1</v>
      </c>
      <c r="R209">
        <v>91.05</v>
      </c>
      <c r="S209">
        <v>200.84</v>
      </c>
      <c r="T209">
        <v>620</v>
      </c>
      <c r="U209">
        <v>184.13</v>
      </c>
      <c r="V209">
        <v>584</v>
      </c>
      <c r="W209">
        <v>277.2</v>
      </c>
      <c r="X209">
        <v>152</v>
      </c>
      <c r="Y209">
        <v>115</v>
      </c>
      <c r="Z209">
        <v>0</v>
      </c>
      <c r="AA209">
        <v>14</v>
      </c>
      <c r="AB209">
        <v>50</v>
      </c>
      <c r="AC209">
        <v>31</v>
      </c>
      <c r="AD209">
        <v>3684</v>
      </c>
      <c r="AE209">
        <v>13</v>
      </c>
      <c r="AF209">
        <v>34</v>
      </c>
      <c r="AG209">
        <v>47</v>
      </c>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row>
    <row r="210" spans="1:159" ht="14.5" x14ac:dyDescent="0.35">
      <c r="A210" t="s">
        <v>474</v>
      </c>
      <c r="B210" t="s">
        <v>475</v>
      </c>
      <c r="C210">
        <v>3507</v>
      </c>
      <c r="D210">
        <v>0</v>
      </c>
      <c r="E210">
        <v>308</v>
      </c>
      <c r="F210">
        <v>1094</v>
      </c>
      <c r="G210">
        <v>826</v>
      </c>
      <c r="H210">
        <v>5735</v>
      </c>
      <c r="I210">
        <v>4909</v>
      </c>
      <c r="J210">
        <v>22</v>
      </c>
      <c r="K210">
        <v>131.96</v>
      </c>
      <c r="L210">
        <v>131.38</v>
      </c>
      <c r="M210">
        <v>12.58</v>
      </c>
      <c r="N210">
        <v>139.71</v>
      </c>
      <c r="O210">
        <v>2834</v>
      </c>
      <c r="P210">
        <v>110.9</v>
      </c>
      <c r="Q210">
        <v>102</v>
      </c>
      <c r="R210">
        <v>57.52</v>
      </c>
      <c r="S210">
        <v>168.09</v>
      </c>
      <c r="T210">
        <v>1229</v>
      </c>
      <c r="U210">
        <v>200.94</v>
      </c>
      <c r="V210">
        <v>393</v>
      </c>
      <c r="W210">
        <v>142.72999999999999</v>
      </c>
      <c r="X210">
        <v>53</v>
      </c>
      <c r="Y210">
        <v>3</v>
      </c>
      <c r="Z210">
        <v>2</v>
      </c>
      <c r="AA210">
        <v>7</v>
      </c>
      <c r="AB210">
        <v>0</v>
      </c>
      <c r="AC210">
        <v>15</v>
      </c>
      <c r="AD210">
        <v>3373</v>
      </c>
      <c r="AE210">
        <v>49</v>
      </c>
      <c r="AF210">
        <v>14</v>
      </c>
      <c r="AG210">
        <v>63</v>
      </c>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row>
    <row r="211" spans="1:159" ht="14.5" x14ac:dyDescent="0.35">
      <c r="A211" t="s">
        <v>476</v>
      </c>
      <c r="B211" t="s">
        <v>477</v>
      </c>
      <c r="C211">
        <v>11513</v>
      </c>
      <c r="D211">
        <v>0</v>
      </c>
      <c r="E211">
        <v>335</v>
      </c>
      <c r="F211">
        <v>635</v>
      </c>
      <c r="G211">
        <v>317</v>
      </c>
      <c r="H211">
        <v>12800</v>
      </c>
      <c r="I211">
        <v>12483</v>
      </c>
      <c r="J211">
        <v>24</v>
      </c>
      <c r="K211">
        <v>93.07</v>
      </c>
      <c r="L211">
        <v>92.95</v>
      </c>
      <c r="M211">
        <v>4.67</v>
      </c>
      <c r="N211">
        <v>95.37</v>
      </c>
      <c r="O211">
        <v>10662</v>
      </c>
      <c r="P211">
        <v>91.62</v>
      </c>
      <c r="Q211">
        <v>80.739999999999995</v>
      </c>
      <c r="R211">
        <v>57</v>
      </c>
      <c r="S211">
        <v>148.27000000000001</v>
      </c>
      <c r="T211">
        <v>654</v>
      </c>
      <c r="U211">
        <v>112.64</v>
      </c>
      <c r="V211">
        <v>764</v>
      </c>
      <c r="W211">
        <v>147.25</v>
      </c>
      <c r="X211">
        <v>218</v>
      </c>
      <c r="Y211">
        <v>0</v>
      </c>
      <c r="Z211">
        <v>44</v>
      </c>
      <c r="AA211">
        <v>3</v>
      </c>
      <c r="AB211">
        <v>7</v>
      </c>
      <c r="AC211">
        <v>11</v>
      </c>
      <c r="AD211">
        <v>11513</v>
      </c>
      <c r="AE211">
        <v>117</v>
      </c>
      <c r="AF211">
        <v>141</v>
      </c>
      <c r="AG211">
        <v>258</v>
      </c>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row>
    <row r="212" spans="1:159" ht="14.5" x14ac:dyDescent="0.35">
      <c r="A212" t="s">
        <v>478</v>
      </c>
      <c r="B212" t="s">
        <v>479</v>
      </c>
      <c r="C212">
        <v>1965</v>
      </c>
      <c r="D212">
        <v>0</v>
      </c>
      <c r="E212">
        <v>169</v>
      </c>
      <c r="F212">
        <v>180</v>
      </c>
      <c r="G212">
        <v>275</v>
      </c>
      <c r="H212">
        <v>2589</v>
      </c>
      <c r="I212">
        <v>2314</v>
      </c>
      <c r="J212">
        <v>8</v>
      </c>
      <c r="K212">
        <v>97.49</v>
      </c>
      <c r="L212">
        <v>96</v>
      </c>
      <c r="M212">
        <v>5.23</v>
      </c>
      <c r="N212">
        <v>102.03</v>
      </c>
      <c r="O212">
        <v>1542</v>
      </c>
      <c r="P212">
        <v>121.28</v>
      </c>
      <c r="Q212">
        <v>95.64</v>
      </c>
      <c r="R212">
        <v>74.680000000000007</v>
      </c>
      <c r="S212">
        <v>190.28</v>
      </c>
      <c r="T212">
        <v>250</v>
      </c>
      <c r="U212">
        <v>126.96</v>
      </c>
      <c r="V212">
        <v>214</v>
      </c>
      <c r="W212">
        <v>259.23</v>
      </c>
      <c r="X212">
        <v>44</v>
      </c>
      <c r="Y212">
        <v>0</v>
      </c>
      <c r="Z212">
        <v>2</v>
      </c>
      <c r="AA212">
        <v>1</v>
      </c>
      <c r="AB212">
        <v>5</v>
      </c>
      <c r="AC212">
        <v>7</v>
      </c>
      <c r="AD212">
        <v>1801</v>
      </c>
      <c r="AE212">
        <v>13</v>
      </c>
      <c r="AF212">
        <v>4</v>
      </c>
      <c r="AG212">
        <v>17</v>
      </c>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row>
    <row r="213" spans="1:159" ht="14.5" x14ac:dyDescent="0.35">
      <c r="A213" t="s">
        <v>480</v>
      </c>
      <c r="B213" t="s">
        <v>481</v>
      </c>
      <c r="C213">
        <v>6279</v>
      </c>
      <c r="D213">
        <v>0</v>
      </c>
      <c r="E213">
        <v>400</v>
      </c>
      <c r="F213">
        <v>610</v>
      </c>
      <c r="G213">
        <v>1034</v>
      </c>
      <c r="H213">
        <v>8323</v>
      </c>
      <c r="I213">
        <v>7289</v>
      </c>
      <c r="J213">
        <v>14</v>
      </c>
      <c r="K213">
        <v>126.33</v>
      </c>
      <c r="L213">
        <v>126.58</v>
      </c>
      <c r="M213">
        <v>5.42</v>
      </c>
      <c r="N213">
        <v>131.47999999999999</v>
      </c>
      <c r="O213">
        <v>5221</v>
      </c>
      <c r="P213">
        <v>134.02000000000001</v>
      </c>
      <c r="Q213">
        <v>106.8</v>
      </c>
      <c r="R213">
        <v>39.049999999999997</v>
      </c>
      <c r="S213">
        <v>171.49</v>
      </c>
      <c r="T213">
        <v>694</v>
      </c>
      <c r="U213">
        <v>165.24</v>
      </c>
      <c r="V213">
        <v>940</v>
      </c>
      <c r="W213">
        <v>183.96</v>
      </c>
      <c r="X213">
        <v>18</v>
      </c>
      <c r="Y213">
        <v>216</v>
      </c>
      <c r="Z213">
        <v>5</v>
      </c>
      <c r="AA213">
        <v>6</v>
      </c>
      <c r="AB213">
        <v>80</v>
      </c>
      <c r="AC213">
        <v>12</v>
      </c>
      <c r="AD213">
        <v>6278</v>
      </c>
      <c r="AE213">
        <v>37</v>
      </c>
      <c r="AF213">
        <v>78</v>
      </c>
      <c r="AG213">
        <v>115</v>
      </c>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row>
    <row r="214" spans="1:159" ht="14.5" x14ac:dyDescent="0.35">
      <c r="A214" t="s">
        <v>482</v>
      </c>
      <c r="B214" t="s">
        <v>483</v>
      </c>
      <c r="C214">
        <v>1461</v>
      </c>
      <c r="D214">
        <v>0</v>
      </c>
      <c r="E214">
        <v>81</v>
      </c>
      <c r="F214">
        <v>750</v>
      </c>
      <c r="G214">
        <v>576</v>
      </c>
      <c r="H214">
        <v>2868</v>
      </c>
      <c r="I214">
        <v>2292</v>
      </c>
      <c r="J214">
        <v>0</v>
      </c>
      <c r="K214">
        <v>91.13</v>
      </c>
      <c r="L214">
        <v>90.29</v>
      </c>
      <c r="M214">
        <v>4.3899999999999997</v>
      </c>
      <c r="N214">
        <v>94.26</v>
      </c>
      <c r="O214">
        <v>956</v>
      </c>
      <c r="P214">
        <v>78.86</v>
      </c>
      <c r="Q214">
        <v>74.59</v>
      </c>
      <c r="R214">
        <v>23.71</v>
      </c>
      <c r="S214">
        <v>101.92</v>
      </c>
      <c r="T214">
        <v>772</v>
      </c>
      <c r="U214">
        <v>109.32</v>
      </c>
      <c r="V214">
        <v>503</v>
      </c>
      <c r="W214">
        <v>143.43</v>
      </c>
      <c r="X214">
        <v>12</v>
      </c>
      <c r="Y214">
        <v>0</v>
      </c>
      <c r="Z214">
        <v>0</v>
      </c>
      <c r="AA214">
        <v>2</v>
      </c>
      <c r="AB214">
        <v>81</v>
      </c>
      <c r="AC214">
        <v>24</v>
      </c>
      <c r="AD214">
        <v>1461</v>
      </c>
      <c r="AE214">
        <v>27</v>
      </c>
      <c r="AF214">
        <v>8</v>
      </c>
      <c r="AG214">
        <v>35</v>
      </c>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row>
    <row r="215" spans="1:159" ht="14.5" x14ac:dyDescent="0.35">
      <c r="A215" t="s">
        <v>484</v>
      </c>
      <c r="B215" t="s">
        <v>485</v>
      </c>
      <c r="C215">
        <v>8847</v>
      </c>
      <c r="D215">
        <v>6</v>
      </c>
      <c r="E215">
        <v>275</v>
      </c>
      <c r="F215">
        <v>812</v>
      </c>
      <c r="G215">
        <v>456</v>
      </c>
      <c r="H215">
        <v>10396</v>
      </c>
      <c r="I215">
        <v>9940</v>
      </c>
      <c r="J215">
        <v>15</v>
      </c>
      <c r="K215">
        <v>131.36000000000001</v>
      </c>
      <c r="L215">
        <v>141.91</v>
      </c>
      <c r="M215">
        <v>11.62</v>
      </c>
      <c r="N215">
        <v>139.36000000000001</v>
      </c>
      <c r="O215">
        <v>7846</v>
      </c>
      <c r="P215">
        <v>129.91</v>
      </c>
      <c r="Q215">
        <v>120.85</v>
      </c>
      <c r="R215">
        <v>51</v>
      </c>
      <c r="S215">
        <v>177.27</v>
      </c>
      <c r="T215">
        <v>1007</v>
      </c>
      <c r="U215">
        <v>213.5</v>
      </c>
      <c r="V215">
        <v>869</v>
      </c>
      <c r="W215">
        <v>268.02</v>
      </c>
      <c r="X215">
        <v>4</v>
      </c>
      <c r="Y215">
        <v>1</v>
      </c>
      <c r="Z215">
        <v>2</v>
      </c>
      <c r="AA215">
        <v>2</v>
      </c>
      <c r="AB215">
        <v>22</v>
      </c>
      <c r="AC215">
        <v>19</v>
      </c>
      <c r="AD215">
        <v>8800</v>
      </c>
      <c r="AE215">
        <v>29</v>
      </c>
      <c r="AF215">
        <v>177</v>
      </c>
      <c r="AG215">
        <v>206</v>
      </c>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row>
    <row r="216" spans="1:159" ht="14.5" x14ac:dyDescent="0.35">
      <c r="A216" t="s">
        <v>486</v>
      </c>
      <c r="B216" t="s">
        <v>487</v>
      </c>
      <c r="C216">
        <v>722</v>
      </c>
      <c r="D216">
        <v>0</v>
      </c>
      <c r="E216">
        <v>118</v>
      </c>
      <c r="F216">
        <v>96</v>
      </c>
      <c r="G216">
        <v>66</v>
      </c>
      <c r="H216">
        <v>1002</v>
      </c>
      <c r="I216">
        <v>936</v>
      </c>
      <c r="J216">
        <v>2</v>
      </c>
      <c r="K216">
        <v>97.53</v>
      </c>
      <c r="L216">
        <v>93.49</v>
      </c>
      <c r="M216">
        <v>3.69</v>
      </c>
      <c r="N216">
        <v>100.4</v>
      </c>
      <c r="O216">
        <v>529</v>
      </c>
      <c r="P216">
        <v>114.57</v>
      </c>
      <c r="Q216">
        <v>105.43</v>
      </c>
      <c r="R216">
        <v>86.25</v>
      </c>
      <c r="S216">
        <v>193.4</v>
      </c>
      <c r="T216">
        <v>151</v>
      </c>
      <c r="U216">
        <v>120.23</v>
      </c>
      <c r="V216">
        <v>177</v>
      </c>
      <c r="W216">
        <v>341.17</v>
      </c>
      <c r="X216">
        <v>53</v>
      </c>
      <c r="Y216">
        <v>0</v>
      </c>
      <c r="Z216">
        <v>0</v>
      </c>
      <c r="AA216">
        <v>1</v>
      </c>
      <c r="AB216">
        <v>1</v>
      </c>
      <c r="AC216">
        <v>0</v>
      </c>
      <c r="AD216">
        <v>722</v>
      </c>
      <c r="AE216">
        <v>3</v>
      </c>
      <c r="AF216">
        <v>2</v>
      </c>
      <c r="AG216">
        <v>5</v>
      </c>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row>
    <row r="217" spans="1:159" ht="14.5" x14ac:dyDescent="0.35">
      <c r="A217" t="s">
        <v>488</v>
      </c>
      <c r="B217" t="s">
        <v>489</v>
      </c>
      <c r="C217">
        <v>17992</v>
      </c>
      <c r="D217">
        <v>0</v>
      </c>
      <c r="E217">
        <v>720</v>
      </c>
      <c r="F217">
        <v>1985</v>
      </c>
      <c r="G217">
        <v>314</v>
      </c>
      <c r="H217">
        <v>21011</v>
      </c>
      <c r="I217">
        <v>20697</v>
      </c>
      <c r="J217">
        <v>28</v>
      </c>
      <c r="K217">
        <v>81.38</v>
      </c>
      <c r="L217">
        <v>80.819999999999993</v>
      </c>
      <c r="M217">
        <v>5.67</v>
      </c>
      <c r="N217">
        <v>86.45</v>
      </c>
      <c r="O217">
        <v>15653</v>
      </c>
      <c r="P217">
        <v>80.819999999999993</v>
      </c>
      <c r="Q217">
        <v>75.400000000000006</v>
      </c>
      <c r="R217">
        <v>44.59</v>
      </c>
      <c r="S217">
        <v>123.41</v>
      </c>
      <c r="T217">
        <v>2440</v>
      </c>
      <c r="U217">
        <v>104.77</v>
      </c>
      <c r="V217">
        <v>2249</v>
      </c>
      <c r="W217">
        <v>276.35000000000002</v>
      </c>
      <c r="X217">
        <v>37</v>
      </c>
      <c r="Y217">
        <v>0</v>
      </c>
      <c r="Z217">
        <v>133</v>
      </c>
      <c r="AA217">
        <v>6</v>
      </c>
      <c r="AB217">
        <v>11</v>
      </c>
      <c r="AC217">
        <v>4</v>
      </c>
      <c r="AD217">
        <v>17797</v>
      </c>
      <c r="AE217">
        <v>31</v>
      </c>
      <c r="AF217">
        <v>658</v>
      </c>
      <c r="AG217">
        <v>689</v>
      </c>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row>
    <row r="218" spans="1:159" ht="14.5" x14ac:dyDescent="0.35">
      <c r="A218" t="s">
        <v>490</v>
      </c>
      <c r="B218" t="s">
        <v>491</v>
      </c>
      <c r="C218">
        <v>2541</v>
      </c>
      <c r="D218">
        <v>0</v>
      </c>
      <c r="E218">
        <v>50</v>
      </c>
      <c r="F218">
        <v>698</v>
      </c>
      <c r="G218">
        <v>352</v>
      </c>
      <c r="H218">
        <v>3641</v>
      </c>
      <c r="I218">
        <v>3289</v>
      </c>
      <c r="J218">
        <v>7</v>
      </c>
      <c r="K218">
        <v>106.41</v>
      </c>
      <c r="L218">
        <v>106.51</v>
      </c>
      <c r="M218">
        <v>9.51</v>
      </c>
      <c r="N218">
        <v>111.51</v>
      </c>
      <c r="O218">
        <v>1758</v>
      </c>
      <c r="P218">
        <v>92.92</v>
      </c>
      <c r="Q218">
        <v>90.58</v>
      </c>
      <c r="R218">
        <v>47.7</v>
      </c>
      <c r="S218">
        <v>140.56</v>
      </c>
      <c r="T218">
        <v>745</v>
      </c>
      <c r="U218">
        <v>159.6</v>
      </c>
      <c r="V218">
        <v>781</v>
      </c>
      <c r="W218">
        <v>0</v>
      </c>
      <c r="X218">
        <v>0</v>
      </c>
      <c r="Y218">
        <v>0</v>
      </c>
      <c r="Z218">
        <v>2</v>
      </c>
      <c r="AA218">
        <v>0</v>
      </c>
      <c r="AB218">
        <v>30</v>
      </c>
      <c r="AC218">
        <v>5</v>
      </c>
      <c r="AD218">
        <v>2541</v>
      </c>
      <c r="AE218">
        <v>18</v>
      </c>
      <c r="AF218">
        <v>16</v>
      </c>
      <c r="AG218">
        <v>34</v>
      </c>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row>
    <row r="219" spans="1:159" ht="14.5" x14ac:dyDescent="0.35">
      <c r="A219" t="s">
        <v>492</v>
      </c>
      <c r="B219" t="s">
        <v>493</v>
      </c>
      <c r="C219">
        <v>4189</v>
      </c>
      <c r="D219">
        <v>0</v>
      </c>
      <c r="E219">
        <v>98</v>
      </c>
      <c r="F219">
        <v>378</v>
      </c>
      <c r="G219">
        <v>31</v>
      </c>
      <c r="H219">
        <v>4696</v>
      </c>
      <c r="I219">
        <v>4665</v>
      </c>
      <c r="J219">
        <v>2</v>
      </c>
      <c r="K219">
        <v>78.739999999999995</v>
      </c>
      <c r="L219">
        <v>76.180000000000007</v>
      </c>
      <c r="M219">
        <v>5.49</v>
      </c>
      <c r="N219">
        <v>79.31</v>
      </c>
      <c r="O219">
        <v>3596</v>
      </c>
      <c r="P219">
        <v>92.1</v>
      </c>
      <c r="Q219">
        <v>82.34</v>
      </c>
      <c r="R219">
        <v>39.4</v>
      </c>
      <c r="S219">
        <v>129.13</v>
      </c>
      <c r="T219">
        <v>416</v>
      </c>
      <c r="U219">
        <v>101.67</v>
      </c>
      <c r="V219">
        <v>584</v>
      </c>
      <c r="W219">
        <v>0</v>
      </c>
      <c r="X219">
        <v>0</v>
      </c>
      <c r="Y219">
        <v>0</v>
      </c>
      <c r="Z219">
        <v>12</v>
      </c>
      <c r="AA219">
        <v>2</v>
      </c>
      <c r="AB219">
        <v>0</v>
      </c>
      <c r="AC219">
        <v>3</v>
      </c>
      <c r="AD219">
        <v>4184</v>
      </c>
      <c r="AE219">
        <v>31</v>
      </c>
      <c r="AF219">
        <v>33</v>
      </c>
      <c r="AG219">
        <v>64</v>
      </c>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row>
    <row r="220" spans="1:159" ht="14.5" x14ac:dyDescent="0.35">
      <c r="A220" t="s">
        <v>494</v>
      </c>
      <c r="B220" t="s">
        <v>495</v>
      </c>
      <c r="C220">
        <v>3787</v>
      </c>
      <c r="D220">
        <v>0</v>
      </c>
      <c r="E220">
        <v>76</v>
      </c>
      <c r="F220">
        <v>685</v>
      </c>
      <c r="G220">
        <v>438</v>
      </c>
      <c r="H220">
        <v>4986</v>
      </c>
      <c r="I220">
        <v>4548</v>
      </c>
      <c r="J220">
        <v>87</v>
      </c>
      <c r="K220">
        <v>101.89</v>
      </c>
      <c r="L220">
        <v>101.4</v>
      </c>
      <c r="M220">
        <v>3.57</v>
      </c>
      <c r="N220">
        <v>104.83</v>
      </c>
      <c r="O220">
        <v>3136</v>
      </c>
      <c r="P220">
        <v>89.55</v>
      </c>
      <c r="Q220">
        <v>83.44</v>
      </c>
      <c r="R220">
        <v>49.2</v>
      </c>
      <c r="S220">
        <v>136.6</v>
      </c>
      <c r="T220">
        <v>621</v>
      </c>
      <c r="U220">
        <v>133.81</v>
      </c>
      <c r="V220">
        <v>647</v>
      </c>
      <c r="W220">
        <v>102.62</v>
      </c>
      <c r="X220">
        <v>5</v>
      </c>
      <c r="Y220">
        <v>347</v>
      </c>
      <c r="Z220">
        <v>1</v>
      </c>
      <c r="AA220">
        <v>7</v>
      </c>
      <c r="AB220">
        <v>68</v>
      </c>
      <c r="AC220">
        <v>4</v>
      </c>
      <c r="AD220">
        <v>3787</v>
      </c>
      <c r="AE220">
        <v>4</v>
      </c>
      <c r="AF220">
        <v>7</v>
      </c>
      <c r="AG220">
        <v>11</v>
      </c>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row>
    <row r="221" spans="1:159" ht="14.5" x14ac:dyDescent="0.35">
      <c r="A221" t="s">
        <v>496</v>
      </c>
      <c r="B221" t="s">
        <v>497</v>
      </c>
      <c r="C221">
        <v>3629</v>
      </c>
      <c r="D221">
        <v>0</v>
      </c>
      <c r="E221">
        <v>492</v>
      </c>
      <c r="F221">
        <v>871</v>
      </c>
      <c r="G221">
        <v>356</v>
      </c>
      <c r="H221">
        <v>5348</v>
      </c>
      <c r="I221">
        <v>4992</v>
      </c>
      <c r="J221">
        <v>9</v>
      </c>
      <c r="K221">
        <v>87.38</v>
      </c>
      <c r="L221">
        <v>84.38</v>
      </c>
      <c r="M221">
        <v>8.25</v>
      </c>
      <c r="N221">
        <v>91.86</v>
      </c>
      <c r="O221">
        <v>2785</v>
      </c>
      <c r="P221">
        <v>98.88</v>
      </c>
      <c r="Q221">
        <v>77.66</v>
      </c>
      <c r="R221">
        <v>45.36</v>
      </c>
      <c r="S221">
        <v>141.58000000000001</v>
      </c>
      <c r="T221">
        <v>1284</v>
      </c>
      <c r="U221">
        <v>106.87</v>
      </c>
      <c r="V221">
        <v>751</v>
      </c>
      <c r="W221">
        <v>184.62</v>
      </c>
      <c r="X221">
        <v>51</v>
      </c>
      <c r="Y221">
        <v>0</v>
      </c>
      <c r="Z221">
        <v>2</v>
      </c>
      <c r="AA221">
        <v>11</v>
      </c>
      <c r="AB221">
        <v>0</v>
      </c>
      <c r="AC221">
        <v>5</v>
      </c>
      <c r="AD221">
        <v>3574</v>
      </c>
      <c r="AE221">
        <v>58</v>
      </c>
      <c r="AF221">
        <v>16</v>
      </c>
      <c r="AG221">
        <v>74</v>
      </c>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row>
    <row r="222" spans="1:159" ht="14.5" x14ac:dyDescent="0.35">
      <c r="A222" t="s">
        <v>498</v>
      </c>
      <c r="B222" t="s">
        <v>499</v>
      </c>
      <c r="C222">
        <v>2825</v>
      </c>
      <c r="D222">
        <v>0</v>
      </c>
      <c r="E222">
        <v>37</v>
      </c>
      <c r="F222">
        <v>241</v>
      </c>
      <c r="G222">
        <v>762</v>
      </c>
      <c r="H222">
        <v>3865</v>
      </c>
      <c r="I222">
        <v>3103</v>
      </c>
      <c r="J222">
        <v>15</v>
      </c>
      <c r="K222">
        <v>106.61</v>
      </c>
      <c r="L222">
        <v>104.7</v>
      </c>
      <c r="M222">
        <v>6.84</v>
      </c>
      <c r="N222">
        <v>111.83</v>
      </c>
      <c r="O222">
        <v>2379</v>
      </c>
      <c r="P222">
        <v>106.85</v>
      </c>
      <c r="Q222">
        <v>96.3</v>
      </c>
      <c r="R222">
        <v>50.47</v>
      </c>
      <c r="S222">
        <v>156.44</v>
      </c>
      <c r="T222">
        <v>231</v>
      </c>
      <c r="U222">
        <v>141.36000000000001</v>
      </c>
      <c r="V222">
        <v>415</v>
      </c>
      <c r="W222">
        <v>0</v>
      </c>
      <c r="X222">
        <v>0</v>
      </c>
      <c r="Y222">
        <v>0</v>
      </c>
      <c r="Z222">
        <v>1</v>
      </c>
      <c r="AA222">
        <v>2</v>
      </c>
      <c r="AB222">
        <v>39</v>
      </c>
      <c r="AC222">
        <v>13</v>
      </c>
      <c r="AD222">
        <v>2776</v>
      </c>
      <c r="AE222">
        <v>17</v>
      </c>
      <c r="AF222">
        <v>44</v>
      </c>
      <c r="AG222">
        <v>61</v>
      </c>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row>
    <row r="223" spans="1:159" ht="14.5" x14ac:dyDescent="0.35">
      <c r="A223" t="s">
        <v>500</v>
      </c>
      <c r="B223" t="s">
        <v>501</v>
      </c>
      <c r="C223">
        <v>1431</v>
      </c>
      <c r="D223">
        <v>288</v>
      </c>
      <c r="E223">
        <v>90</v>
      </c>
      <c r="F223">
        <v>286</v>
      </c>
      <c r="G223">
        <v>418</v>
      </c>
      <c r="H223">
        <v>2513</v>
      </c>
      <c r="I223">
        <v>2095</v>
      </c>
      <c r="J223">
        <v>13</v>
      </c>
      <c r="K223">
        <v>128.41</v>
      </c>
      <c r="L223">
        <v>125.41</v>
      </c>
      <c r="M223">
        <v>12.41</v>
      </c>
      <c r="N223">
        <v>138.85</v>
      </c>
      <c r="O223">
        <v>860</v>
      </c>
      <c r="P223">
        <v>121.19</v>
      </c>
      <c r="Q223">
        <v>111.58</v>
      </c>
      <c r="R223">
        <v>30.32</v>
      </c>
      <c r="S223">
        <v>150.72999999999999</v>
      </c>
      <c r="T223">
        <v>311</v>
      </c>
      <c r="U223">
        <v>222.8</v>
      </c>
      <c r="V223">
        <v>367</v>
      </c>
      <c r="W223">
        <v>169.87</v>
      </c>
      <c r="X223">
        <v>39</v>
      </c>
      <c r="Y223">
        <v>48</v>
      </c>
      <c r="Z223">
        <v>0</v>
      </c>
      <c r="AA223">
        <v>1</v>
      </c>
      <c r="AB223">
        <v>19</v>
      </c>
      <c r="AC223">
        <v>11</v>
      </c>
      <c r="AD223">
        <v>1371</v>
      </c>
      <c r="AE223">
        <v>4</v>
      </c>
      <c r="AF223">
        <v>4</v>
      </c>
      <c r="AG223">
        <v>8</v>
      </c>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row>
    <row r="224" spans="1:159" ht="14.5" x14ac:dyDescent="0.35">
      <c r="A224" t="s">
        <v>502</v>
      </c>
      <c r="B224" t="s">
        <v>503</v>
      </c>
      <c r="C224">
        <v>3300</v>
      </c>
      <c r="D224">
        <v>0</v>
      </c>
      <c r="E224">
        <v>115</v>
      </c>
      <c r="F224">
        <v>1387</v>
      </c>
      <c r="G224">
        <v>684</v>
      </c>
      <c r="H224">
        <v>5486</v>
      </c>
      <c r="I224">
        <v>4802</v>
      </c>
      <c r="J224">
        <v>5</v>
      </c>
      <c r="K224">
        <v>102.91</v>
      </c>
      <c r="L224">
        <v>102.92</v>
      </c>
      <c r="M224">
        <v>5.0599999999999996</v>
      </c>
      <c r="N224">
        <v>105.04</v>
      </c>
      <c r="O224">
        <v>2764</v>
      </c>
      <c r="P224">
        <v>101.13</v>
      </c>
      <c r="Q224">
        <v>90.29</v>
      </c>
      <c r="R224">
        <v>22.59</v>
      </c>
      <c r="S224">
        <v>123.33</v>
      </c>
      <c r="T224">
        <v>1473</v>
      </c>
      <c r="U224">
        <v>126.54</v>
      </c>
      <c r="V224">
        <v>515</v>
      </c>
      <c r="W224">
        <v>130.38</v>
      </c>
      <c r="X224">
        <v>9</v>
      </c>
      <c r="Y224">
        <v>22</v>
      </c>
      <c r="Z224">
        <v>3</v>
      </c>
      <c r="AA224">
        <v>3</v>
      </c>
      <c r="AB224">
        <v>120</v>
      </c>
      <c r="AC224">
        <v>24</v>
      </c>
      <c r="AD224">
        <v>3278</v>
      </c>
      <c r="AE224">
        <v>42</v>
      </c>
      <c r="AF224">
        <v>8</v>
      </c>
      <c r="AG224">
        <v>50</v>
      </c>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row>
    <row r="225" spans="1:159" ht="14.5" x14ac:dyDescent="0.35">
      <c r="A225" t="s">
        <v>504</v>
      </c>
      <c r="B225" t="s">
        <v>505</v>
      </c>
      <c r="C225">
        <v>5846</v>
      </c>
      <c r="D225">
        <v>5</v>
      </c>
      <c r="E225">
        <v>235</v>
      </c>
      <c r="F225">
        <v>648</v>
      </c>
      <c r="G225">
        <v>643</v>
      </c>
      <c r="H225">
        <v>7377</v>
      </c>
      <c r="I225">
        <v>6734</v>
      </c>
      <c r="J225">
        <v>34</v>
      </c>
      <c r="K225">
        <v>118.42</v>
      </c>
      <c r="L225">
        <v>114.05</v>
      </c>
      <c r="M225">
        <v>10.41</v>
      </c>
      <c r="N225">
        <v>124.14</v>
      </c>
      <c r="O225">
        <v>4487</v>
      </c>
      <c r="P225">
        <v>101.99</v>
      </c>
      <c r="Q225">
        <v>93.58</v>
      </c>
      <c r="R225">
        <v>52.51</v>
      </c>
      <c r="S225">
        <v>154.25</v>
      </c>
      <c r="T225">
        <v>836</v>
      </c>
      <c r="U225">
        <v>170.53</v>
      </c>
      <c r="V225">
        <v>1189</v>
      </c>
      <c r="W225">
        <v>133.16</v>
      </c>
      <c r="X225">
        <v>38</v>
      </c>
      <c r="Y225">
        <v>163</v>
      </c>
      <c r="Z225">
        <v>3</v>
      </c>
      <c r="AA225">
        <v>1</v>
      </c>
      <c r="AB225">
        <v>65</v>
      </c>
      <c r="AC225">
        <v>18</v>
      </c>
      <c r="AD225">
        <v>5485</v>
      </c>
      <c r="AE225">
        <v>42</v>
      </c>
      <c r="AF225">
        <v>53</v>
      </c>
      <c r="AG225">
        <v>95</v>
      </c>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row>
    <row r="226" spans="1:159" ht="14.5" x14ac:dyDescent="0.35">
      <c r="A226" t="s">
        <v>506</v>
      </c>
      <c r="B226" t="s">
        <v>507</v>
      </c>
      <c r="C226">
        <v>1525</v>
      </c>
      <c r="D226">
        <v>0</v>
      </c>
      <c r="E226">
        <v>40</v>
      </c>
      <c r="F226">
        <v>267</v>
      </c>
      <c r="G226">
        <v>207</v>
      </c>
      <c r="H226">
        <v>2039</v>
      </c>
      <c r="I226">
        <v>1832</v>
      </c>
      <c r="J226">
        <v>5</v>
      </c>
      <c r="K226">
        <v>96.73</v>
      </c>
      <c r="L226">
        <v>99.64</v>
      </c>
      <c r="M226">
        <v>7.43</v>
      </c>
      <c r="N226">
        <v>99.96</v>
      </c>
      <c r="O226">
        <v>1261</v>
      </c>
      <c r="P226">
        <v>94.99</v>
      </c>
      <c r="Q226">
        <v>85.32</v>
      </c>
      <c r="R226">
        <v>41</v>
      </c>
      <c r="S226">
        <v>130.77000000000001</v>
      </c>
      <c r="T226">
        <v>204</v>
      </c>
      <c r="U226">
        <v>122.28</v>
      </c>
      <c r="V226">
        <v>233</v>
      </c>
      <c r="W226">
        <v>0</v>
      </c>
      <c r="X226">
        <v>0</v>
      </c>
      <c r="Y226">
        <v>0</v>
      </c>
      <c r="Z226">
        <v>4</v>
      </c>
      <c r="AA226">
        <v>0</v>
      </c>
      <c r="AB226">
        <v>1</v>
      </c>
      <c r="AC226">
        <v>4</v>
      </c>
      <c r="AD226">
        <v>1512</v>
      </c>
      <c r="AE226">
        <v>3</v>
      </c>
      <c r="AF226">
        <v>34</v>
      </c>
      <c r="AG226">
        <v>37</v>
      </c>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row>
    <row r="227" spans="1:159" ht="14.5" x14ac:dyDescent="0.35">
      <c r="A227" t="s">
        <v>508</v>
      </c>
      <c r="B227" t="s">
        <v>509</v>
      </c>
      <c r="C227">
        <v>3286</v>
      </c>
      <c r="D227">
        <v>7</v>
      </c>
      <c r="E227">
        <v>30</v>
      </c>
      <c r="F227">
        <v>145</v>
      </c>
      <c r="G227">
        <v>185</v>
      </c>
      <c r="H227">
        <v>3653</v>
      </c>
      <c r="I227">
        <v>3468</v>
      </c>
      <c r="J227">
        <v>2</v>
      </c>
      <c r="K227">
        <v>95.96</v>
      </c>
      <c r="L227">
        <v>92.07</v>
      </c>
      <c r="M227">
        <v>4.25</v>
      </c>
      <c r="N227">
        <v>97.68</v>
      </c>
      <c r="O227">
        <v>2035</v>
      </c>
      <c r="P227">
        <v>87.81</v>
      </c>
      <c r="Q227">
        <v>83.89</v>
      </c>
      <c r="R227">
        <v>51.64</v>
      </c>
      <c r="S227">
        <v>138.81</v>
      </c>
      <c r="T227">
        <v>161</v>
      </c>
      <c r="U227">
        <v>108.7</v>
      </c>
      <c r="V227">
        <v>1184</v>
      </c>
      <c r="W227">
        <v>0</v>
      </c>
      <c r="X227">
        <v>0</v>
      </c>
      <c r="Y227">
        <v>0</v>
      </c>
      <c r="Z227">
        <v>2</v>
      </c>
      <c r="AA227">
        <v>3</v>
      </c>
      <c r="AB227">
        <v>39</v>
      </c>
      <c r="AC227">
        <v>2</v>
      </c>
      <c r="AD227">
        <v>3274</v>
      </c>
      <c r="AE227">
        <v>37</v>
      </c>
      <c r="AF227">
        <v>13</v>
      </c>
      <c r="AG227">
        <v>50</v>
      </c>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row>
    <row r="228" spans="1:159" ht="14.5" x14ac:dyDescent="0.35">
      <c r="A228" t="s">
        <v>510</v>
      </c>
      <c r="B228" t="s">
        <v>511</v>
      </c>
      <c r="C228">
        <v>26633</v>
      </c>
      <c r="D228">
        <v>14</v>
      </c>
      <c r="E228">
        <v>1777</v>
      </c>
      <c r="F228">
        <v>1343</v>
      </c>
      <c r="G228">
        <v>503</v>
      </c>
      <c r="H228">
        <v>30270</v>
      </c>
      <c r="I228">
        <v>29767</v>
      </c>
      <c r="J228">
        <v>41</v>
      </c>
      <c r="K228">
        <v>83.55</v>
      </c>
      <c r="L228">
        <v>83.46</v>
      </c>
      <c r="M228">
        <v>9.52</v>
      </c>
      <c r="N228">
        <v>88</v>
      </c>
      <c r="O228">
        <v>23956</v>
      </c>
      <c r="P228">
        <v>86.41</v>
      </c>
      <c r="Q228">
        <v>79.010000000000005</v>
      </c>
      <c r="R228">
        <v>39.369999999999997</v>
      </c>
      <c r="S228">
        <v>123.96</v>
      </c>
      <c r="T228">
        <v>2710</v>
      </c>
      <c r="U228">
        <v>118.16</v>
      </c>
      <c r="V228">
        <v>2362</v>
      </c>
      <c r="W228">
        <v>206.16</v>
      </c>
      <c r="X228">
        <v>101</v>
      </c>
      <c r="Y228">
        <v>0</v>
      </c>
      <c r="Z228">
        <v>140</v>
      </c>
      <c r="AA228">
        <v>13</v>
      </c>
      <c r="AB228">
        <v>14</v>
      </c>
      <c r="AC228">
        <v>17</v>
      </c>
      <c r="AD228">
        <v>26532</v>
      </c>
      <c r="AE228">
        <v>87</v>
      </c>
      <c r="AF228">
        <v>145</v>
      </c>
      <c r="AG228">
        <v>232</v>
      </c>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row>
    <row r="229" spans="1:159" ht="14.5" x14ac:dyDescent="0.35">
      <c r="A229" t="s">
        <v>512</v>
      </c>
      <c r="B229" t="s">
        <v>513</v>
      </c>
      <c r="C229">
        <v>6031</v>
      </c>
      <c r="D229">
        <v>56</v>
      </c>
      <c r="E229">
        <v>447</v>
      </c>
      <c r="F229">
        <v>1041</v>
      </c>
      <c r="G229">
        <v>570</v>
      </c>
      <c r="H229">
        <v>8145</v>
      </c>
      <c r="I229">
        <v>7575</v>
      </c>
      <c r="J229">
        <v>66</v>
      </c>
      <c r="K229">
        <v>95.09</v>
      </c>
      <c r="L229">
        <v>93.08</v>
      </c>
      <c r="M229">
        <v>8.1300000000000008</v>
      </c>
      <c r="N229">
        <v>101.46</v>
      </c>
      <c r="O229">
        <v>4466</v>
      </c>
      <c r="P229">
        <v>104.9</v>
      </c>
      <c r="Q229">
        <v>92.37</v>
      </c>
      <c r="R229">
        <v>55.57</v>
      </c>
      <c r="S229">
        <v>157.88999999999999</v>
      </c>
      <c r="T229">
        <v>1252</v>
      </c>
      <c r="U229">
        <v>120.97</v>
      </c>
      <c r="V229">
        <v>1063</v>
      </c>
      <c r="W229">
        <v>248.72</v>
      </c>
      <c r="X229">
        <v>102</v>
      </c>
      <c r="Y229">
        <v>0</v>
      </c>
      <c r="Z229">
        <v>4</v>
      </c>
      <c r="AA229">
        <v>20</v>
      </c>
      <c r="AB229">
        <v>5</v>
      </c>
      <c r="AC229">
        <v>14</v>
      </c>
      <c r="AD229">
        <v>5802</v>
      </c>
      <c r="AE229">
        <v>22</v>
      </c>
      <c r="AF229">
        <v>14</v>
      </c>
      <c r="AG229">
        <v>36</v>
      </c>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row>
    <row r="230" spans="1:159" ht="14.5" x14ac:dyDescent="0.35">
      <c r="A230" t="s">
        <v>514</v>
      </c>
      <c r="B230" t="s">
        <v>515</v>
      </c>
      <c r="C230">
        <v>6282</v>
      </c>
      <c r="D230">
        <v>0</v>
      </c>
      <c r="E230">
        <v>136</v>
      </c>
      <c r="F230">
        <v>746</v>
      </c>
      <c r="G230">
        <v>539</v>
      </c>
      <c r="H230">
        <v>7703</v>
      </c>
      <c r="I230">
        <v>7164</v>
      </c>
      <c r="J230">
        <v>40</v>
      </c>
      <c r="K230">
        <v>89.64</v>
      </c>
      <c r="L230">
        <v>88.98</v>
      </c>
      <c r="M230">
        <v>4.2699999999999996</v>
      </c>
      <c r="N230">
        <v>91.44</v>
      </c>
      <c r="O230">
        <v>5380</v>
      </c>
      <c r="P230">
        <v>96.55</v>
      </c>
      <c r="Q230">
        <v>89.61</v>
      </c>
      <c r="R230">
        <v>40.369999999999997</v>
      </c>
      <c r="S230">
        <v>136.38999999999999</v>
      </c>
      <c r="T230">
        <v>691</v>
      </c>
      <c r="U230">
        <v>111.98</v>
      </c>
      <c r="V230">
        <v>878</v>
      </c>
      <c r="W230">
        <v>228.42</v>
      </c>
      <c r="X230">
        <v>151</v>
      </c>
      <c r="Y230">
        <v>14</v>
      </c>
      <c r="Z230">
        <v>10</v>
      </c>
      <c r="AA230">
        <v>0</v>
      </c>
      <c r="AB230">
        <v>39</v>
      </c>
      <c r="AC230">
        <v>26</v>
      </c>
      <c r="AD230">
        <v>6282</v>
      </c>
      <c r="AE230">
        <v>36</v>
      </c>
      <c r="AF230">
        <v>58</v>
      </c>
      <c r="AG230">
        <v>94</v>
      </c>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row>
    <row r="231" spans="1:159" ht="14.5" x14ac:dyDescent="0.35">
      <c r="A231" t="s">
        <v>516</v>
      </c>
      <c r="B231" t="s">
        <v>517</v>
      </c>
      <c r="C231">
        <v>3097</v>
      </c>
      <c r="D231">
        <v>0</v>
      </c>
      <c r="E231">
        <v>334</v>
      </c>
      <c r="F231">
        <v>101</v>
      </c>
      <c r="G231">
        <v>451</v>
      </c>
      <c r="H231">
        <v>3983</v>
      </c>
      <c r="I231">
        <v>3532</v>
      </c>
      <c r="J231">
        <v>0</v>
      </c>
      <c r="K231">
        <v>98.38</v>
      </c>
      <c r="L231">
        <v>95.45</v>
      </c>
      <c r="M231">
        <v>4.8600000000000003</v>
      </c>
      <c r="N231">
        <v>102.48</v>
      </c>
      <c r="O231">
        <v>1659</v>
      </c>
      <c r="P231">
        <v>109.83</v>
      </c>
      <c r="Q231">
        <v>82.41</v>
      </c>
      <c r="R231">
        <v>53.26</v>
      </c>
      <c r="S231">
        <v>163.1</v>
      </c>
      <c r="T231">
        <v>240</v>
      </c>
      <c r="U231">
        <v>129.58000000000001</v>
      </c>
      <c r="V231">
        <v>793</v>
      </c>
      <c r="W231">
        <v>0</v>
      </c>
      <c r="X231">
        <v>0</v>
      </c>
      <c r="Y231">
        <v>0</v>
      </c>
      <c r="Z231">
        <v>3</v>
      </c>
      <c r="AA231">
        <v>0</v>
      </c>
      <c r="AB231">
        <v>28</v>
      </c>
      <c r="AC231">
        <v>6</v>
      </c>
      <c r="AD231">
        <v>2415</v>
      </c>
      <c r="AE231">
        <v>17</v>
      </c>
      <c r="AF231">
        <v>9</v>
      </c>
      <c r="AG231">
        <v>26</v>
      </c>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row>
    <row r="232" spans="1:159" ht="14.5" x14ac:dyDescent="0.35">
      <c r="A232" t="s">
        <v>518</v>
      </c>
      <c r="B232" t="s">
        <v>519</v>
      </c>
      <c r="C232">
        <v>15570</v>
      </c>
      <c r="D232">
        <v>0</v>
      </c>
      <c r="E232">
        <v>1658</v>
      </c>
      <c r="F232">
        <v>1620</v>
      </c>
      <c r="G232">
        <v>866</v>
      </c>
      <c r="H232">
        <v>19714</v>
      </c>
      <c r="I232">
        <v>18848</v>
      </c>
      <c r="J232">
        <v>4</v>
      </c>
      <c r="K232">
        <v>92.21</v>
      </c>
      <c r="L232">
        <v>90</v>
      </c>
      <c r="M232">
        <v>12.16</v>
      </c>
      <c r="N232">
        <v>96.61</v>
      </c>
      <c r="O232">
        <v>13528</v>
      </c>
      <c r="P232">
        <v>85.88</v>
      </c>
      <c r="Q232">
        <v>80.42</v>
      </c>
      <c r="R232">
        <v>37.65</v>
      </c>
      <c r="S232">
        <v>122.03</v>
      </c>
      <c r="T232">
        <v>2925</v>
      </c>
      <c r="U232">
        <v>112.24</v>
      </c>
      <c r="V232">
        <v>1453</v>
      </c>
      <c r="W232">
        <v>135.21</v>
      </c>
      <c r="X232">
        <v>19</v>
      </c>
      <c r="Y232">
        <v>0</v>
      </c>
      <c r="Z232">
        <v>65</v>
      </c>
      <c r="AA232">
        <v>2</v>
      </c>
      <c r="AB232">
        <v>30</v>
      </c>
      <c r="AC232">
        <v>16</v>
      </c>
      <c r="AD232">
        <v>15162</v>
      </c>
      <c r="AE232">
        <v>49</v>
      </c>
      <c r="AF232">
        <v>133</v>
      </c>
      <c r="AG232">
        <v>182</v>
      </c>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row>
    <row r="233" spans="1:159" ht="14.5" x14ac:dyDescent="0.35">
      <c r="A233" t="s">
        <v>520</v>
      </c>
      <c r="B233" t="s">
        <v>521</v>
      </c>
      <c r="C233">
        <v>1906</v>
      </c>
      <c r="D233">
        <v>0</v>
      </c>
      <c r="E233">
        <v>38</v>
      </c>
      <c r="F233">
        <v>195</v>
      </c>
      <c r="G233">
        <v>503</v>
      </c>
      <c r="H233">
        <v>2642</v>
      </c>
      <c r="I233">
        <v>2139</v>
      </c>
      <c r="J233">
        <v>17</v>
      </c>
      <c r="K233">
        <v>98.97</v>
      </c>
      <c r="L233">
        <v>90.97</v>
      </c>
      <c r="M233">
        <v>6.16</v>
      </c>
      <c r="N233">
        <v>103.12</v>
      </c>
      <c r="O233">
        <v>1102</v>
      </c>
      <c r="P233">
        <v>111.84</v>
      </c>
      <c r="Q233">
        <v>99.05</v>
      </c>
      <c r="R233">
        <v>61.73</v>
      </c>
      <c r="S233">
        <v>173.04</v>
      </c>
      <c r="T233">
        <v>233</v>
      </c>
      <c r="U233">
        <v>121.3</v>
      </c>
      <c r="V233">
        <v>607</v>
      </c>
      <c r="W233">
        <v>0</v>
      </c>
      <c r="X233">
        <v>0</v>
      </c>
      <c r="Y233">
        <v>0</v>
      </c>
      <c r="Z233">
        <v>0</v>
      </c>
      <c r="AA233">
        <v>2</v>
      </c>
      <c r="AB233">
        <v>39</v>
      </c>
      <c r="AC233">
        <v>11</v>
      </c>
      <c r="AD233">
        <v>1886</v>
      </c>
      <c r="AE233">
        <v>10</v>
      </c>
      <c r="AF233">
        <v>5</v>
      </c>
      <c r="AG233">
        <v>15</v>
      </c>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row>
    <row r="234" spans="1:159" ht="14.5" x14ac:dyDescent="0.35">
      <c r="A234" t="s">
        <v>522</v>
      </c>
      <c r="B234" t="s">
        <v>523</v>
      </c>
      <c r="C234">
        <v>5863</v>
      </c>
      <c r="D234">
        <v>0</v>
      </c>
      <c r="E234">
        <v>87</v>
      </c>
      <c r="F234">
        <v>737</v>
      </c>
      <c r="G234">
        <v>992</v>
      </c>
      <c r="H234">
        <v>7679</v>
      </c>
      <c r="I234">
        <v>6687</v>
      </c>
      <c r="J234">
        <v>0</v>
      </c>
      <c r="K234">
        <v>113.28</v>
      </c>
      <c r="L234">
        <v>109.72</v>
      </c>
      <c r="M234">
        <v>4.95</v>
      </c>
      <c r="N234">
        <v>116.51</v>
      </c>
      <c r="O234">
        <v>5501</v>
      </c>
      <c r="P234">
        <v>96.96</v>
      </c>
      <c r="Q234">
        <v>90.72</v>
      </c>
      <c r="R234">
        <v>35.32</v>
      </c>
      <c r="S234">
        <v>131.43</v>
      </c>
      <c r="T234">
        <v>580</v>
      </c>
      <c r="U234">
        <v>172.26</v>
      </c>
      <c r="V234">
        <v>324</v>
      </c>
      <c r="W234">
        <v>141.55000000000001</v>
      </c>
      <c r="X234">
        <v>95</v>
      </c>
      <c r="Y234">
        <v>0</v>
      </c>
      <c r="Z234">
        <v>5</v>
      </c>
      <c r="AA234">
        <v>2</v>
      </c>
      <c r="AB234">
        <v>5</v>
      </c>
      <c r="AC234">
        <v>13</v>
      </c>
      <c r="AD234">
        <v>5847</v>
      </c>
      <c r="AE234">
        <v>42</v>
      </c>
      <c r="AF234">
        <v>46</v>
      </c>
      <c r="AG234">
        <v>88</v>
      </c>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row>
    <row r="235" spans="1:159" ht="14.5" x14ac:dyDescent="0.35">
      <c r="A235" t="s">
        <v>524</v>
      </c>
      <c r="B235" t="s">
        <v>525</v>
      </c>
      <c r="C235">
        <v>15409</v>
      </c>
      <c r="D235">
        <v>2</v>
      </c>
      <c r="E235">
        <v>1403</v>
      </c>
      <c r="F235">
        <v>1121</v>
      </c>
      <c r="G235">
        <v>528</v>
      </c>
      <c r="H235">
        <v>18463</v>
      </c>
      <c r="I235">
        <v>17935</v>
      </c>
      <c r="J235">
        <v>13</v>
      </c>
      <c r="K235">
        <v>85.47</v>
      </c>
      <c r="L235">
        <v>83.85</v>
      </c>
      <c r="M235">
        <v>9.3000000000000007</v>
      </c>
      <c r="N235">
        <v>88.68</v>
      </c>
      <c r="O235">
        <v>12749</v>
      </c>
      <c r="P235">
        <v>92.63</v>
      </c>
      <c r="Q235">
        <v>81.319999999999993</v>
      </c>
      <c r="R235">
        <v>53.61</v>
      </c>
      <c r="S235">
        <v>143.84</v>
      </c>
      <c r="T235">
        <v>2165</v>
      </c>
      <c r="U235">
        <v>106.65</v>
      </c>
      <c r="V235">
        <v>2395</v>
      </c>
      <c r="W235">
        <v>158.27000000000001</v>
      </c>
      <c r="X235">
        <v>20</v>
      </c>
      <c r="Y235">
        <v>0</v>
      </c>
      <c r="Z235">
        <v>45</v>
      </c>
      <c r="AA235">
        <v>25</v>
      </c>
      <c r="AB235">
        <v>76</v>
      </c>
      <c r="AC235">
        <v>13</v>
      </c>
      <c r="AD235">
        <v>15303</v>
      </c>
      <c r="AE235">
        <v>89</v>
      </c>
      <c r="AF235">
        <v>106</v>
      </c>
      <c r="AG235">
        <v>195</v>
      </c>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row>
    <row r="236" spans="1:159" ht="14.5" x14ac:dyDescent="0.35">
      <c r="A236" t="s">
        <v>526</v>
      </c>
      <c r="B236" t="s">
        <v>527</v>
      </c>
      <c r="C236">
        <v>12710</v>
      </c>
      <c r="D236">
        <v>161</v>
      </c>
      <c r="E236">
        <v>479</v>
      </c>
      <c r="F236">
        <v>1743</v>
      </c>
      <c r="G236">
        <v>1059</v>
      </c>
      <c r="H236">
        <v>16152</v>
      </c>
      <c r="I236">
        <v>15093</v>
      </c>
      <c r="J236">
        <v>4</v>
      </c>
      <c r="K236">
        <v>93.98</v>
      </c>
      <c r="L236">
        <v>91.97</v>
      </c>
      <c r="M236">
        <v>3.72</v>
      </c>
      <c r="N236">
        <v>95.98</v>
      </c>
      <c r="O236">
        <v>9936</v>
      </c>
      <c r="P236">
        <v>91.2</v>
      </c>
      <c r="Q236">
        <v>84.26</v>
      </c>
      <c r="R236">
        <v>28.27</v>
      </c>
      <c r="S236">
        <v>119.22</v>
      </c>
      <c r="T236">
        <v>1633</v>
      </c>
      <c r="U236">
        <v>115.27</v>
      </c>
      <c r="V236">
        <v>2068</v>
      </c>
      <c r="W236">
        <v>220.29</v>
      </c>
      <c r="X236">
        <v>482</v>
      </c>
      <c r="Y236">
        <v>0</v>
      </c>
      <c r="Z236">
        <v>15</v>
      </c>
      <c r="AA236">
        <v>10</v>
      </c>
      <c r="AB236">
        <v>77</v>
      </c>
      <c r="AC236">
        <v>27</v>
      </c>
      <c r="AD236">
        <v>12413</v>
      </c>
      <c r="AE236">
        <v>132</v>
      </c>
      <c r="AF236">
        <v>129</v>
      </c>
      <c r="AG236">
        <v>261</v>
      </c>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row>
    <row r="237" spans="1:159" ht="14.5" x14ac:dyDescent="0.35">
      <c r="A237" t="s">
        <v>528</v>
      </c>
      <c r="B237" t="s">
        <v>529</v>
      </c>
      <c r="C237">
        <v>3839</v>
      </c>
      <c r="D237">
        <v>24</v>
      </c>
      <c r="E237">
        <v>348</v>
      </c>
      <c r="F237">
        <v>232</v>
      </c>
      <c r="G237">
        <v>559</v>
      </c>
      <c r="H237">
        <v>5002</v>
      </c>
      <c r="I237">
        <v>4443</v>
      </c>
      <c r="J237">
        <v>6</v>
      </c>
      <c r="K237">
        <v>128.43</v>
      </c>
      <c r="L237">
        <v>126.74</v>
      </c>
      <c r="M237">
        <v>9.2799999999999994</v>
      </c>
      <c r="N237">
        <v>136.13</v>
      </c>
      <c r="O237">
        <v>3444</v>
      </c>
      <c r="P237">
        <v>115.44</v>
      </c>
      <c r="Q237">
        <v>106.27</v>
      </c>
      <c r="R237">
        <v>69.319999999999993</v>
      </c>
      <c r="S237">
        <v>167.02</v>
      </c>
      <c r="T237">
        <v>461</v>
      </c>
      <c r="U237">
        <v>159.43</v>
      </c>
      <c r="V237">
        <v>177</v>
      </c>
      <c r="W237">
        <v>0</v>
      </c>
      <c r="X237">
        <v>0</v>
      </c>
      <c r="Y237">
        <v>0</v>
      </c>
      <c r="Z237">
        <v>6</v>
      </c>
      <c r="AA237">
        <v>0</v>
      </c>
      <c r="AB237">
        <v>0</v>
      </c>
      <c r="AC237">
        <v>15</v>
      </c>
      <c r="AD237">
        <v>3652</v>
      </c>
      <c r="AE237">
        <v>21</v>
      </c>
      <c r="AF237">
        <v>55</v>
      </c>
      <c r="AG237">
        <v>76</v>
      </c>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row>
    <row r="238" spans="1:159" ht="14.5" x14ac:dyDescent="0.35">
      <c r="A238" t="s">
        <v>530</v>
      </c>
      <c r="B238" t="s">
        <v>531</v>
      </c>
      <c r="C238">
        <v>2765</v>
      </c>
      <c r="D238">
        <v>0</v>
      </c>
      <c r="E238">
        <v>181</v>
      </c>
      <c r="F238">
        <v>599</v>
      </c>
      <c r="G238">
        <v>671</v>
      </c>
      <c r="H238">
        <v>4216</v>
      </c>
      <c r="I238">
        <v>3545</v>
      </c>
      <c r="J238">
        <v>3</v>
      </c>
      <c r="K238">
        <v>111.27</v>
      </c>
      <c r="L238">
        <v>109.8</v>
      </c>
      <c r="M238">
        <v>5.84</v>
      </c>
      <c r="N238">
        <v>115.96</v>
      </c>
      <c r="O238">
        <v>2128</v>
      </c>
      <c r="P238">
        <v>104.19</v>
      </c>
      <c r="Q238">
        <v>90.95</v>
      </c>
      <c r="R238">
        <v>67.430000000000007</v>
      </c>
      <c r="S238">
        <v>170.82</v>
      </c>
      <c r="T238">
        <v>420</v>
      </c>
      <c r="U238">
        <v>123.14</v>
      </c>
      <c r="V238">
        <v>572</v>
      </c>
      <c r="W238">
        <v>235.44</v>
      </c>
      <c r="X238">
        <v>38</v>
      </c>
      <c r="Y238">
        <v>64</v>
      </c>
      <c r="Z238">
        <v>4</v>
      </c>
      <c r="AA238">
        <v>0</v>
      </c>
      <c r="AB238">
        <v>40</v>
      </c>
      <c r="AC238">
        <v>19</v>
      </c>
      <c r="AD238">
        <v>2728</v>
      </c>
      <c r="AE238">
        <v>17</v>
      </c>
      <c r="AF238">
        <v>7</v>
      </c>
      <c r="AG238">
        <v>24</v>
      </c>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row>
    <row r="239" spans="1:159" ht="14.5" x14ac:dyDescent="0.35">
      <c r="A239" t="s">
        <v>532</v>
      </c>
      <c r="B239" t="s">
        <v>533</v>
      </c>
      <c r="C239">
        <v>4335</v>
      </c>
      <c r="D239">
        <v>0</v>
      </c>
      <c r="E239">
        <v>459</v>
      </c>
      <c r="F239">
        <v>819</v>
      </c>
      <c r="G239">
        <v>780</v>
      </c>
      <c r="H239">
        <v>6393</v>
      </c>
      <c r="I239">
        <v>5613</v>
      </c>
      <c r="J239">
        <v>1</v>
      </c>
      <c r="K239">
        <v>102.46</v>
      </c>
      <c r="L239">
        <v>100.75</v>
      </c>
      <c r="M239">
        <v>4.9000000000000004</v>
      </c>
      <c r="N239">
        <v>106.56</v>
      </c>
      <c r="O239">
        <v>3490</v>
      </c>
      <c r="P239">
        <v>97.99</v>
      </c>
      <c r="Q239">
        <v>93.38</v>
      </c>
      <c r="R239">
        <v>40.61</v>
      </c>
      <c r="S239">
        <v>137.91999999999999</v>
      </c>
      <c r="T239">
        <v>1020</v>
      </c>
      <c r="U239">
        <v>124.71</v>
      </c>
      <c r="V239">
        <v>404</v>
      </c>
      <c r="W239">
        <v>139.18</v>
      </c>
      <c r="X239">
        <v>78</v>
      </c>
      <c r="Y239">
        <v>0</v>
      </c>
      <c r="Z239">
        <v>3</v>
      </c>
      <c r="AA239">
        <v>8</v>
      </c>
      <c r="AB239">
        <v>106</v>
      </c>
      <c r="AC239">
        <v>17</v>
      </c>
      <c r="AD239">
        <v>3988</v>
      </c>
      <c r="AE239">
        <v>13</v>
      </c>
      <c r="AF239">
        <v>5</v>
      </c>
      <c r="AG239">
        <v>18</v>
      </c>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row>
    <row r="240" spans="1:159" ht="14.5" x14ac:dyDescent="0.35">
      <c r="A240" t="s">
        <v>534</v>
      </c>
      <c r="B240" t="s">
        <v>535</v>
      </c>
      <c r="C240">
        <v>3987</v>
      </c>
      <c r="D240">
        <v>0</v>
      </c>
      <c r="E240">
        <v>367</v>
      </c>
      <c r="F240">
        <v>191</v>
      </c>
      <c r="G240">
        <v>1509</v>
      </c>
      <c r="H240">
        <v>6054</v>
      </c>
      <c r="I240">
        <v>4545</v>
      </c>
      <c r="J240">
        <v>25</v>
      </c>
      <c r="K240">
        <v>119.06</v>
      </c>
      <c r="L240">
        <v>117.03</v>
      </c>
      <c r="M240">
        <v>4.05</v>
      </c>
      <c r="N240">
        <v>122.57</v>
      </c>
      <c r="O240">
        <v>2407</v>
      </c>
      <c r="P240">
        <v>112.37</v>
      </c>
      <c r="Q240">
        <v>106.15</v>
      </c>
      <c r="R240">
        <v>56.76</v>
      </c>
      <c r="S240">
        <v>169.12</v>
      </c>
      <c r="T240">
        <v>246</v>
      </c>
      <c r="U240">
        <v>172.59</v>
      </c>
      <c r="V240">
        <v>1213</v>
      </c>
      <c r="W240">
        <v>194.1</v>
      </c>
      <c r="X240">
        <v>89</v>
      </c>
      <c r="Y240">
        <v>0</v>
      </c>
      <c r="Z240">
        <v>0</v>
      </c>
      <c r="AA240">
        <v>0</v>
      </c>
      <c r="AB240">
        <v>112</v>
      </c>
      <c r="AC240">
        <v>33</v>
      </c>
      <c r="AD240">
        <v>3761</v>
      </c>
      <c r="AE240">
        <v>31</v>
      </c>
      <c r="AF240">
        <v>37</v>
      </c>
      <c r="AG240">
        <v>68</v>
      </c>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row>
    <row r="241" spans="1:159" ht="14.5" x14ac:dyDescent="0.35">
      <c r="A241" t="s">
        <v>536</v>
      </c>
      <c r="B241" t="s">
        <v>537</v>
      </c>
      <c r="C241">
        <v>1953</v>
      </c>
      <c r="D241">
        <v>0</v>
      </c>
      <c r="E241">
        <v>105</v>
      </c>
      <c r="F241">
        <v>116</v>
      </c>
      <c r="G241">
        <v>465</v>
      </c>
      <c r="H241">
        <v>2639</v>
      </c>
      <c r="I241">
        <v>2174</v>
      </c>
      <c r="J241">
        <v>12</v>
      </c>
      <c r="K241">
        <v>100.35</v>
      </c>
      <c r="L241">
        <v>99.78</v>
      </c>
      <c r="M241">
        <v>4.7699999999999996</v>
      </c>
      <c r="N241">
        <v>103.8</v>
      </c>
      <c r="O241">
        <v>1361</v>
      </c>
      <c r="P241">
        <v>124.62</v>
      </c>
      <c r="Q241">
        <v>109.8</v>
      </c>
      <c r="R241">
        <v>75.67</v>
      </c>
      <c r="S241">
        <v>199.48</v>
      </c>
      <c r="T241">
        <v>186</v>
      </c>
      <c r="U241">
        <v>118.73</v>
      </c>
      <c r="V241">
        <v>586</v>
      </c>
      <c r="W241">
        <v>282.63</v>
      </c>
      <c r="X241">
        <v>11</v>
      </c>
      <c r="Y241">
        <v>0</v>
      </c>
      <c r="Z241">
        <v>0</v>
      </c>
      <c r="AA241">
        <v>1</v>
      </c>
      <c r="AB241">
        <v>30</v>
      </c>
      <c r="AC241">
        <v>5</v>
      </c>
      <c r="AD241">
        <v>1940</v>
      </c>
      <c r="AE241">
        <v>44</v>
      </c>
      <c r="AF241">
        <v>2</v>
      </c>
      <c r="AG241">
        <v>46</v>
      </c>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row>
    <row r="242" spans="1:159" ht="14.5" x14ac:dyDescent="0.35">
      <c r="A242" t="s">
        <v>538</v>
      </c>
      <c r="B242" t="s">
        <v>539</v>
      </c>
      <c r="C242">
        <v>12005</v>
      </c>
      <c r="D242">
        <v>0</v>
      </c>
      <c r="E242">
        <v>335</v>
      </c>
      <c r="F242">
        <v>1817</v>
      </c>
      <c r="G242">
        <v>1438</v>
      </c>
      <c r="H242">
        <v>15595</v>
      </c>
      <c r="I242">
        <v>14157</v>
      </c>
      <c r="J242">
        <v>9</v>
      </c>
      <c r="K242">
        <v>108.73</v>
      </c>
      <c r="L242">
        <v>108.53</v>
      </c>
      <c r="M242">
        <v>6.76</v>
      </c>
      <c r="N242">
        <v>112.93</v>
      </c>
      <c r="O242">
        <v>11075</v>
      </c>
      <c r="P242">
        <v>99.14</v>
      </c>
      <c r="Q242">
        <v>92.42</v>
      </c>
      <c r="R242">
        <v>38.880000000000003</v>
      </c>
      <c r="S242">
        <v>135.72999999999999</v>
      </c>
      <c r="T242">
        <v>2017</v>
      </c>
      <c r="U242">
        <v>155.41</v>
      </c>
      <c r="V242">
        <v>646</v>
      </c>
      <c r="W242">
        <v>114.33</v>
      </c>
      <c r="X242">
        <v>1</v>
      </c>
      <c r="Y242">
        <v>0</v>
      </c>
      <c r="Z242">
        <v>19</v>
      </c>
      <c r="AA242">
        <v>15</v>
      </c>
      <c r="AB242">
        <v>203</v>
      </c>
      <c r="AC242">
        <v>21</v>
      </c>
      <c r="AD242">
        <v>11764</v>
      </c>
      <c r="AE242">
        <v>78</v>
      </c>
      <c r="AF242">
        <v>99</v>
      </c>
      <c r="AG242">
        <v>177</v>
      </c>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row>
    <row r="243" spans="1:159" ht="14.5" x14ac:dyDescent="0.35">
      <c r="A243" t="s">
        <v>540</v>
      </c>
      <c r="B243" t="s">
        <v>541</v>
      </c>
      <c r="C243">
        <v>4158</v>
      </c>
      <c r="D243">
        <v>0</v>
      </c>
      <c r="E243">
        <v>99</v>
      </c>
      <c r="F243">
        <v>558</v>
      </c>
      <c r="G243">
        <v>705</v>
      </c>
      <c r="H243">
        <v>5520</v>
      </c>
      <c r="I243">
        <v>4815</v>
      </c>
      <c r="J243">
        <v>0</v>
      </c>
      <c r="K243">
        <v>99.98</v>
      </c>
      <c r="L243">
        <v>96.28</v>
      </c>
      <c r="M243">
        <v>2.65</v>
      </c>
      <c r="N243">
        <v>102.45</v>
      </c>
      <c r="O243">
        <v>3332</v>
      </c>
      <c r="P243">
        <v>88.09</v>
      </c>
      <c r="Q243">
        <v>79.61</v>
      </c>
      <c r="R243">
        <v>37.65</v>
      </c>
      <c r="S243">
        <v>125.3</v>
      </c>
      <c r="T243">
        <v>596</v>
      </c>
      <c r="U243">
        <v>136.24</v>
      </c>
      <c r="V243">
        <v>532</v>
      </c>
      <c r="W243">
        <v>193.54</v>
      </c>
      <c r="X243">
        <v>45</v>
      </c>
      <c r="Y243">
        <v>6</v>
      </c>
      <c r="Z243">
        <v>3</v>
      </c>
      <c r="AA243">
        <v>4</v>
      </c>
      <c r="AB243">
        <v>60</v>
      </c>
      <c r="AC243">
        <v>12</v>
      </c>
      <c r="AD243">
        <v>3921</v>
      </c>
      <c r="AE243">
        <v>15</v>
      </c>
      <c r="AF243">
        <v>66</v>
      </c>
      <c r="AG243">
        <v>81</v>
      </c>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row>
    <row r="244" spans="1:159" ht="14.5" x14ac:dyDescent="0.35">
      <c r="A244" t="s">
        <v>542</v>
      </c>
      <c r="B244" t="s">
        <v>543</v>
      </c>
      <c r="C244">
        <v>1303</v>
      </c>
      <c r="D244">
        <v>0</v>
      </c>
      <c r="E244">
        <v>107</v>
      </c>
      <c r="F244">
        <v>0</v>
      </c>
      <c r="G244">
        <v>515</v>
      </c>
      <c r="H244">
        <v>1925</v>
      </c>
      <c r="I244">
        <v>1410</v>
      </c>
      <c r="J244">
        <v>0</v>
      </c>
      <c r="K244">
        <v>91.29</v>
      </c>
      <c r="L244">
        <v>89.25</v>
      </c>
      <c r="M244">
        <v>4.75</v>
      </c>
      <c r="N244">
        <v>95.12</v>
      </c>
      <c r="O244">
        <v>748</v>
      </c>
      <c r="P244">
        <v>140.03</v>
      </c>
      <c r="Q244">
        <v>71.23</v>
      </c>
      <c r="R244">
        <v>104.89</v>
      </c>
      <c r="S244">
        <v>244.92</v>
      </c>
      <c r="T244">
        <v>98</v>
      </c>
      <c r="U244">
        <v>122.55</v>
      </c>
      <c r="V244">
        <v>421</v>
      </c>
      <c r="W244">
        <v>0</v>
      </c>
      <c r="X244">
        <v>0</v>
      </c>
      <c r="Y244">
        <v>0</v>
      </c>
      <c r="Z244">
        <v>0</v>
      </c>
      <c r="AA244">
        <v>0</v>
      </c>
      <c r="AB244">
        <v>49</v>
      </c>
      <c r="AC244">
        <v>1</v>
      </c>
      <c r="AD244">
        <v>1233</v>
      </c>
      <c r="AE244">
        <v>3</v>
      </c>
      <c r="AF244">
        <v>12</v>
      </c>
      <c r="AG244">
        <v>15</v>
      </c>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row>
    <row r="245" spans="1:159" ht="14.5" x14ac:dyDescent="0.35">
      <c r="A245" t="s">
        <v>544</v>
      </c>
      <c r="B245" t="s">
        <v>545</v>
      </c>
      <c r="C245">
        <v>1933</v>
      </c>
      <c r="D245">
        <v>0</v>
      </c>
      <c r="E245">
        <v>133</v>
      </c>
      <c r="F245">
        <v>262</v>
      </c>
      <c r="G245">
        <v>640</v>
      </c>
      <c r="H245">
        <v>2968</v>
      </c>
      <c r="I245">
        <v>2328</v>
      </c>
      <c r="J245">
        <v>4</v>
      </c>
      <c r="K245">
        <v>94.3</v>
      </c>
      <c r="L245">
        <v>92.64</v>
      </c>
      <c r="M245">
        <v>5.64</v>
      </c>
      <c r="N245">
        <v>99.23</v>
      </c>
      <c r="O245">
        <v>1244</v>
      </c>
      <c r="P245">
        <v>102.05</v>
      </c>
      <c r="Q245">
        <v>74.680000000000007</v>
      </c>
      <c r="R245">
        <v>48.73</v>
      </c>
      <c r="S245">
        <v>150.77000000000001</v>
      </c>
      <c r="T245">
        <v>262</v>
      </c>
      <c r="U245">
        <v>119.64</v>
      </c>
      <c r="V245">
        <v>404</v>
      </c>
      <c r="W245">
        <v>0</v>
      </c>
      <c r="X245">
        <v>0</v>
      </c>
      <c r="Y245">
        <v>9</v>
      </c>
      <c r="Z245">
        <v>2</v>
      </c>
      <c r="AA245">
        <v>0</v>
      </c>
      <c r="AB245">
        <v>48</v>
      </c>
      <c r="AC245">
        <v>11</v>
      </c>
      <c r="AD245">
        <v>1854</v>
      </c>
      <c r="AE245">
        <v>7</v>
      </c>
      <c r="AF245">
        <v>29</v>
      </c>
      <c r="AG245">
        <v>36</v>
      </c>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row>
    <row r="246" spans="1:159" ht="14.5" x14ac:dyDescent="0.35">
      <c r="A246" t="s">
        <v>546</v>
      </c>
      <c r="B246" t="s">
        <v>547</v>
      </c>
      <c r="C246">
        <v>4094</v>
      </c>
      <c r="D246">
        <v>0</v>
      </c>
      <c r="E246">
        <v>212</v>
      </c>
      <c r="F246">
        <v>595</v>
      </c>
      <c r="G246">
        <v>319</v>
      </c>
      <c r="H246">
        <v>5220</v>
      </c>
      <c r="I246">
        <v>4901</v>
      </c>
      <c r="J246">
        <v>0</v>
      </c>
      <c r="K246">
        <v>98.67</v>
      </c>
      <c r="L246">
        <v>98</v>
      </c>
      <c r="M246">
        <v>4.1500000000000004</v>
      </c>
      <c r="N246">
        <v>99.95</v>
      </c>
      <c r="O246">
        <v>3475</v>
      </c>
      <c r="P246">
        <v>97.47</v>
      </c>
      <c r="Q246">
        <v>88.47</v>
      </c>
      <c r="R246">
        <v>37.340000000000003</v>
      </c>
      <c r="S246">
        <v>132.96</v>
      </c>
      <c r="T246">
        <v>726</v>
      </c>
      <c r="U246">
        <v>122.53</v>
      </c>
      <c r="V246">
        <v>540</v>
      </c>
      <c r="W246">
        <v>216.87</v>
      </c>
      <c r="X246">
        <v>24</v>
      </c>
      <c r="Y246">
        <v>0</v>
      </c>
      <c r="Z246">
        <v>18</v>
      </c>
      <c r="AA246">
        <v>3</v>
      </c>
      <c r="AB246">
        <v>48</v>
      </c>
      <c r="AC246">
        <v>2</v>
      </c>
      <c r="AD246">
        <v>4008</v>
      </c>
      <c r="AE246">
        <v>25</v>
      </c>
      <c r="AF246">
        <v>32</v>
      </c>
      <c r="AG246">
        <v>57</v>
      </c>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row>
    <row r="247" spans="1:159" ht="14.5" x14ac:dyDescent="0.35">
      <c r="A247" t="s">
        <v>548</v>
      </c>
      <c r="B247" t="s">
        <v>549</v>
      </c>
      <c r="C247">
        <v>6897</v>
      </c>
      <c r="D247">
        <v>0</v>
      </c>
      <c r="E247">
        <v>213</v>
      </c>
      <c r="F247">
        <v>819</v>
      </c>
      <c r="G247">
        <v>835</v>
      </c>
      <c r="H247">
        <v>8764</v>
      </c>
      <c r="I247">
        <v>7929</v>
      </c>
      <c r="J247">
        <v>68</v>
      </c>
      <c r="K247">
        <v>93.98</v>
      </c>
      <c r="L247">
        <v>92.39</v>
      </c>
      <c r="M247">
        <v>6.21</v>
      </c>
      <c r="N247">
        <v>95.84</v>
      </c>
      <c r="O247">
        <v>4405</v>
      </c>
      <c r="P247">
        <v>95</v>
      </c>
      <c r="Q247">
        <v>82.25</v>
      </c>
      <c r="R247">
        <v>46.7</v>
      </c>
      <c r="S247">
        <v>141.65</v>
      </c>
      <c r="T247">
        <v>982</v>
      </c>
      <c r="U247">
        <v>124.74</v>
      </c>
      <c r="V247">
        <v>2222</v>
      </c>
      <c r="W247">
        <v>0</v>
      </c>
      <c r="X247">
        <v>0</v>
      </c>
      <c r="Y247">
        <v>78</v>
      </c>
      <c r="Z247">
        <v>6</v>
      </c>
      <c r="AA247">
        <v>10</v>
      </c>
      <c r="AB247">
        <v>55</v>
      </c>
      <c r="AC247">
        <v>15</v>
      </c>
      <c r="AD247">
        <v>6892</v>
      </c>
      <c r="AE247">
        <v>74</v>
      </c>
      <c r="AF247">
        <v>16</v>
      </c>
      <c r="AG247">
        <v>90</v>
      </c>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row>
    <row r="248" spans="1:159" ht="14.5" x14ac:dyDescent="0.35">
      <c r="A248" t="s">
        <v>550</v>
      </c>
      <c r="B248" t="s">
        <v>551</v>
      </c>
      <c r="C248">
        <v>6929</v>
      </c>
      <c r="D248">
        <v>0</v>
      </c>
      <c r="E248">
        <v>288</v>
      </c>
      <c r="F248">
        <v>843</v>
      </c>
      <c r="G248">
        <v>1276</v>
      </c>
      <c r="H248">
        <v>9336</v>
      </c>
      <c r="I248">
        <v>8060</v>
      </c>
      <c r="J248">
        <v>58</v>
      </c>
      <c r="K248">
        <v>119.64</v>
      </c>
      <c r="L248">
        <v>117.41</v>
      </c>
      <c r="M248">
        <v>5.92</v>
      </c>
      <c r="N248">
        <v>121.83</v>
      </c>
      <c r="O248">
        <v>5376</v>
      </c>
      <c r="P248">
        <v>104.44</v>
      </c>
      <c r="Q248">
        <v>98.74</v>
      </c>
      <c r="R248">
        <v>34.5</v>
      </c>
      <c r="S248">
        <v>136.34</v>
      </c>
      <c r="T248">
        <v>917</v>
      </c>
      <c r="U248">
        <v>194.3</v>
      </c>
      <c r="V248">
        <v>1446</v>
      </c>
      <c r="W248">
        <v>173.46</v>
      </c>
      <c r="X248">
        <v>76</v>
      </c>
      <c r="Y248">
        <v>29</v>
      </c>
      <c r="Z248">
        <v>0</v>
      </c>
      <c r="AA248">
        <v>2</v>
      </c>
      <c r="AB248">
        <v>101</v>
      </c>
      <c r="AC248">
        <v>20</v>
      </c>
      <c r="AD248">
        <v>6854</v>
      </c>
      <c r="AE248">
        <v>40</v>
      </c>
      <c r="AF248">
        <v>48</v>
      </c>
      <c r="AG248">
        <v>88</v>
      </c>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row>
    <row r="249" spans="1:159" ht="14.5" x14ac:dyDescent="0.35">
      <c r="A249" t="s">
        <v>552</v>
      </c>
      <c r="B249" t="s">
        <v>553</v>
      </c>
      <c r="C249">
        <v>4091</v>
      </c>
      <c r="D249">
        <v>3</v>
      </c>
      <c r="E249">
        <v>248</v>
      </c>
      <c r="F249">
        <v>1044</v>
      </c>
      <c r="G249">
        <v>326</v>
      </c>
      <c r="H249">
        <v>5712</v>
      </c>
      <c r="I249">
        <v>5386</v>
      </c>
      <c r="J249">
        <v>14</v>
      </c>
      <c r="K249">
        <v>93.06</v>
      </c>
      <c r="L249">
        <v>89.14</v>
      </c>
      <c r="M249">
        <v>2.87</v>
      </c>
      <c r="N249">
        <v>95.82</v>
      </c>
      <c r="O249">
        <v>3569</v>
      </c>
      <c r="P249">
        <v>95.06</v>
      </c>
      <c r="Q249">
        <v>79.86</v>
      </c>
      <c r="R249">
        <v>24.16</v>
      </c>
      <c r="S249">
        <v>118.96</v>
      </c>
      <c r="T249">
        <v>1204</v>
      </c>
      <c r="U249">
        <v>113.2</v>
      </c>
      <c r="V249">
        <v>508</v>
      </c>
      <c r="W249">
        <v>0</v>
      </c>
      <c r="X249">
        <v>0</v>
      </c>
      <c r="Y249">
        <v>0</v>
      </c>
      <c r="Z249">
        <v>4</v>
      </c>
      <c r="AA249">
        <v>1</v>
      </c>
      <c r="AB249">
        <v>33</v>
      </c>
      <c r="AC249">
        <v>13</v>
      </c>
      <c r="AD249">
        <v>4089</v>
      </c>
      <c r="AE249">
        <v>30</v>
      </c>
      <c r="AF249">
        <v>8</v>
      </c>
      <c r="AG249">
        <v>38</v>
      </c>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row>
    <row r="250" spans="1:159" ht="14.5" x14ac:dyDescent="0.35">
      <c r="A250" t="s">
        <v>554</v>
      </c>
      <c r="B250" t="s">
        <v>555</v>
      </c>
      <c r="C250">
        <v>9439</v>
      </c>
      <c r="D250">
        <v>7</v>
      </c>
      <c r="E250">
        <v>361</v>
      </c>
      <c r="F250">
        <v>1698</v>
      </c>
      <c r="G250">
        <v>853</v>
      </c>
      <c r="H250">
        <v>12358</v>
      </c>
      <c r="I250">
        <v>11505</v>
      </c>
      <c r="J250">
        <v>3</v>
      </c>
      <c r="K250">
        <v>98.72</v>
      </c>
      <c r="L250">
        <v>94.58</v>
      </c>
      <c r="M250">
        <v>4.54</v>
      </c>
      <c r="N250">
        <v>100.22</v>
      </c>
      <c r="O250">
        <v>8403</v>
      </c>
      <c r="P250">
        <v>93.29</v>
      </c>
      <c r="Q250">
        <v>82.94</v>
      </c>
      <c r="R250">
        <v>27.29</v>
      </c>
      <c r="S250">
        <v>120.39</v>
      </c>
      <c r="T250">
        <v>1974</v>
      </c>
      <c r="U250">
        <v>129.51</v>
      </c>
      <c r="V250">
        <v>811</v>
      </c>
      <c r="W250">
        <v>159.97</v>
      </c>
      <c r="X250">
        <v>14</v>
      </c>
      <c r="Y250">
        <v>7</v>
      </c>
      <c r="Z250">
        <v>15</v>
      </c>
      <c r="AA250">
        <v>49</v>
      </c>
      <c r="AB250">
        <v>33</v>
      </c>
      <c r="AC250">
        <v>11</v>
      </c>
      <c r="AD250">
        <v>9408</v>
      </c>
      <c r="AE250">
        <v>17</v>
      </c>
      <c r="AF250">
        <v>63</v>
      </c>
      <c r="AG250">
        <v>80</v>
      </c>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row>
    <row r="251" spans="1:159" ht="14.5" x14ac:dyDescent="0.35">
      <c r="A251" t="s">
        <v>556</v>
      </c>
      <c r="B251" t="s">
        <v>557</v>
      </c>
      <c r="C251">
        <v>5899</v>
      </c>
      <c r="D251">
        <v>0</v>
      </c>
      <c r="E251">
        <v>282</v>
      </c>
      <c r="F251">
        <v>684</v>
      </c>
      <c r="G251">
        <v>579</v>
      </c>
      <c r="H251">
        <v>7444</v>
      </c>
      <c r="I251">
        <v>6865</v>
      </c>
      <c r="J251">
        <v>4</v>
      </c>
      <c r="K251">
        <v>94.46</v>
      </c>
      <c r="L251">
        <v>90.81</v>
      </c>
      <c r="M251">
        <v>5.16</v>
      </c>
      <c r="N251">
        <v>96.03</v>
      </c>
      <c r="O251">
        <v>5730</v>
      </c>
      <c r="P251">
        <v>89.28</v>
      </c>
      <c r="Q251">
        <v>81.84</v>
      </c>
      <c r="R251">
        <v>44.52</v>
      </c>
      <c r="S251">
        <v>130.19</v>
      </c>
      <c r="T251">
        <v>813</v>
      </c>
      <c r="U251">
        <v>114.87</v>
      </c>
      <c r="V251">
        <v>127</v>
      </c>
      <c r="W251">
        <v>197.65</v>
      </c>
      <c r="X251">
        <v>139</v>
      </c>
      <c r="Y251">
        <v>0</v>
      </c>
      <c r="Z251">
        <v>6</v>
      </c>
      <c r="AA251">
        <v>2</v>
      </c>
      <c r="AB251">
        <v>154</v>
      </c>
      <c r="AC251">
        <v>10</v>
      </c>
      <c r="AD251">
        <v>5899</v>
      </c>
      <c r="AE251">
        <v>12</v>
      </c>
      <c r="AF251">
        <v>58</v>
      </c>
      <c r="AG251">
        <v>70</v>
      </c>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row>
    <row r="252" spans="1:159" ht="14.5" x14ac:dyDescent="0.35">
      <c r="A252" t="s">
        <v>558</v>
      </c>
      <c r="B252" t="s">
        <v>559</v>
      </c>
      <c r="C252">
        <v>3893</v>
      </c>
      <c r="D252">
        <v>0</v>
      </c>
      <c r="E252">
        <v>367</v>
      </c>
      <c r="F252">
        <v>1003</v>
      </c>
      <c r="G252">
        <v>242</v>
      </c>
      <c r="H252">
        <v>5505</v>
      </c>
      <c r="I252">
        <v>5263</v>
      </c>
      <c r="J252">
        <v>23</v>
      </c>
      <c r="K252">
        <v>85.51</v>
      </c>
      <c r="L252">
        <v>82.28</v>
      </c>
      <c r="M252">
        <v>3.88</v>
      </c>
      <c r="N252">
        <v>87.73</v>
      </c>
      <c r="O252">
        <v>3125</v>
      </c>
      <c r="P252">
        <v>90.82</v>
      </c>
      <c r="Q252">
        <v>79.39</v>
      </c>
      <c r="R252">
        <v>62.08</v>
      </c>
      <c r="S252">
        <v>152.16</v>
      </c>
      <c r="T252">
        <v>928</v>
      </c>
      <c r="U252">
        <v>104.02</v>
      </c>
      <c r="V252">
        <v>679</v>
      </c>
      <c r="W252">
        <v>130.47</v>
      </c>
      <c r="X252">
        <v>322</v>
      </c>
      <c r="Y252">
        <v>0</v>
      </c>
      <c r="Z252">
        <v>3</v>
      </c>
      <c r="AA252">
        <v>0</v>
      </c>
      <c r="AB252">
        <v>18</v>
      </c>
      <c r="AC252">
        <v>1</v>
      </c>
      <c r="AD252">
        <v>3691</v>
      </c>
      <c r="AE252">
        <v>49</v>
      </c>
      <c r="AF252">
        <v>85</v>
      </c>
      <c r="AG252">
        <v>134</v>
      </c>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row>
    <row r="253" spans="1:159" ht="14.5" x14ac:dyDescent="0.35">
      <c r="A253" t="s">
        <v>560</v>
      </c>
      <c r="B253" t="s">
        <v>561</v>
      </c>
      <c r="C253">
        <v>5929</v>
      </c>
      <c r="D253">
        <v>108</v>
      </c>
      <c r="E253">
        <v>854</v>
      </c>
      <c r="F253">
        <v>1088</v>
      </c>
      <c r="G253">
        <v>1212</v>
      </c>
      <c r="H253">
        <v>9191</v>
      </c>
      <c r="I253">
        <v>7979</v>
      </c>
      <c r="J253">
        <v>25</v>
      </c>
      <c r="K253">
        <v>111.79</v>
      </c>
      <c r="L253">
        <v>109.15</v>
      </c>
      <c r="M253">
        <v>8.56</v>
      </c>
      <c r="N253">
        <v>119.29</v>
      </c>
      <c r="O253">
        <v>4674</v>
      </c>
      <c r="P253">
        <v>104.01</v>
      </c>
      <c r="Q253">
        <v>90.56</v>
      </c>
      <c r="R253">
        <v>44.54</v>
      </c>
      <c r="S253">
        <v>148.15</v>
      </c>
      <c r="T253">
        <v>1459</v>
      </c>
      <c r="U253">
        <v>152.44</v>
      </c>
      <c r="V253">
        <v>835</v>
      </c>
      <c r="W253">
        <v>124.56</v>
      </c>
      <c r="X253">
        <v>6</v>
      </c>
      <c r="Y253">
        <v>0</v>
      </c>
      <c r="Z253">
        <v>1</v>
      </c>
      <c r="AA253">
        <v>5</v>
      </c>
      <c r="AB253">
        <v>6</v>
      </c>
      <c r="AC253">
        <v>26</v>
      </c>
      <c r="AD253">
        <v>5770</v>
      </c>
      <c r="AE253">
        <v>19</v>
      </c>
      <c r="AF253">
        <v>38</v>
      </c>
      <c r="AG253">
        <v>57</v>
      </c>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row>
    <row r="254" spans="1:159" ht="14.5" x14ac:dyDescent="0.35">
      <c r="A254" t="s">
        <v>562</v>
      </c>
      <c r="B254" t="s">
        <v>563</v>
      </c>
      <c r="C254">
        <v>2855</v>
      </c>
      <c r="D254">
        <v>0</v>
      </c>
      <c r="E254">
        <v>578</v>
      </c>
      <c r="F254">
        <v>316</v>
      </c>
      <c r="G254">
        <v>476</v>
      </c>
      <c r="H254">
        <v>4225</v>
      </c>
      <c r="I254">
        <v>3749</v>
      </c>
      <c r="J254">
        <v>105</v>
      </c>
      <c r="K254">
        <v>103.67</v>
      </c>
      <c r="L254">
        <v>102</v>
      </c>
      <c r="M254">
        <v>14.47</v>
      </c>
      <c r="N254">
        <v>115.37</v>
      </c>
      <c r="O254">
        <v>2440</v>
      </c>
      <c r="P254">
        <v>97.04</v>
      </c>
      <c r="Q254">
        <v>86.09</v>
      </c>
      <c r="R254">
        <v>73.42</v>
      </c>
      <c r="S254">
        <v>168.54</v>
      </c>
      <c r="T254">
        <v>497</v>
      </c>
      <c r="U254">
        <v>159.22999999999999</v>
      </c>
      <c r="V254">
        <v>374</v>
      </c>
      <c r="W254">
        <v>327.29000000000002</v>
      </c>
      <c r="X254">
        <v>139</v>
      </c>
      <c r="Y254">
        <v>0</v>
      </c>
      <c r="Z254">
        <v>1</v>
      </c>
      <c r="AA254">
        <v>5</v>
      </c>
      <c r="AB254">
        <v>29</v>
      </c>
      <c r="AC254">
        <v>4</v>
      </c>
      <c r="AD254">
        <v>2855</v>
      </c>
      <c r="AE254">
        <v>12</v>
      </c>
      <c r="AF254">
        <v>6</v>
      </c>
      <c r="AG254">
        <v>18</v>
      </c>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row>
    <row r="255" spans="1:159" ht="14.5" x14ac:dyDescent="0.35">
      <c r="A255" t="s">
        <v>564</v>
      </c>
      <c r="B255" t="s">
        <v>565</v>
      </c>
      <c r="C255">
        <v>15218</v>
      </c>
      <c r="D255">
        <v>323</v>
      </c>
      <c r="E255">
        <v>1493</v>
      </c>
      <c r="F255">
        <v>720</v>
      </c>
      <c r="G255">
        <v>2937</v>
      </c>
      <c r="H255">
        <v>20691</v>
      </c>
      <c r="I255">
        <v>17754</v>
      </c>
      <c r="J255">
        <v>224</v>
      </c>
      <c r="K255">
        <v>130.94</v>
      </c>
      <c r="L255">
        <v>133.11000000000001</v>
      </c>
      <c r="M255">
        <v>14.99</v>
      </c>
      <c r="N255">
        <v>143.09</v>
      </c>
      <c r="O255">
        <v>12212</v>
      </c>
      <c r="P255">
        <v>116.17</v>
      </c>
      <c r="Q255">
        <v>108.54</v>
      </c>
      <c r="R255">
        <v>60.35</v>
      </c>
      <c r="S255">
        <v>172.63</v>
      </c>
      <c r="T255">
        <v>1985</v>
      </c>
      <c r="U255">
        <v>209.8</v>
      </c>
      <c r="V255">
        <v>1381</v>
      </c>
      <c r="W255">
        <v>160.68</v>
      </c>
      <c r="X255">
        <v>48</v>
      </c>
      <c r="Y255">
        <v>0</v>
      </c>
      <c r="Z255">
        <v>1</v>
      </c>
      <c r="AA255">
        <v>27</v>
      </c>
      <c r="AB255">
        <v>33</v>
      </c>
      <c r="AC255">
        <v>85</v>
      </c>
      <c r="AD255">
        <v>14341</v>
      </c>
      <c r="AE255">
        <v>152</v>
      </c>
      <c r="AF255">
        <v>98</v>
      </c>
      <c r="AG255">
        <v>250</v>
      </c>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row>
    <row r="256" spans="1:159" ht="14.5" x14ac:dyDescent="0.35">
      <c r="A256" t="s">
        <v>566</v>
      </c>
      <c r="B256" t="s">
        <v>567</v>
      </c>
      <c r="C256">
        <v>4922</v>
      </c>
      <c r="D256">
        <v>0</v>
      </c>
      <c r="E256">
        <v>112</v>
      </c>
      <c r="F256">
        <v>337</v>
      </c>
      <c r="G256">
        <v>789</v>
      </c>
      <c r="H256">
        <v>6160</v>
      </c>
      <c r="I256">
        <v>5371</v>
      </c>
      <c r="J256">
        <v>13</v>
      </c>
      <c r="K256">
        <v>124.16</v>
      </c>
      <c r="L256">
        <v>118.83</v>
      </c>
      <c r="M256">
        <v>6.69</v>
      </c>
      <c r="N256">
        <v>130.05000000000001</v>
      </c>
      <c r="O256">
        <v>4716</v>
      </c>
      <c r="P256">
        <v>117.61</v>
      </c>
      <c r="Q256">
        <v>110.06</v>
      </c>
      <c r="R256">
        <v>79.819999999999993</v>
      </c>
      <c r="S256">
        <v>196.97</v>
      </c>
      <c r="T256">
        <v>345</v>
      </c>
      <c r="U256">
        <v>229.08</v>
      </c>
      <c r="V256">
        <v>187</v>
      </c>
      <c r="W256">
        <v>156.25</v>
      </c>
      <c r="X256">
        <v>11</v>
      </c>
      <c r="Y256">
        <v>35</v>
      </c>
      <c r="Z256">
        <v>2</v>
      </c>
      <c r="AA256">
        <v>0</v>
      </c>
      <c r="AB256">
        <v>145</v>
      </c>
      <c r="AC256">
        <v>19</v>
      </c>
      <c r="AD256">
        <v>4921</v>
      </c>
      <c r="AE256">
        <v>6</v>
      </c>
      <c r="AF256">
        <v>20</v>
      </c>
      <c r="AG256">
        <v>26</v>
      </c>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row>
    <row r="257" spans="1:159" ht="14.5" x14ac:dyDescent="0.35">
      <c r="A257" t="s">
        <v>568</v>
      </c>
      <c r="B257" t="s">
        <v>569</v>
      </c>
      <c r="C257">
        <v>2311</v>
      </c>
      <c r="D257">
        <v>0</v>
      </c>
      <c r="E257">
        <v>288</v>
      </c>
      <c r="F257">
        <v>206</v>
      </c>
      <c r="G257">
        <v>283</v>
      </c>
      <c r="H257">
        <v>3088</v>
      </c>
      <c r="I257">
        <v>2805</v>
      </c>
      <c r="J257">
        <v>6</v>
      </c>
      <c r="K257">
        <v>130.26</v>
      </c>
      <c r="L257">
        <v>126.15</v>
      </c>
      <c r="M257">
        <v>8.34</v>
      </c>
      <c r="N257">
        <v>137.55000000000001</v>
      </c>
      <c r="O257">
        <v>1626</v>
      </c>
      <c r="P257">
        <v>129.21</v>
      </c>
      <c r="Q257">
        <v>111.96</v>
      </c>
      <c r="R257">
        <v>39.76</v>
      </c>
      <c r="S257">
        <v>168.02</v>
      </c>
      <c r="T257">
        <v>418</v>
      </c>
      <c r="U257">
        <v>218.31</v>
      </c>
      <c r="V257">
        <v>417</v>
      </c>
      <c r="W257">
        <v>202.08</v>
      </c>
      <c r="X257">
        <v>16</v>
      </c>
      <c r="Y257">
        <v>0</v>
      </c>
      <c r="Z257">
        <v>0</v>
      </c>
      <c r="AA257">
        <v>0</v>
      </c>
      <c r="AB257">
        <v>23</v>
      </c>
      <c r="AC257">
        <v>17</v>
      </c>
      <c r="AD257">
        <v>2295</v>
      </c>
      <c r="AE257">
        <v>21</v>
      </c>
      <c r="AF257">
        <v>15</v>
      </c>
      <c r="AG257">
        <v>36</v>
      </c>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row>
    <row r="258" spans="1:159" ht="14.5" x14ac:dyDescent="0.35">
      <c r="A258" t="s">
        <v>570</v>
      </c>
      <c r="B258" t="s">
        <v>571</v>
      </c>
      <c r="C258">
        <v>14570</v>
      </c>
      <c r="D258">
        <v>0</v>
      </c>
      <c r="E258">
        <v>626</v>
      </c>
      <c r="F258">
        <v>2103</v>
      </c>
      <c r="G258">
        <v>580</v>
      </c>
      <c r="H258">
        <v>17879</v>
      </c>
      <c r="I258">
        <v>17299</v>
      </c>
      <c r="J258">
        <v>5</v>
      </c>
      <c r="K258">
        <v>94.44</v>
      </c>
      <c r="L258">
        <v>90.71</v>
      </c>
      <c r="M258">
        <v>2.36</v>
      </c>
      <c r="N258">
        <v>96.55</v>
      </c>
      <c r="O258">
        <v>12992</v>
      </c>
      <c r="P258">
        <v>99.48</v>
      </c>
      <c r="Q258">
        <v>83.31</v>
      </c>
      <c r="R258">
        <v>48.68</v>
      </c>
      <c r="S258">
        <v>147.35</v>
      </c>
      <c r="T258">
        <v>2334</v>
      </c>
      <c r="U258">
        <v>108.15</v>
      </c>
      <c r="V258">
        <v>1488</v>
      </c>
      <c r="W258">
        <v>155.13</v>
      </c>
      <c r="X258">
        <v>223</v>
      </c>
      <c r="Y258">
        <v>0</v>
      </c>
      <c r="Z258">
        <v>66</v>
      </c>
      <c r="AA258">
        <v>2</v>
      </c>
      <c r="AB258">
        <v>4</v>
      </c>
      <c r="AC258">
        <v>11</v>
      </c>
      <c r="AD258">
        <v>14526</v>
      </c>
      <c r="AE258">
        <v>174</v>
      </c>
      <c r="AF258">
        <v>112</v>
      </c>
      <c r="AG258">
        <v>286</v>
      </c>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row>
    <row r="259" spans="1:159" ht="14.5" x14ac:dyDescent="0.35">
      <c r="A259" t="s">
        <v>572</v>
      </c>
      <c r="B259" t="s">
        <v>573</v>
      </c>
      <c r="C259">
        <v>7282</v>
      </c>
      <c r="D259">
        <v>0</v>
      </c>
      <c r="E259">
        <v>280</v>
      </c>
      <c r="F259">
        <v>1095</v>
      </c>
      <c r="G259">
        <v>543</v>
      </c>
      <c r="H259">
        <v>9200</v>
      </c>
      <c r="I259">
        <v>8657</v>
      </c>
      <c r="J259">
        <v>32</v>
      </c>
      <c r="K259">
        <v>88.53</v>
      </c>
      <c r="L259">
        <v>88.2</v>
      </c>
      <c r="M259">
        <v>5.33</v>
      </c>
      <c r="N259">
        <v>91.98</v>
      </c>
      <c r="O259">
        <v>6420</v>
      </c>
      <c r="P259">
        <v>94.09</v>
      </c>
      <c r="Q259">
        <v>81.91</v>
      </c>
      <c r="R259">
        <v>30.21</v>
      </c>
      <c r="S259">
        <v>124.08</v>
      </c>
      <c r="T259">
        <v>1200</v>
      </c>
      <c r="U259">
        <v>115.92</v>
      </c>
      <c r="V259">
        <v>856</v>
      </c>
      <c r="W259">
        <v>192.13</v>
      </c>
      <c r="X259">
        <v>169</v>
      </c>
      <c r="Y259">
        <v>0</v>
      </c>
      <c r="Z259">
        <v>19</v>
      </c>
      <c r="AA259">
        <v>3</v>
      </c>
      <c r="AB259">
        <v>25</v>
      </c>
      <c r="AC259">
        <v>12</v>
      </c>
      <c r="AD259">
        <v>7282</v>
      </c>
      <c r="AE259">
        <v>15</v>
      </c>
      <c r="AF259">
        <v>96</v>
      </c>
      <c r="AG259">
        <v>111</v>
      </c>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row>
    <row r="260" spans="1:159" ht="14.5" x14ac:dyDescent="0.35">
      <c r="A260" t="s">
        <v>574</v>
      </c>
      <c r="B260" t="s">
        <v>575</v>
      </c>
      <c r="C260">
        <v>3415</v>
      </c>
      <c r="D260">
        <v>0</v>
      </c>
      <c r="E260">
        <v>156</v>
      </c>
      <c r="F260">
        <v>279</v>
      </c>
      <c r="G260">
        <v>107</v>
      </c>
      <c r="H260">
        <v>3957</v>
      </c>
      <c r="I260">
        <v>3850</v>
      </c>
      <c r="J260">
        <v>12</v>
      </c>
      <c r="K260">
        <v>90.49</v>
      </c>
      <c r="L260">
        <v>87.39</v>
      </c>
      <c r="M260">
        <v>5.19</v>
      </c>
      <c r="N260">
        <v>92.65</v>
      </c>
      <c r="O260">
        <v>3028</v>
      </c>
      <c r="P260">
        <v>102.46</v>
      </c>
      <c r="Q260">
        <v>80.52</v>
      </c>
      <c r="R260">
        <v>84.29</v>
      </c>
      <c r="S260">
        <v>186</v>
      </c>
      <c r="T260">
        <v>341</v>
      </c>
      <c r="U260">
        <v>105.76</v>
      </c>
      <c r="V260">
        <v>278</v>
      </c>
      <c r="W260">
        <v>146.43</v>
      </c>
      <c r="X260">
        <v>81</v>
      </c>
      <c r="Y260">
        <v>0</v>
      </c>
      <c r="Z260">
        <v>12</v>
      </c>
      <c r="AA260">
        <v>4</v>
      </c>
      <c r="AB260">
        <v>1</v>
      </c>
      <c r="AC260">
        <v>1</v>
      </c>
      <c r="AD260">
        <v>3336</v>
      </c>
      <c r="AE260">
        <v>57</v>
      </c>
      <c r="AF260">
        <v>5</v>
      </c>
      <c r="AG260">
        <v>62</v>
      </c>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row>
    <row r="261" spans="1:159" ht="14.5" x14ac:dyDescent="0.35">
      <c r="A261" t="s">
        <v>576</v>
      </c>
      <c r="B261" t="s">
        <v>577</v>
      </c>
      <c r="C261">
        <v>1759</v>
      </c>
      <c r="D261">
        <v>0</v>
      </c>
      <c r="E261">
        <v>194</v>
      </c>
      <c r="F261">
        <v>311</v>
      </c>
      <c r="G261">
        <v>598</v>
      </c>
      <c r="H261">
        <v>2862</v>
      </c>
      <c r="I261">
        <v>2264</v>
      </c>
      <c r="J261">
        <v>16</v>
      </c>
      <c r="K261">
        <v>120.47</v>
      </c>
      <c r="L261">
        <v>116.42</v>
      </c>
      <c r="M261">
        <v>8.41</v>
      </c>
      <c r="N261">
        <v>128.03</v>
      </c>
      <c r="O261">
        <v>1425</v>
      </c>
      <c r="P261">
        <v>115.32</v>
      </c>
      <c r="Q261">
        <v>94.96</v>
      </c>
      <c r="R261">
        <v>38.85</v>
      </c>
      <c r="S261">
        <v>154.16999999999999</v>
      </c>
      <c r="T261">
        <v>421</v>
      </c>
      <c r="U261">
        <v>160.66999999999999</v>
      </c>
      <c r="V261">
        <v>201</v>
      </c>
      <c r="W261">
        <v>0</v>
      </c>
      <c r="X261">
        <v>0</v>
      </c>
      <c r="Y261">
        <v>0</v>
      </c>
      <c r="Z261">
        <v>0</v>
      </c>
      <c r="AA261">
        <v>0</v>
      </c>
      <c r="AB261">
        <v>10</v>
      </c>
      <c r="AC261">
        <v>11</v>
      </c>
      <c r="AD261">
        <v>1645</v>
      </c>
      <c r="AE261">
        <v>11</v>
      </c>
      <c r="AF261">
        <v>4</v>
      </c>
      <c r="AG261">
        <v>15</v>
      </c>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row>
    <row r="262" spans="1:159" ht="14.5" x14ac:dyDescent="0.35">
      <c r="A262" t="s">
        <v>578</v>
      </c>
      <c r="B262" t="s">
        <v>579</v>
      </c>
      <c r="C262">
        <v>4763</v>
      </c>
      <c r="D262">
        <v>0</v>
      </c>
      <c r="E262">
        <v>605</v>
      </c>
      <c r="F262">
        <v>1240</v>
      </c>
      <c r="G262">
        <v>1309</v>
      </c>
      <c r="H262">
        <v>7917</v>
      </c>
      <c r="I262">
        <v>6608</v>
      </c>
      <c r="J262">
        <v>11</v>
      </c>
      <c r="K262">
        <v>88.94</v>
      </c>
      <c r="L262">
        <v>87.24</v>
      </c>
      <c r="M262">
        <v>7.5</v>
      </c>
      <c r="N262">
        <v>93.26</v>
      </c>
      <c r="O262">
        <v>3843</v>
      </c>
      <c r="P262">
        <v>90.78</v>
      </c>
      <c r="Q262">
        <v>82.97</v>
      </c>
      <c r="R262">
        <v>33.92</v>
      </c>
      <c r="S262">
        <v>123.96</v>
      </c>
      <c r="T262">
        <v>1619</v>
      </c>
      <c r="U262">
        <v>123.49</v>
      </c>
      <c r="V262">
        <v>672</v>
      </c>
      <c r="W262">
        <v>183.02</v>
      </c>
      <c r="X262">
        <v>52</v>
      </c>
      <c r="Y262">
        <v>10</v>
      </c>
      <c r="Z262">
        <v>15</v>
      </c>
      <c r="AA262">
        <v>0</v>
      </c>
      <c r="AB262">
        <v>30</v>
      </c>
      <c r="AC262">
        <v>16</v>
      </c>
      <c r="AD262">
        <v>4275</v>
      </c>
      <c r="AE262">
        <v>27</v>
      </c>
      <c r="AF262">
        <v>33</v>
      </c>
      <c r="AG262">
        <v>60</v>
      </c>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row>
    <row r="263" spans="1:159" ht="14.5" x14ac:dyDescent="0.35">
      <c r="A263" t="s">
        <v>580</v>
      </c>
      <c r="B263" t="s">
        <v>581</v>
      </c>
      <c r="C263">
        <v>12895</v>
      </c>
      <c r="D263">
        <v>0</v>
      </c>
      <c r="E263">
        <v>302</v>
      </c>
      <c r="F263">
        <v>776</v>
      </c>
      <c r="G263">
        <v>362</v>
      </c>
      <c r="H263">
        <v>14335</v>
      </c>
      <c r="I263">
        <v>13973</v>
      </c>
      <c r="J263">
        <v>53</v>
      </c>
      <c r="K263">
        <v>87.59</v>
      </c>
      <c r="L263">
        <v>86.72</v>
      </c>
      <c r="M263">
        <v>11.98</v>
      </c>
      <c r="N263">
        <v>90.96</v>
      </c>
      <c r="O263">
        <v>10617</v>
      </c>
      <c r="P263">
        <v>89.65</v>
      </c>
      <c r="Q263">
        <v>82.93</v>
      </c>
      <c r="R263">
        <v>52.07</v>
      </c>
      <c r="S263">
        <v>141.29</v>
      </c>
      <c r="T263">
        <v>972</v>
      </c>
      <c r="U263">
        <v>107.56</v>
      </c>
      <c r="V263">
        <v>2109</v>
      </c>
      <c r="W263">
        <v>172.24</v>
      </c>
      <c r="X263">
        <v>61</v>
      </c>
      <c r="Y263">
        <v>0</v>
      </c>
      <c r="Z263">
        <v>51</v>
      </c>
      <c r="AA263">
        <v>36</v>
      </c>
      <c r="AB263">
        <v>18</v>
      </c>
      <c r="AC263">
        <v>8</v>
      </c>
      <c r="AD263">
        <v>12698</v>
      </c>
      <c r="AE263">
        <v>64</v>
      </c>
      <c r="AF263">
        <v>133</v>
      </c>
      <c r="AG263">
        <v>197</v>
      </c>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row>
    <row r="264" spans="1:159" ht="14.5" x14ac:dyDescent="0.35">
      <c r="A264" t="s">
        <v>582</v>
      </c>
      <c r="B264" t="s">
        <v>583</v>
      </c>
      <c r="C264">
        <v>6097</v>
      </c>
      <c r="D264">
        <v>4</v>
      </c>
      <c r="E264">
        <v>831</v>
      </c>
      <c r="F264">
        <v>1525</v>
      </c>
      <c r="G264">
        <v>249</v>
      </c>
      <c r="H264">
        <v>8706</v>
      </c>
      <c r="I264">
        <v>8457</v>
      </c>
      <c r="J264">
        <v>116</v>
      </c>
      <c r="K264">
        <v>81.44</v>
      </c>
      <c r="L264">
        <v>80.16</v>
      </c>
      <c r="M264">
        <v>5.59</v>
      </c>
      <c r="N264">
        <v>85.53</v>
      </c>
      <c r="O264">
        <v>4842</v>
      </c>
      <c r="P264">
        <v>105.46</v>
      </c>
      <c r="Q264">
        <v>90.08</v>
      </c>
      <c r="R264">
        <v>76.25</v>
      </c>
      <c r="S264">
        <v>180.74</v>
      </c>
      <c r="T264">
        <v>1809</v>
      </c>
      <c r="U264">
        <v>104.9</v>
      </c>
      <c r="V264">
        <v>654</v>
      </c>
      <c r="W264">
        <v>239.1</v>
      </c>
      <c r="X264">
        <v>145</v>
      </c>
      <c r="Y264">
        <v>87</v>
      </c>
      <c r="Z264">
        <v>7</v>
      </c>
      <c r="AA264">
        <v>3</v>
      </c>
      <c r="AB264">
        <v>1</v>
      </c>
      <c r="AC264">
        <v>7</v>
      </c>
      <c r="AD264">
        <v>5482</v>
      </c>
      <c r="AE264">
        <v>41</v>
      </c>
      <c r="AF264">
        <v>35</v>
      </c>
      <c r="AG264">
        <v>76</v>
      </c>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row>
    <row r="265" spans="1:159" ht="14.5" x14ac:dyDescent="0.35">
      <c r="A265" t="s">
        <v>584</v>
      </c>
      <c r="B265" t="s">
        <v>585</v>
      </c>
      <c r="C265">
        <v>7806</v>
      </c>
      <c r="D265">
        <v>2</v>
      </c>
      <c r="E265">
        <v>113</v>
      </c>
      <c r="F265">
        <v>843</v>
      </c>
      <c r="G265">
        <v>1261</v>
      </c>
      <c r="H265">
        <v>10025</v>
      </c>
      <c r="I265">
        <v>8764</v>
      </c>
      <c r="J265">
        <v>9</v>
      </c>
      <c r="K265">
        <v>113.89</v>
      </c>
      <c r="L265">
        <v>111</v>
      </c>
      <c r="M265">
        <v>4.4800000000000004</v>
      </c>
      <c r="N265">
        <v>116.32</v>
      </c>
      <c r="O265">
        <v>6962</v>
      </c>
      <c r="P265">
        <v>108.6</v>
      </c>
      <c r="Q265">
        <v>100.04</v>
      </c>
      <c r="R265">
        <v>50.4</v>
      </c>
      <c r="S265">
        <v>157.19</v>
      </c>
      <c r="T265">
        <v>782</v>
      </c>
      <c r="U265">
        <v>154.75</v>
      </c>
      <c r="V265">
        <v>483</v>
      </c>
      <c r="W265">
        <v>185.09</v>
      </c>
      <c r="X265">
        <v>91</v>
      </c>
      <c r="Y265">
        <v>8</v>
      </c>
      <c r="Z265">
        <v>6</v>
      </c>
      <c r="AA265">
        <v>1</v>
      </c>
      <c r="AB265">
        <v>133</v>
      </c>
      <c r="AC265">
        <v>27</v>
      </c>
      <c r="AD265">
        <v>7368</v>
      </c>
      <c r="AE265">
        <v>44</v>
      </c>
      <c r="AF265">
        <v>85</v>
      </c>
      <c r="AG265">
        <v>129</v>
      </c>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row>
    <row r="266" spans="1:159" ht="14.5" x14ac:dyDescent="0.35">
      <c r="A266" t="s">
        <v>586</v>
      </c>
      <c r="B266" t="s">
        <v>587</v>
      </c>
      <c r="C266">
        <v>1851</v>
      </c>
      <c r="D266">
        <v>4</v>
      </c>
      <c r="E266">
        <v>152</v>
      </c>
      <c r="F266">
        <v>139</v>
      </c>
      <c r="G266">
        <v>761</v>
      </c>
      <c r="H266">
        <v>2907</v>
      </c>
      <c r="I266">
        <v>2146</v>
      </c>
      <c r="J266">
        <v>9</v>
      </c>
      <c r="K266">
        <v>105.84</v>
      </c>
      <c r="L266">
        <v>102.7</v>
      </c>
      <c r="M266">
        <v>5.87</v>
      </c>
      <c r="N266">
        <v>110.58</v>
      </c>
      <c r="O266">
        <v>1085</v>
      </c>
      <c r="P266">
        <v>102.5</v>
      </c>
      <c r="Q266">
        <v>85.68</v>
      </c>
      <c r="R266">
        <v>53.62</v>
      </c>
      <c r="S266">
        <v>154.47999999999999</v>
      </c>
      <c r="T266">
        <v>229</v>
      </c>
      <c r="U266">
        <v>135.38</v>
      </c>
      <c r="V266">
        <v>679</v>
      </c>
      <c r="W266">
        <v>0</v>
      </c>
      <c r="X266">
        <v>0</v>
      </c>
      <c r="Y266">
        <v>0</v>
      </c>
      <c r="Z266">
        <v>0</v>
      </c>
      <c r="AA266">
        <v>5</v>
      </c>
      <c r="AB266">
        <v>109</v>
      </c>
      <c r="AC266">
        <v>12</v>
      </c>
      <c r="AD266">
        <v>1773</v>
      </c>
      <c r="AE266">
        <v>9</v>
      </c>
      <c r="AF266">
        <v>9</v>
      </c>
      <c r="AG266">
        <v>18</v>
      </c>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row>
    <row r="267" spans="1:159" ht="14.5" x14ac:dyDescent="0.35">
      <c r="A267" t="s">
        <v>588</v>
      </c>
      <c r="B267" t="s">
        <v>589</v>
      </c>
      <c r="C267">
        <v>31700</v>
      </c>
      <c r="D267">
        <v>2</v>
      </c>
      <c r="E267">
        <v>847</v>
      </c>
      <c r="F267">
        <v>2058</v>
      </c>
      <c r="G267">
        <v>408</v>
      </c>
      <c r="H267">
        <v>35015</v>
      </c>
      <c r="I267">
        <v>34607</v>
      </c>
      <c r="J267">
        <v>113</v>
      </c>
      <c r="K267">
        <v>84.61</v>
      </c>
      <c r="L267">
        <v>84.26</v>
      </c>
      <c r="M267">
        <v>9.5</v>
      </c>
      <c r="N267">
        <v>86.56</v>
      </c>
      <c r="O267">
        <v>28804</v>
      </c>
      <c r="P267">
        <v>97.27</v>
      </c>
      <c r="Q267">
        <v>84.07</v>
      </c>
      <c r="R267">
        <v>50.86</v>
      </c>
      <c r="S267">
        <v>147.07</v>
      </c>
      <c r="T267">
        <v>2500</v>
      </c>
      <c r="U267">
        <v>106.49</v>
      </c>
      <c r="V267">
        <v>2456</v>
      </c>
      <c r="W267">
        <v>232.43</v>
      </c>
      <c r="X267">
        <v>220</v>
      </c>
      <c r="Y267">
        <v>4</v>
      </c>
      <c r="Z267">
        <v>192</v>
      </c>
      <c r="AA267">
        <v>2</v>
      </c>
      <c r="AB267">
        <v>22</v>
      </c>
      <c r="AC267">
        <v>16</v>
      </c>
      <c r="AD267">
        <v>31397</v>
      </c>
      <c r="AE267">
        <v>201</v>
      </c>
      <c r="AF267">
        <v>298</v>
      </c>
      <c r="AG267">
        <v>499</v>
      </c>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row>
    <row r="268" spans="1:159" ht="14.5" x14ac:dyDescent="0.35">
      <c r="A268" t="s">
        <v>590</v>
      </c>
      <c r="B268" t="s">
        <v>591</v>
      </c>
      <c r="C268">
        <v>3302</v>
      </c>
      <c r="D268">
        <v>0</v>
      </c>
      <c r="E268">
        <v>96</v>
      </c>
      <c r="F268">
        <v>302</v>
      </c>
      <c r="G268">
        <v>439</v>
      </c>
      <c r="H268">
        <v>4139</v>
      </c>
      <c r="I268">
        <v>3700</v>
      </c>
      <c r="J268">
        <v>8</v>
      </c>
      <c r="K268">
        <v>119.25</v>
      </c>
      <c r="L268">
        <v>115.97</v>
      </c>
      <c r="M268">
        <v>9.5399999999999991</v>
      </c>
      <c r="N268">
        <v>124.91</v>
      </c>
      <c r="O268">
        <v>2957</v>
      </c>
      <c r="P268">
        <v>116.98</v>
      </c>
      <c r="Q268">
        <v>95.39</v>
      </c>
      <c r="R268">
        <v>40.909999999999997</v>
      </c>
      <c r="S268">
        <v>157.77000000000001</v>
      </c>
      <c r="T268">
        <v>345</v>
      </c>
      <c r="U268">
        <v>221.15</v>
      </c>
      <c r="V268">
        <v>250</v>
      </c>
      <c r="W268">
        <v>0</v>
      </c>
      <c r="X268">
        <v>0</v>
      </c>
      <c r="Y268">
        <v>7</v>
      </c>
      <c r="Z268">
        <v>2</v>
      </c>
      <c r="AA268">
        <v>0</v>
      </c>
      <c r="AB268">
        <v>61</v>
      </c>
      <c r="AC268">
        <v>11</v>
      </c>
      <c r="AD268">
        <v>3299</v>
      </c>
      <c r="AE268">
        <v>62</v>
      </c>
      <c r="AF268">
        <v>5</v>
      </c>
      <c r="AG268">
        <v>67</v>
      </c>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row>
    <row r="269" spans="1:159" ht="14.5" x14ac:dyDescent="0.35">
      <c r="A269" t="s">
        <v>592</v>
      </c>
      <c r="B269" t="s">
        <v>593</v>
      </c>
      <c r="C269">
        <v>4598</v>
      </c>
      <c r="D269">
        <v>8</v>
      </c>
      <c r="E269">
        <v>413</v>
      </c>
      <c r="F269">
        <v>949</v>
      </c>
      <c r="G269">
        <v>1003</v>
      </c>
      <c r="H269">
        <v>6971</v>
      </c>
      <c r="I269">
        <v>5968</v>
      </c>
      <c r="J269">
        <v>31</v>
      </c>
      <c r="K269">
        <v>125.55</v>
      </c>
      <c r="L269">
        <v>123.64</v>
      </c>
      <c r="M269">
        <v>9.23</v>
      </c>
      <c r="N269">
        <v>134.38</v>
      </c>
      <c r="O269">
        <v>3998</v>
      </c>
      <c r="P269">
        <v>126.84</v>
      </c>
      <c r="Q269">
        <v>112.75</v>
      </c>
      <c r="R269">
        <v>50.26</v>
      </c>
      <c r="S269">
        <v>174.57</v>
      </c>
      <c r="T269">
        <v>814</v>
      </c>
      <c r="U269">
        <v>197.6</v>
      </c>
      <c r="V269">
        <v>377</v>
      </c>
      <c r="W269">
        <v>182.78</v>
      </c>
      <c r="X269">
        <v>34</v>
      </c>
      <c r="Y269">
        <v>1</v>
      </c>
      <c r="Z269">
        <v>3</v>
      </c>
      <c r="AA269">
        <v>5</v>
      </c>
      <c r="AB269">
        <v>26</v>
      </c>
      <c r="AC269">
        <v>18</v>
      </c>
      <c r="AD269">
        <v>4429</v>
      </c>
      <c r="AE269">
        <v>23</v>
      </c>
      <c r="AF269">
        <v>11</v>
      </c>
      <c r="AG269">
        <v>34</v>
      </c>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row>
    <row r="270" spans="1:159" ht="14.5" x14ac:dyDescent="0.35">
      <c r="A270" t="s">
        <v>594</v>
      </c>
      <c r="B270" t="s">
        <v>595</v>
      </c>
      <c r="C270">
        <v>8035</v>
      </c>
      <c r="D270">
        <v>0</v>
      </c>
      <c r="E270">
        <v>244</v>
      </c>
      <c r="F270">
        <v>432</v>
      </c>
      <c r="G270">
        <v>794</v>
      </c>
      <c r="H270">
        <v>9505</v>
      </c>
      <c r="I270">
        <v>8711</v>
      </c>
      <c r="J270">
        <v>53</v>
      </c>
      <c r="K270">
        <v>104.53</v>
      </c>
      <c r="L270">
        <v>104.1</v>
      </c>
      <c r="M270">
        <v>7.47</v>
      </c>
      <c r="N270">
        <v>108.01</v>
      </c>
      <c r="O270">
        <v>6588</v>
      </c>
      <c r="P270">
        <v>103.03</v>
      </c>
      <c r="Q270">
        <v>87.27</v>
      </c>
      <c r="R270">
        <v>56</v>
      </c>
      <c r="S270">
        <v>153.94999999999999</v>
      </c>
      <c r="T270">
        <v>607</v>
      </c>
      <c r="U270">
        <v>146.85</v>
      </c>
      <c r="V270">
        <v>1332</v>
      </c>
      <c r="W270">
        <v>0</v>
      </c>
      <c r="X270">
        <v>0</v>
      </c>
      <c r="Y270">
        <v>42</v>
      </c>
      <c r="Z270">
        <v>0</v>
      </c>
      <c r="AA270">
        <v>6</v>
      </c>
      <c r="AB270">
        <v>117</v>
      </c>
      <c r="AC270">
        <v>13</v>
      </c>
      <c r="AD270">
        <v>7940</v>
      </c>
      <c r="AE270">
        <v>5</v>
      </c>
      <c r="AF270">
        <v>11</v>
      </c>
      <c r="AG270">
        <v>16</v>
      </c>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row>
    <row r="271" spans="1:159" ht="14.5" x14ac:dyDescent="0.35">
      <c r="A271" t="s">
        <v>596</v>
      </c>
      <c r="B271" t="s">
        <v>597</v>
      </c>
      <c r="C271">
        <v>4247</v>
      </c>
      <c r="D271">
        <v>0</v>
      </c>
      <c r="E271">
        <v>548</v>
      </c>
      <c r="F271">
        <v>923</v>
      </c>
      <c r="G271">
        <v>1130</v>
      </c>
      <c r="H271">
        <v>6848</v>
      </c>
      <c r="I271">
        <v>5718</v>
      </c>
      <c r="J271">
        <v>60</v>
      </c>
      <c r="K271">
        <v>104.47</v>
      </c>
      <c r="L271">
        <v>101.29</v>
      </c>
      <c r="M271">
        <v>7.65</v>
      </c>
      <c r="N271">
        <v>110.47</v>
      </c>
      <c r="O271">
        <v>3084</v>
      </c>
      <c r="P271">
        <v>92.05</v>
      </c>
      <c r="Q271">
        <v>88.61</v>
      </c>
      <c r="R271">
        <v>51.48</v>
      </c>
      <c r="S271">
        <v>141.83000000000001</v>
      </c>
      <c r="T271">
        <v>1421</v>
      </c>
      <c r="U271">
        <v>147.43</v>
      </c>
      <c r="V271">
        <v>983</v>
      </c>
      <c r="W271">
        <v>124.19</v>
      </c>
      <c r="X271">
        <v>1</v>
      </c>
      <c r="Y271">
        <v>0</v>
      </c>
      <c r="Z271">
        <v>0</v>
      </c>
      <c r="AA271">
        <v>8</v>
      </c>
      <c r="AB271">
        <v>26</v>
      </c>
      <c r="AC271">
        <v>28</v>
      </c>
      <c r="AD271">
        <v>4191</v>
      </c>
      <c r="AE271">
        <v>28</v>
      </c>
      <c r="AF271">
        <v>19</v>
      </c>
      <c r="AG271">
        <v>47</v>
      </c>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row>
    <row r="272" spans="1:159" ht="14.5" x14ac:dyDescent="0.35">
      <c r="A272" t="s">
        <v>598</v>
      </c>
      <c r="B272" t="s">
        <v>599</v>
      </c>
      <c r="C272">
        <v>20209</v>
      </c>
      <c r="D272">
        <v>1</v>
      </c>
      <c r="E272">
        <v>741</v>
      </c>
      <c r="F272">
        <v>1373</v>
      </c>
      <c r="G272">
        <v>230</v>
      </c>
      <c r="H272">
        <v>22554</v>
      </c>
      <c r="I272">
        <v>22324</v>
      </c>
      <c r="J272">
        <v>61</v>
      </c>
      <c r="K272">
        <v>86.98</v>
      </c>
      <c r="L272">
        <v>84.11</v>
      </c>
      <c r="M272">
        <v>4</v>
      </c>
      <c r="N272">
        <v>90.61</v>
      </c>
      <c r="O272">
        <v>16577</v>
      </c>
      <c r="P272">
        <v>87.74</v>
      </c>
      <c r="Q272">
        <v>76.540000000000006</v>
      </c>
      <c r="R272">
        <v>43.37</v>
      </c>
      <c r="S272">
        <v>127.69</v>
      </c>
      <c r="T272">
        <v>1894</v>
      </c>
      <c r="U272">
        <v>112.83</v>
      </c>
      <c r="V272">
        <v>2597</v>
      </c>
      <c r="W272">
        <v>138.16</v>
      </c>
      <c r="X272">
        <v>54</v>
      </c>
      <c r="Y272">
        <v>0</v>
      </c>
      <c r="Z272">
        <v>66</v>
      </c>
      <c r="AA272">
        <v>1</v>
      </c>
      <c r="AB272">
        <v>25</v>
      </c>
      <c r="AC272">
        <v>4</v>
      </c>
      <c r="AD272">
        <v>19193</v>
      </c>
      <c r="AE272">
        <v>155</v>
      </c>
      <c r="AF272">
        <v>29</v>
      </c>
      <c r="AG272">
        <v>184</v>
      </c>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row>
    <row r="273" spans="1:159" ht="14.5" x14ac:dyDescent="0.35">
      <c r="A273" t="s">
        <v>600</v>
      </c>
      <c r="B273" t="s">
        <v>601</v>
      </c>
      <c r="C273">
        <v>1714</v>
      </c>
      <c r="D273">
        <v>0</v>
      </c>
      <c r="E273">
        <v>130</v>
      </c>
      <c r="F273">
        <v>110</v>
      </c>
      <c r="G273">
        <v>249</v>
      </c>
      <c r="H273">
        <v>2203</v>
      </c>
      <c r="I273">
        <v>1954</v>
      </c>
      <c r="J273">
        <v>2</v>
      </c>
      <c r="K273">
        <v>93.68</v>
      </c>
      <c r="L273">
        <v>90.33</v>
      </c>
      <c r="M273">
        <v>5.95</v>
      </c>
      <c r="N273">
        <v>98.75</v>
      </c>
      <c r="O273">
        <v>1228</v>
      </c>
      <c r="P273">
        <v>87.92</v>
      </c>
      <c r="Q273">
        <v>82.6</v>
      </c>
      <c r="R273">
        <v>37.200000000000003</v>
      </c>
      <c r="S273">
        <v>124.54</v>
      </c>
      <c r="T273">
        <v>190</v>
      </c>
      <c r="U273">
        <v>124.93</v>
      </c>
      <c r="V273">
        <v>475</v>
      </c>
      <c r="W273">
        <v>0</v>
      </c>
      <c r="X273">
        <v>0</v>
      </c>
      <c r="Y273">
        <v>0</v>
      </c>
      <c r="Z273">
        <v>0</v>
      </c>
      <c r="AA273">
        <v>1</v>
      </c>
      <c r="AB273">
        <v>13</v>
      </c>
      <c r="AC273">
        <v>6</v>
      </c>
      <c r="AD273">
        <v>1714</v>
      </c>
      <c r="AE273">
        <v>6</v>
      </c>
      <c r="AF273">
        <v>9</v>
      </c>
      <c r="AG273">
        <v>15</v>
      </c>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row>
    <row r="274" spans="1:159" ht="14.5" x14ac:dyDescent="0.35">
      <c r="A274" t="s">
        <v>602</v>
      </c>
      <c r="B274" t="s">
        <v>603</v>
      </c>
      <c r="C274">
        <v>1217</v>
      </c>
      <c r="D274">
        <v>0</v>
      </c>
      <c r="E274">
        <v>130</v>
      </c>
      <c r="F274">
        <v>103</v>
      </c>
      <c r="G274">
        <v>402</v>
      </c>
      <c r="H274">
        <v>1852</v>
      </c>
      <c r="I274">
        <v>1450</v>
      </c>
      <c r="J274">
        <v>5</v>
      </c>
      <c r="K274">
        <v>132.46</v>
      </c>
      <c r="L274">
        <v>129.91999999999999</v>
      </c>
      <c r="M274">
        <v>9.1</v>
      </c>
      <c r="N274">
        <v>141.03</v>
      </c>
      <c r="O274">
        <v>721</v>
      </c>
      <c r="P274">
        <v>160.35</v>
      </c>
      <c r="Q274">
        <v>101.45</v>
      </c>
      <c r="R274">
        <v>50.41</v>
      </c>
      <c r="S274">
        <v>208.02</v>
      </c>
      <c r="T274">
        <v>92</v>
      </c>
      <c r="U274">
        <v>197.56</v>
      </c>
      <c r="V274">
        <v>377</v>
      </c>
      <c r="W274">
        <v>151.02000000000001</v>
      </c>
      <c r="X274">
        <v>8</v>
      </c>
      <c r="Y274">
        <v>0</v>
      </c>
      <c r="Z274">
        <v>0</v>
      </c>
      <c r="AA274">
        <v>0</v>
      </c>
      <c r="AB274">
        <v>1</v>
      </c>
      <c r="AC274">
        <v>5</v>
      </c>
      <c r="AD274">
        <v>1159</v>
      </c>
      <c r="AE274">
        <v>13</v>
      </c>
      <c r="AF274">
        <v>0</v>
      </c>
      <c r="AG274">
        <v>13</v>
      </c>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row>
    <row r="275" spans="1:159" ht="14.5" x14ac:dyDescent="0.35">
      <c r="A275" t="s">
        <v>604</v>
      </c>
      <c r="B275" t="s">
        <v>605</v>
      </c>
      <c r="C275">
        <v>4423</v>
      </c>
      <c r="D275">
        <v>0</v>
      </c>
      <c r="E275">
        <v>214</v>
      </c>
      <c r="F275">
        <v>1379</v>
      </c>
      <c r="G275">
        <v>746</v>
      </c>
      <c r="H275">
        <v>6762</v>
      </c>
      <c r="I275">
        <v>6016</v>
      </c>
      <c r="J275">
        <v>19</v>
      </c>
      <c r="K275">
        <v>92.27</v>
      </c>
      <c r="L275">
        <v>91.28</v>
      </c>
      <c r="M275">
        <v>4.1500000000000004</v>
      </c>
      <c r="N275">
        <v>96.23</v>
      </c>
      <c r="O275">
        <v>3414</v>
      </c>
      <c r="P275">
        <v>88.98</v>
      </c>
      <c r="Q275">
        <v>83.16</v>
      </c>
      <c r="R275">
        <v>17.25</v>
      </c>
      <c r="S275">
        <v>105.98</v>
      </c>
      <c r="T275">
        <v>1505</v>
      </c>
      <c r="U275">
        <v>138.47</v>
      </c>
      <c r="V275">
        <v>926</v>
      </c>
      <c r="W275">
        <v>108.57</v>
      </c>
      <c r="X275">
        <v>4</v>
      </c>
      <c r="Y275">
        <v>0</v>
      </c>
      <c r="Z275">
        <v>6</v>
      </c>
      <c r="AA275">
        <v>1</v>
      </c>
      <c r="AB275">
        <v>53</v>
      </c>
      <c r="AC275">
        <v>17</v>
      </c>
      <c r="AD275">
        <v>4401</v>
      </c>
      <c r="AE275">
        <v>29</v>
      </c>
      <c r="AF275">
        <v>26</v>
      </c>
      <c r="AG275">
        <v>55</v>
      </c>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row>
    <row r="276" spans="1:159" ht="14.5" x14ac:dyDescent="0.35">
      <c r="A276" t="s">
        <v>606</v>
      </c>
      <c r="B276" t="s">
        <v>607</v>
      </c>
      <c r="C276">
        <v>11757</v>
      </c>
      <c r="D276">
        <v>0</v>
      </c>
      <c r="E276">
        <v>376</v>
      </c>
      <c r="F276">
        <v>1960</v>
      </c>
      <c r="G276">
        <v>726</v>
      </c>
      <c r="H276">
        <v>14819</v>
      </c>
      <c r="I276">
        <v>14093</v>
      </c>
      <c r="J276">
        <v>28</v>
      </c>
      <c r="K276">
        <v>96.12</v>
      </c>
      <c r="L276">
        <v>93.06</v>
      </c>
      <c r="M276">
        <v>6.34</v>
      </c>
      <c r="N276">
        <v>98.73</v>
      </c>
      <c r="O276">
        <v>9449</v>
      </c>
      <c r="P276">
        <v>95.07</v>
      </c>
      <c r="Q276">
        <v>91.7</v>
      </c>
      <c r="R276">
        <v>42.28</v>
      </c>
      <c r="S276">
        <v>137.15</v>
      </c>
      <c r="T276">
        <v>1906</v>
      </c>
      <c r="U276">
        <v>125.2</v>
      </c>
      <c r="V276">
        <v>1893</v>
      </c>
      <c r="W276">
        <v>215.08</v>
      </c>
      <c r="X276">
        <v>263</v>
      </c>
      <c r="Y276">
        <v>0</v>
      </c>
      <c r="Z276">
        <v>32</v>
      </c>
      <c r="AA276">
        <v>83</v>
      </c>
      <c r="AB276">
        <v>91</v>
      </c>
      <c r="AC276">
        <v>10</v>
      </c>
      <c r="AD276">
        <v>11753</v>
      </c>
      <c r="AE276">
        <v>112</v>
      </c>
      <c r="AF276">
        <v>133</v>
      </c>
      <c r="AG276">
        <v>245</v>
      </c>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row>
    <row r="277" spans="1:159" ht="14.5" x14ac:dyDescent="0.35">
      <c r="A277" t="s">
        <v>608</v>
      </c>
      <c r="B277" t="s">
        <v>609</v>
      </c>
      <c r="C277">
        <v>2165</v>
      </c>
      <c r="D277">
        <v>0</v>
      </c>
      <c r="E277">
        <v>260</v>
      </c>
      <c r="F277">
        <v>553</v>
      </c>
      <c r="G277">
        <v>217</v>
      </c>
      <c r="H277">
        <v>3195</v>
      </c>
      <c r="I277">
        <v>2978</v>
      </c>
      <c r="J277">
        <v>11</v>
      </c>
      <c r="K277">
        <v>106.3</v>
      </c>
      <c r="L277">
        <v>103.94</v>
      </c>
      <c r="M277">
        <v>4.5599999999999996</v>
      </c>
      <c r="N277">
        <v>110.1</v>
      </c>
      <c r="O277">
        <v>1734</v>
      </c>
      <c r="P277">
        <v>99.23</v>
      </c>
      <c r="Q277">
        <v>87.36</v>
      </c>
      <c r="R277">
        <v>40.07</v>
      </c>
      <c r="S277">
        <v>137.54</v>
      </c>
      <c r="T277">
        <v>774</v>
      </c>
      <c r="U277">
        <v>142.21</v>
      </c>
      <c r="V277">
        <v>382</v>
      </c>
      <c r="W277">
        <v>0</v>
      </c>
      <c r="X277">
        <v>0</v>
      </c>
      <c r="Y277">
        <v>1</v>
      </c>
      <c r="Z277">
        <v>0</v>
      </c>
      <c r="AA277">
        <v>3</v>
      </c>
      <c r="AB277">
        <v>19</v>
      </c>
      <c r="AC277">
        <v>6</v>
      </c>
      <c r="AD277">
        <v>2164</v>
      </c>
      <c r="AE277">
        <v>32</v>
      </c>
      <c r="AF277">
        <v>30</v>
      </c>
      <c r="AG277">
        <v>62</v>
      </c>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c r="DS277"/>
      <c r="DT277"/>
      <c r="DU277"/>
      <c r="DV277"/>
      <c r="DW277"/>
      <c r="DX277"/>
      <c r="DY277"/>
      <c r="DZ277"/>
      <c r="EA277"/>
      <c r="EB277"/>
      <c r="EC277"/>
      <c r="ED277"/>
      <c r="EE277"/>
      <c r="EF277"/>
      <c r="EG277"/>
      <c r="EH277"/>
      <c r="EI277"/>
      <c r="EJ277"/>
      <c r="EK277"/>
      <c r="EL277"/>
      <c r="EM277"/>
      <c r="EN277"/>
      <c r="EO277"/>
      <c r="EP277"/>
      <c r="EQ277"/>
      <c r="ER277"/>
      <c r="ES277"/>
      <c r="ET277"/>
      <c r="EU277"/>
      <c r="EV277"/>
      <c r="EW277"/>
      <c r="EX277"/>
      <c r="EY277"/>
      <c r="EZ277"/>
      <c r="FA277"/>
      <c r="FB277"/>
      <c r="FC277"/>
    </row>
    <row r="278" spans="1:159" ht="14.5" x14ac:dyDescent="0.35">
      <c r="A278" t="s">
        <v>610</v>
      </c>
      <c r="B278" t="s">
        <v>611</v>
      </c>
      <c r="C278">
        <v>7770</v>
      </c>
      <c r="D278">
        <v>0</v>
      </c>
      <c r="E278">
        <v>363</v>
      </c>
      <c r="F278">
        <v>368</v>
      </c>
      <c r="G278">
        <v>1123</v>
      </c>
      <c r="H278">
        <v>9624</v>
      </c>
      <c r="I278">
        <v>8501</v>
      </c>
      <c r="J278">
        <v>6</v>
      </c>
      <c r="K278">
        <v>114.93</v>
      </c>
      <c r="L278">
        <v>112.93</v>
      </c>
      <c r="M278">
        <v>4.97</v>
      </c>
      <c r="N278">
        <v>119.02</v>
      </c>
      <c r="O278">
        <v>6249</v>
      </c>
      <c r="P278">
        <v>101.49</v>
      </c>
      <c r="Q278">
        <v>95.38</v>
      </c>
      <c r="R278">
        <v>42.86</v>
      </c>
      <c r="S278">
        <v>143.72999999999999</v>
      </c>
      <c r="T278">
        <v>557</v>
      </c>
      <c r="U278">
        <v>162.61000000000001</v>
      </c>
      <c r="V278">
        <v>1284</v>
      </c>
      <c r="W278">
        <v>273.14</v>
      </c>
      <c r="X278">
        <v>43</v>
      </c>
      <c r="Y278">
        <v>0</v>
      </c>
      <c r="Z278">
        <v>12</v>
      </c>
      <c r="AA278">
        <v>8</v>
      </c>
      <c r="AB278">
        <v>25</v>
      </c>
      <c r="AC278">
        <v>29</v>
      </c>
      <c r="AD278">
        <v>7612</v>
      </c>
      <c r="AE278">
        <v>30</v>
      </c>
      <c r="AF278">
        <v>53</v>
      </c>
      <c r="AG278">
        <v>83</v>
      </c>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c r="DS278"/>
      <c r="DT278"/>
      <c r="DU278"/>
      <c r="DV278"/>
      <c r="DW278"/>
      <c r="DX278"/>
      <c r="DY278"/>
      <c r="DZ278"/>
      <c r="EA278"/>
      <c r="EB278"/>
      <c r="EC278"/>
      <c r="ED278"/>
      <c r="EE278"/>
      <c r="EF278"/>
      <c r="EG278"/>
      <c r="EH278"/>
      <c r="EI278"/>
      <c r="EJ278"/>
      <c r="EK278"/>
      <c r="EL278"/>
      <c r="EM278"/>
      <c r="EN278"/>
      <c r="EO278"/>
      <c r="EP278"/>
      <c r="EQ278"/>
      <c r="ER278"/>
      <c r="ES278"/>
      <c r="ET278"/>
      <c r="EU278"/>
      <c r="EV278"/>
      <c r="EW278"/>
      <c r="EX278"/>
      <c r="EY278"/>
      <c r="EZ278"/>
      <c r="FA278"/>
      <c r="FB278"/>
      <c r="FC278"/>
    </row>
    <row r="279" spans="1:159" ht="14.5" x14ac:dyDescent="0.35">
      <c r="A279" t="s">
        <v>612</v>
      </c>
      <c r="B279" t="s">
        <v>613</v>
      </c>
      <c r="C279">
        <v>5046</v>
      </c>
      <c r="D279">
        <v>0</v>
      </c>
      <c r="E279">
        <v>77</v>
      </c>
      <c r="F279">
        <v>558</v>
      </c>
      <c r="G279">
        <v>1144</v>
      </c>
      <c r="H279">
        <v>6825</v>
      </c>
      <c r="I279">
        <v>5681</v>
      </c>
      <c r="J279">
        <v>20</v>
      </c>
      <c r="K279">
        <v>102.27</v>
      </c>
      <c r="L279">
        <v>98.5</v>
      </c>
      <c r="M279">
        <v>5.79</v>
      </c>
      <c r="N279">
        <v>105.45</v>
      </c>
      <c r="O279">
        <v>3903</v>
      </c>
      <c r="P279">
        <v>94.53</v>
      </c>
      <c r="Q279">
        <v>86.41</v>
      </c>
      <c r="R279">
        <v>44.33</v>
      </c>
      <c r="S279">
        <v>138.15</v>
      </c>
      <c r="T279">
        <v>623</v>
      </c>
      <c r="U279">
        <v>145.22999999999999</v>
      </c>
      <c r="V279">
        <v>1133</v>
      </c>
      <c r="W279">
        <v>225.07</v>
      </c>
      <c r="X279">
        <v>4</v>
      </c>
      <c r="Y279">
        <v>0</v>
      </c>
      <c r="Z279">
        <v>4</v>
      </c>
      <c r="AA279">
        <v>6</v>
      </c>
      <c r="AB279">
        <v>153</v>
      </c>
      <c r="AC279">
        <v>17</v>
      </c>
      <c r="AD279">
        <v>5040</v>
      </c>
      <c r="AE279">
        <v>31</v>
      </c>
      <c r="AF279">
        <v>45</v>
      </c>
      <c r="AG279">
        <v>76</v>
      </c>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c r="DN279"/>
      <c r="DO279"/>
      <c r="DP279"/>
      <c r="DQ279"/>
      <c r="DR279"/>
      <c r="DS279"/>
      <c r="DT279"/>
      <c r="DU279"/>
      <c r="DV279"/>
      <c r="DW279"/>
      <c r="DX279"/>
      <c r="DY279"/>
      <c r="DZ279"/>
      <c r="EA279"/>
      <c r="EB279"/>
      <c r="EC279"/>
      <c r="ED279"/>
      <c r="EE279"/>
      <c r="EF279"/>
      <c r="EG279"/>
      <c r="EH279"/>
      <c r="EI279"/>
      <c r="EJ279"/>
      <c r="EK279"/>
      <c r="EL279"/>
      <c r="EM279"/>
      <c r="EN279"/>
      <c r="EO279"/>
      <c r="EP279"/>
      <c r="EQ279"/>
      <c r="ER279"/>
      <c r="ES279"/>
      <c r="ET279"/>
      <c r="EU279"/>
      <c r="EV279"/>
      <c r="EW279"/>
      <c r="EX279"/>
      <c r="EY279"/>
      <c r="EZ279"/>
      <c r="FA279"/>
      <c r="FB279"/>
      <c r="FC279"/>
    </row>
    <row r="280" spans="1:159" ht="14.5" x14ac:dyDescent="0.35">
      <c r="A280" t="s">
        <v>614</v>
      </c>
      <c r="B280" t="s">
        <v>615</v>
      </c>
      <c r="C280">
        <v>3960</v>
      </c>
      <c r="D280">
        <v>0</v>
      </c>
      <c r="E280">
        <v>126</v>
      </c>
      <c r="F280">
        <v>691</v>
      </c>
      <c r="G280">
        <v>375</v>
      </c>
      <c r="H280">
        <v>5152</v>
      </c>
      <c r="I280">
        <v>4777</v>
      </c>
      <c r="J280">
        <v>21</v>
      </c>
      <c r="K280">
        <v>98.71</v>
      </c>
      <c r="L280">
        <v>95.62</v>
      </c>
      <c r="M280">
        <v>8.7799999999999994</v>
      </c>
      <c r="N280">
        <v>105.05</v>
      </c>
      <c r="O280">
        <v>3555</v>
      </c>
      <c r="P280">
        <v>101.35</v>
      </c>
      <c r="Q280">
        <v>83.73</v>
      </c>
      <c r="R280">
        <v>62.03</v>
      </c>
      <c r="S280">
        <v>160.21</v>
      </c>
      <c r="T280">
        <v>765</v>
      </c>
      <c r="U280">
        <v>132.05000000000001</v>
      </c>
      <c r="V280">
        <v>369</v>
      </c>
      <c r="W280">
        <v>0</v>
      </c>
      <c r="X280">
        <v>0</v>
      </c>
      <c r="Y280">
        <v>24</v>
      </c>
      <c r="Z280">
        <v>1</v>
      </c>
      <c r="AA280">
        <v>13</v>
      </c>
      <c r="AB280">
        <v>146</v>
      </c>
      <c r="AC280">
        <v>0</v>
      </c>
      <c r="AD280">
        <v>3959</v>
      </c>
      <c r="AE280">
        <v>32</v>
      </c>
      <c r="AF280">
        <v>43</v>
      </c>
      <c r="AG280">
        <v>75</v>
      </c>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c r="DU280"/>
      <c r="DV280"/>
      <c r="DW280"/>
      <c r="DX280"/>
      <c r="DY280"/>
      <c r="DZ280"/>
      <c r="EA280"/>
      <c r="EB280"/>
      <c r="EC280"/>
      <c r="ED280"/>
      <c r="EE280"/>
      <c r="EF280"/>
      <c r="EG280"/>
      <c r="EH280"/>
      <c r="EI280"/>
      <c r="EJ280"/>
      <c r="EK280"/>
      <c r="EL280"/>
      <c r="EM280"/>
      <c r="EN280"/>
      <c r="EO280"/>
      <c r="EP280"/>
      <c r="EQ280"/>
      <c r="ER280"/>
      <c r="ES280"/>
      <c r="ET280"/>
      <c r="EU280"/>
      <c r="EV280"/>
      <c r="EW280"/>
      <c r="EX280"/>
      <c r="EY280"/>
      <c r="EZ280"/>
      <c r="FA280"/>
      <c r="FB280"/>
      <c r="FC280"/>
    </row>
    <row r="281" spans="1:159" ht="14.5" x14ac:dyDescent="0.35">
      <c r="A281" t="s">
        <v>616</v>
      </c>
      <c r="B281" t="s">
        <v>617</v>
      </c>
      <c r="C281">
        <v>4521</v>
      </c>
      <c r="D281">
        <v>21</v>
      </c>
      <c r="E281">
        <v>61</v>
      </c>
      <c r="F281">
        <v>859</v>
      </c>
      <c r="G281">
        <v>292</v>
      </c>
      <c r="H281">
        <v>5754</v>
      </c>
      <c r="I281">
        <v>5462</v>
      </c>
      <c r="J281">
        <v>14</v>
      </c>
      <c r="K281">
        <v>121.48</v>
      </c>
      <c r="L281">
        <v>127.98</v>
      </c>
      <c r="M281">
        <v>7.54</v>
      </c>
      <c r="N281">
        <v>124.8</v>
      </c>
      <c r="O281">
        <v>4211</v>
      </c>
      <c r="P281">
        <v>108.66</v>
      </c>
      <c r="Q281">
        <v>103.4</v>
      </c>
      <c r="R281">
        <v>22.72</v>
      </c>
      <c r="S281">
        <v>129.35</v>
      </c>
      <c r="T281">
        <v>872</v>
      </c>
      <c r="U281">
        <v>179.5</v>
      </c>
      <c r="V281">
        <v>225</v>
      </c>
      <c r="W281">
        <v>194.15</v>
      </c>
      <c r="X281">
        <v>4</v>
      </c>
      <c r="Y281">
        <v>0</v>
      </c>
      <c r="Z281">
        <v>12</v>
      </c>
      <c r="AA281">
        <v>4</v>
      </c>
      <c r="AB281">
        <v>60</v>
      </c>
      <c r="AC281">
        <v>6</v>
      </c>
      <c r="AD281">
        <v>4521</v>
      </c>
      <c r="AE281">
        <v>24</v>
      </c>
      <c r="AF281">
        <v>45</v>
      </c>
      <c r="AG281">
        <v>69</v>
      </c>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c r="DI281"/>
      <c r="DJ281"/>
      <c r="DK281"/>
      <c r="DL281"/>
      <c r="DM281"/>
      <c r="DN281"/>
      <c r="DO281"/>
      <c r="DP281"/>
      <c r="DQ281"/>
      <c r="DR281"/>
      <c r="DS281"/>
      <c r="DT281"/>
      <c r="DU281"/>
      <c r="DV281"/>
      <c r="DW281"/>
      <c r="DX281"/>
      <c r="DY281"/>
      <c r="DZ281"/>
      <c r="EA281"/>
      <c r="EB281"/>
      <c r="EC281"/>
      <c r="ED281"/>
      <c r="EE281"/>
      <c r="EF281"/>
      <c r="EG281"/>
      <c r="EH281"/>
      <c r="EI281"/>
      <c r="EJ281"/>
      <c r="EK281"/>
      <c r="EL281"/>
      <c r="EM281"/>
      <c r="EN281"/>
      <c r="EO281"/>
      <c r="EP281"/>
      <c r="EQ281"/>
      <c r="ER281"/>
      <c r="ES281"/>
      <c r="ET281"/>
      <c r="EU281"/>
      <c r="EV281"/>
      <c r="EW281"/>
      <c r="EX281"/>
      <c r="EY281"/>
      <c r="EZ281"/>
      <c r="FA281"/>
      <c r="FB281"/>
      <c r="FC281"/>
    </row>
    <row r="282" spans="1:159" ht="14.5" x14ac:dyDescent="0.35">
      <c r="A282" t="s">
        <v>618</v>
      </c>
      <c r="B282" t="s">
        <v>619</v>
      </c>
      <c r="C282">
        <v>1949</v>
      </c>
      <c r="D282">
        <v>0</v>
      </c>
      <c r="E282">
        <v>126</v>
      </c>
      <c r="F282">
        <v>93</v>
      </c>
      <c r="G282">
        <v>449</v>
      </c>
      <c r="H282">
        <v>2617</v>
      </c>
      <c r="I282">
        <v>2168</v>
      </c>
      <c r="J282">
        <v>21</v>
      </c>
      <c r="K282">
        <v>109.95</v>
      </c>
      <c r="L282">
        <v>110.47</v>
      </c>
      <c r="M282">
        <v>8.68</v>
      </c>
      <c r="N282">
        <v>115.66</v>
      </c>
      <c r="O282">
        <v>1190</v>
      </c>
      <c r="P282">
        <v>118.96</v>
      </c>
      <c r="Q282">
        <v>112.3</v>
      </c>
      <c r="R282">
        <v>107.67</v>
      </c>
      <c r="S282">
        <v>217.8</v>
      </c>
      <c r="T282">
        <v>183</v>
      </c>
      <c r="U282">
        <v>171.66</v>
      </c>
      <c r="V282">
        <v>610</v>
      </c>
      <c r="W282">
        <v>177.46</v>
      </c>
      <c r="X282">
        <v>4</v>
      </c>
      <c r="Y282">
        <v>0</v>
      </c>
      <c r="Z282">
        <v>0</v>
      </c>
      <c r="AA282">
        <v>0</v>
      </c>
      <c r="AB282">
        <v>0</v>
      </c>
      <c r="AC282">
        <v>8</v>
      </c>
      <c r="AD282">
        <v>1931</v>
      </c>
      <c r="AE282">
        <v>29</v>
      </c>
      <c r="AF282">
        <v>0</v>
      </c>
      <c r="AG282">
        <v>29</v>
      </c>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c r="DS282"/>
      <c r="DT282"/>
      <c r="DU282"/>
      <c r="DV282"/>
      <c r="DW282"/>
      <c r="DX282"/>
      <c r="DY282"/>
      <c r="DZ282"/>
      <c r="EA282"/>
      <c r="EB282"/>
      <c r="EC282"/>
      <c r="ED282"/>
      <c r="EE282"/>
      <c r="EF282"/>
      <c r="EG282"/>
      <c r="EH282"/>
      <c r="EI282"/>
      <c r="EJ282"/>
      <c r="EK282"/>
      <c r="EL282"/>
      <c r="EM282"/>
      <c r="EN282"/>
      <c r="EO282"/>
      <c r="EP282"/>
      <c r="EQ282"/>
      <c r="ER282"/>
      <c r="ES282"/>
      <c r="ET282"/>
      <c r="EU282"/>
      <c r="EV282"/>
      <c r="EW282"/>
      <c r="EX282"/>
      <c r="EY282"/>
      <c r="EZ282"/>
      <c r="FA282"/>
      <c r="FB282"/>
      <c r="FC282"/>
    </row>
    <row r="283" spans="1:159" ht="14.5" x14ac:dyDescent="0.35">
      <c r="A283" t="s">
        <v>620</v>
      </c>
      <c r="B283" t="s">
        <v>621</v>
      </c>
      <c r="C283">
        <v>7808</v>
      </c>
      <c r="D283">
        <v>1</v>
      </c>
      <c r="E283">
        <v>151</v>
      </c>
      <c r="F283">
        <v>643</v>
      </c>
      <c r="G283">
        <v>1049</v>
      </c>
      <c r="H283">
        <v>9652</v>
      </c>
      <c r="I283">
        <v>8603</v>
      </c>
      <c r="J283">
        <v>7</v>
      </c>
      <c r="K283">
        <v>121.38</v>
      </c>
      <c r="L283">
        <v>121.38</v>
      </c>
      <c r="M283">
        <v>6.05</v>
      </c>
      <c r="N283">
        <v>122.72</v>
      </c>
      <c r="O283">
        <v>6518</v>
      </c>
      <c r="P283">
        <v>104.7</v>
      </c>
      <c r="Q283">
        <v>96.17</v>
      </c>
      <c r="R283">
        <v>45.42</v>
      </c>
      <c r="S283">
        <v>146.88999999999999</v>
      </c>
      <c r="T283">
        <v>563</v>
      </c>
      <c r="U283">
        <v>159.81</v>
      </c>
      <c r="V283">
        <v>1232</v>
      </c>
      <c r="W283">
        <v>0</v>
      </c>
      <c r="X283">
        <v>0</v>
      </c>
      <c r="Y283">
        <v>0</v>
      </c>
      <c r="Z283">
        <v>5</v>
      </c>
      <c r="AA283">
        <v>2</v>
      </c>
      <c r="AB283">
        <v>22</v>
      </c>
      <c r="AC283">
        <v>18</v>
      </c>
      <c r="AD283">
        <v>7807</v>
      </c>
      <c r="AE283">
        <v>195</v>
      </c>
      <c r="AF283">
        <v>42</v>
      </c>
      <c r="AG283">
        <v>237</v>
      </c>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c r="DI283"/>
      <c r="DJ283"/>
      <c r="DK283"/>
      <c r="DL283"/>
      <c r="DM283"/>
      <c r="DN283"/>
      <c r="DO283"/>
      <c r="DP283"/>
      <c r="DQ283"/>
      <c r="DR283"/>
      <c r="DS283"/>
      <c r="DT283"/>
      <c r="DU283"/>
      <c r="DV283"/>
      <c r="DW283"/>
      <c r="DX283"/>
      <c r="DY283"/>
      <c r="DZ283"/>
      <c r="EA283"/>
      <c r="EB283"/>
      <c r="EC283"/>
      <c r="ED283"/>
      <c r="EE283"/>
      <c r="EF283"/>
      <c r="EG283"/>
      <c r="EH283"/>
      <c r="EI283"/>
      <c r="EJ283"/>
      <c r="EK283"/>
      <c r="EL283"/>
      <c r="EM283"/>
      <c r="EN283"/>
      <c r="EO283"/>
      <c r="EP283"/>
      <c r="EQ283"/>
      <c r="ER283"/>
      <c r="ES283"/>
      <c r="ET283"/>
      <c r="EU283"/>
      <c r="EV283"/>
      <c r="EW283"/>
      <c r="EX283"/>
      <c r="EY283"/>
      <c r="EZ283"/>
      <c r="FA283"/>
      <c r="FB283"/>
      <c r="FC283"/>
    </row>
    <row r="284" spans="1:159" ht="14.5" x14ac:dyDescent="0.35">
      <c r="A284" t="s">
        <v>622</v>
      </c>
      <c r="B284" t="s">
        <v>623</v>
      </c>
      <c r="C284">
        <v>4265</v>
      </c>
      <c r="D284">
        <v>11</v>
      </c>
      <c r="E284">
        <v>345</v>
      </c>
      <c r="F284">
        <v>880</v>
      </c>
      <c r="G284">
        <v>554</v>
      </c>
      <c r="H284">
        <v>6055</v>
      </c>
      <c r="I284">
        <v>5501</v>
      </c>
      <c r="J284">
        <v>7</v>
      </c>
      <c r="K284">
        <v>93.73</v>
      </c>
      <c r="L284">
        <v>91.95</v>
      </c>
      <c r="M284">
        <v>7.17</v>
      </c>
      <c r="N284">
        <v>99.85</v>
      </c>
      <c r="O284">
        <v>3691</v>
      </c>
      <c r="P284">
        <v>101.91</v>
      </c>
      <c r="Q284">
        <v>83.92</v>
      </c>
      <c r="R284">
        <v>42.88</v>
      </c>
      <c r="S284">
        <v>144.19</v>
      </c>
      <c r="T284">
        <v>1068</v>
      </c>
      <c r="U284">
        <v>129.12</v>
      </c>
      <c r="V284">
        <v>482</v>
      </c>
      <c r="W284">
        <v>108.59</v>
      </c>
      <c r="X284">
        <v>17</v>
      </c>
      <c r="Y284">
        <v>5</v>
      </c>
      <c r="Z284">
        <v>9</v>
      </c>
      <c r="AA284">
        <v>1</v>
      </c>
      <c r="AB284">
        <v>13</v>
      </c>
      <c r="AC284">
        <v>11</v>
      </c>
      <c r="AD284">
        <v>4184</v>
      </c>
      <c r="AE284">
        <v>10</v>
      </c>
      <c r="AF284">
        <v>30</v>
      </c>
      <c r="AG284">
        <v>40</v>
      </c>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c r="DI284"/>
      <c r="DJ284"/>
      <c r="DK284"/>
      <c r="DL284"/>
      <c r="DM284"/>
      <c r="DN284"/>
      <c r="DO284"/>
      <c r="DP284"/>
      <c r="DQ284"/>
      <c r="DR284"/>
      <c r="DS284"/>
      <c r="DT284"/>
      <c r="DU284"/>
      <c r="DV284"/>
      <c r="DW284"/>
      <c r="DX284"/>
      <c r="DY284"/>
      <c r="DZ284"/>
      <c r="EA284"/>
      <c r="EB284"/>
      <c r="EC284"/>
      <c r="ED284"/>
      <c r="EE284"/>
      <c r="EF284"/>
      <c r="EG284"/>
      <c r="EH284"/>
      <c r="EI284"/>
      <c r="EJ284"/>
      <c r="EK284"/>
      <c r="EL284"/>
      <c r="EM284"/>
      <c r="EN284"/>
      <c r="EO284"/>
      <c r="EP284"/>
      <c r="EQ284"/>
      <c r="ER284"/>
      <c r="ES284"/>
      <c r="ET284"/>
      <c r="EU284"/>
      <c r="EV284"/>
      <c r="EW284"/>
      <c r="EX284"/>
      <c r="EY284"/>
      <c r="EZ284"/>
      <c r="FA284"/>
      <c r="FB284"/>
      <c r="FC284"/>
    </row>
    <row r="285" spans="1:159" ht="14.5" x14ac:dyDescent="0.35">
      <c r="A285" t="s">
        <v>624</v>
      </c>
      <c r="B285" t="s">
        <v>625</v>
      </c>
      <c r="C285">
        <v>2461</v>
      </c>
      <c r="D285">
        <v>0</v>
      </c>
      <c r="E285">
        <v>44</v>
      </c>
      <c r="F285">
        <v>351</v>
      </c>
      <c r="G285">
        <v>209</v>
      </c>
      <c r="H285">
        <v>3065</v>
      </c>
      <c r="I285">
        <v>2856</v>
      </c>
      <c r="J285">
        <v>0</v>
      </c>
      <c r="K285">
        <v>88.9</v>
      </c>
      <c r="L285">
        <v>85.95</v>
      </c>
      <c r="M285">
        <v>4.3499999999999996</v>
      </c>
      <c r="N285">
        <v>91.67</v>
      </c>
      <c r="O285">
        <v>2315</v>
      </c>
      <c r="P285">
        <v>77.72</v>
      </c>
      <c r="Q285">
        <v>72.709999999999994</v>
      </c>
      <c r="R285">
        <v>33.72</v>
      </c>
      <c r="S285">
        <v>107.83</v>
      </c>
      <c r="T285">
        <v>309</v>
      </c>
      <c r="U285">
        <v>115.25</v>
      </c>
      <c r="V285">
        <v>146</v>
      </c>
      <c r="W285">
        <v>222.27</v>
      </c>
      <c r="X285">
        <v>41</v>
      </c>
      <c r="Y285">
        <v>0</v>
      </c>
      <c r="Z285">
        <v>4</v>
      </c>
      <c r="AA285">
        <v>0</v>
      </c>
      <c r="AB285">
        <v>10</v>
      </c>
      <c r="AC285">
        <v>6</v>
      </c>
      <c r="AD285">
        <v>2453</v>
      </c>
      <c r="AE285">
        <v>6</v>
      </c>
      <c r="AF285">
        <v>7</v>
      </c>
      <c r="AG285">
        <v>13</v>
      </c>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c r="DS285"/>
      <c r="DT285"/>
      <c r="DU285"/>
      <c r="DV285"/>
      <c r="DW285"/>
      <c r="DX285"/>
      <c r="DY285"/>
      <c r="DZ285"/>
      <c r="EA285"/>
      <c r="EB285"/>
      <c r="EC285"/>
      <c r="ED285"/>
      <c r="EE285"/>
      <c r="EF285"/>
      <c r="EG285"/>
      <c r="EH285"/>
      <c r="EI285"/>
      <c r="EJ285"/>
      <c r="EK285"/>
      <c r="EL285"/>
      <c r="EM285"/>
      <c r="EN285"/>
      <c r="EO285"/>
      <c r="EP285"/>
      <c r="EQ285"/>
      <c r="ER285"/>
      <c r="ES285"/>
      <c r="ET285"/>
      <c r="EU285"/>
      <c r="EV285"/>
      <c r="EW285"/>
      <c r="EX285"/>
      <c r="EY285"/>
      <c r="EZ285"/>
      <c r="FA285"/>
      <c r="FB285"/>
      <c r="FC285"/>
    </row>
    <row r="286" spans="1:159" ht="14.5" x14ac:dyDescent="0.35">
      <c r="A286" t="s">
        <v>626</v>
      </c>
      <c r="B286" t="s">
        <v>627</v>
      </c>
      <c r="C286">
        <v>30599</v>
      </c>
      <c r="D286">
        <v>115</v>
      </c>
      <c r="E286">
        <v>1474</v>
      </c>
      <c r="F286">
        <v>920</v>
      </c>
      <c r="G286">
        <v>3735</v>
      </c>
      <c r="H286">
        <v>36843</v>
      </c>
      <c r="I286">
        <v>33108</v>
      </c>
      <c r="J286">
        <v>350</v>
      </c>
      <c r="K286">
        <v>134.37</v>
      </c>
      <c r="L286">
        <v>138.38</v>
      </c>
      <c r="M286">
        <v>18.37</v>
      </c>
      <c r="N286">
        <v>151.25</v>
      </c>
      <c r="O286">
        <v>25230</v>
      </c>
      <c r="P286">
        <v>121.85</v>
      </c>
      <c r="Q286">
        <v>117.75</v>
      </c>
      <c r="R286">
        <v>85.39</v>
      </c>
      <c r="S286">
        <v>206.34</v>
      </c>
      <c r="T286">
        <v>1890</v>
      </c>
      <c r="U286">
        <v>229.4</v>
      </c>
      <c r="V286">
        <v>3396</v>
      </c>
      <c r="W286">
        <v>246.14</v>
      </c>
      <c r="X286">
        <v>214</v>
      </c>
      <c r="Y286">
        <v>27</v>
      </c>
      <c r="Z286">
        <v>22</v>
      </c>
      <c r="AA286">
        <v>45</v>
      </c>
      <c r="AB286">
        <v>250</v>
      </c>
      <c r="AC286">
        <v>132</v>
      </c>
      <c r="AD286">
        <v>29437</v>
      </c>
      <c r="AE286">
        <v>194</v>
      </c>
      <c r="AF286">
        <v>476</v>
      </c>
      <c r="AG286">
        <v>670</v>
      </c>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c r="CY286"/>
      <c r="CZ286"/>
      <c r="DA286"/>
      <c r="DB286"/>
      <c r="DC286"/>
      <c r="DD286"/>
      <c r="DE286"/>
      <c r="DF286"/>
      <c r="DG286"/>
      <c r="DH286"/>
      <c r="DI286"/>
      <c r="DJ286"/>
      <c r="DK286"/>
      <c r="DL286"/>
      <c r="DM286"/>
      <c r="DN286"/>
      <c r="DO286"/>
      <c r="DP286"/>
      <c r="DQ286"/>
      <c r="DR286"/>
      <c r="DS286"/>
      <c r="DT286"/>
      <c r="DU286"/>
      <c r="DV286"/>
      <c r="DW286"/>
      <c r="DX286"/>
      <c r="DY286"/>
      <c r="DZ286"/>
      <c r="EA286"/>
      <c r="EB286"/>
      <c r="EC286"/>
      <c r="ED286"/>
      <c r="EE286"/>
      <c r="EF286"/>
      <c r="EG286"/>
      <c r="EH286"/>
      <c r="EI286"/>
      <c r="EJ286"/>
      <c r="EK286"/>
      <c r="EL286"/>
      <c r="EM286"/>
      <c r="EN286"/>
      <c r="EO286"/>
      <c r="EP286"/>
      <c r="EQ286"/>
      <c r="ER286"/>
      <c r="ES286"/>
      <c r="ET286"/>
      <c r="EU286"/>
      <c r="EV286"/>
      <c r="EW286"/>
      <c r="EX286"/>
      <c r="EY286"/>
      <c r="EZ286"/>
      <c r="FA286"/>
      <c r="FB286"/>
      <c r="FC286"/>
    </row>
    <row r="287" spans="1:159" ht="14.5" x14ac:dyDescent="0.35">
      <c r="A287" t="s">
        <v>628</v>
      </c>
      <c r="B287" t="s">
        <v>629</v>
      </c>
      <c r="C287">
        <v>11831</v>
      </c>
      <c r="D287">
        <v>0</v>
      </c>
      <c r="E287">
        <v>388</v>
      </c>
      <c r="F287">
        <v>3369</v>
      </c>
      <c r="G287">
        <v>788</v>
      </c>
      <c r="H287">
        <v>16376</v>
      </c>
      <c r="I287">
        <v>15588</v>
      </c>
      <c r="J287">
        <v>28</v>
      </c>
      <c r="K287">
        <v>94</v>
      </c>
      <c r="L287">
        <v>93.87</v>
      </c>
      <c r="M287">
        <v>6.06</v>
      </c>
      <c r="N287">
        <v>98.49</v>
      </c>
      <c r="O287">
        <v>9839</v>
      </c>
      <c r="P287">
        <v>96.69</v>
      </c>
      <c r="Q287">
        <v>91.85</v>
      </c>
      <c r="R287">
        <v>30</v>
      </c>
      <c r="S287">
        <v>126.45</v>
      </c>
      <c r="T287">
        <v>3569</v>
      </c>
      <c r="U287">
        <v>130.25</v>
      </c>
      <c r="V287">
        <v>1904</v>
      </c>
      <c r="W287">
        <v>189.02</v>
      </c>
      <c r="X287">
        <v>117</v>
      </c>
      <c r="Y287">
        <v>1</v>
      </c>
      <c r="Z287">
        <v>35</v>
      </c>
      <c r="AA287">
        <v>3</v>
      </c>
      <c r="AB287">
        <v>130</v>
      </c>
      <c r="AC287">
        <v>13</v>
      </c>
      <c r="AD287">
        <v>11831</v>
      </c>
      <c r="AE287">
        <v>65</v>
      </c>
      <c r="AF287">
        <v>205</v>
      </c>
      <c r="AG287">
        <v>270</v>
      </c>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c r="DI287"/>
      <c r="DJ287"/>
      <c r="DK287"/>
      <c r="DL287"/>
      <c r="DM287"/>
      <c r="DN287"/>
      <c r="DO287"/>
      <c r="DP287"/>
      <c r="DQ287"/>
      <c r="DR287"/>
      <c r="DS287"/>
      <c r="DT287"/>
      <c r="DU287"/>
      <c r="DV287"/>
      <c r="DW287"/>
      <c r="DX287"/>
      <c r="DY287"/>
      <c r="DZ287"/>
      <c r="EA287"/>
      <c r="EB287"/>
      <c r="EC287"/>
      <c r="ED287"/>
      <c r="EE287"/>
      <c r="EF287"/>
      <c r="EG287"/>
      <c r="EH287"/>
      <c r="EI287"/>
      <c r="EJ287"/>
      <c r="EK287"/>
      <c r="EL287"/>
      <c r="EM287"/>
      <c r="EN287"/>
      <c r="EO287"/>
      <c r="EP287"/>
      <c r="EQ287"/>
      <c r="ER287"/>
      <c r="ES287"/>
      <c r="ET287"/>
      <c r="EU287"/>
      <c r="EV287"/>
      <c r="EW287"/>
      <c r="EX287"/>
      <c r="EY287"/>
      <c r="EZ287"/>
      <c r="FA287"/>
      <c r="FB287"/>
      <c r="FC287"/>
    </row>
    <row r="288" spans="1:159" ht="14.5" x14ac:dyDescent="0.35">
      <c r="A288" t="s">
        <v>630</v>
      </c>
      <c r="B288" t="s">
        <v>631</v>
      </c>
      <c r="C288">
        <v>6493</v>
      </c>
      <c r="D288">
        <v>0</v>
      </c>
      <c r="E288">
        <v>239</v>
      </c>
      <c r="F288">
        <v>788</v>
      </c>
      <c r="G288">
        <v>647</v>
      </c>
      <c r="H288">
        <v>8167</v>
      </c>
      <c r="I288">
        <v>7520</v>
      </c>
      <c r="J288">
        <v>68</v>
      </c>
      <c r="K288">
        <v>118.12</v>
      </c>
      <c r="L288">
        <v>112.92</v>
      </c>
      <c r="M288">
        <v>5.84</v>
      </c>
      <c r="N288">
        <v>122.94</v>
      </c>
      <c r="O288">
        <v>5474</v>
      </c>
      <c r="P288">
        <v>109.04</v>
      </c>
      <c r="Q288">
        <v>91.44</v>
      </c>
      <c r="R288">
        <v>38.799999999999997</v>
      </c>
      <c r="S288">
        <v>145.84</v>
      </c>
      <c r="T288">
        <v>680</v>
      </c>
      <c r="U288">
        <v>173.04</v>
      </c>
      <c r="V288">
        <v>799</v>
      </c>
      <c r="W288">
        <v>141.05000000000001</v>
      </c>
      <c r="X288">
        <v>132</v>
      </c>
      <c r="Y288">
        <v>0</v>
      </c>
      <c r="Z288">
        <v>2</v>
      </c>
      <c r="AA288">
        <v>18</v>
      </c>
      <c r="AB288">
        <v>52</v>
      </c>
      <c r="AC288">
        <v>11</v>
      </c>
      <c r="AD288">
        <v>6330</v>
      </c>
      <c r="AE288">
        <v>93</v>
      </c>
      <c r="AF288">
        <v>77</v>
      </c>
      <c r="AG288">
        <v>170</v>
      </c>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c r="EY288"/>
      <c r="EZ288"/>
      <c r="FA288"/>
      <c r="FB288"/>
      <c r="FC288"/>
    </row>
    <row r="289" spans="1:159" ht="14.5" x14ac:dyDescent="0.35">
      <c r="A289" t="s">
        <v>632</v>
      </c>
      <c r="B289" t="s">
        <v>633</v>
      </c>
      <c r="C289">
        <v>1970</v>
      </c>
      <c r="D289">
        <v>0</v>
      </c>
      <c r="E289">
        <v>89</v>
      </c>
      <c r="F289">
        <v>260</v>
      </c>
      <c r="G289">
        <v>617</v>
      </c>
      <c r="H289">
        <v>2936</v>
      </c>
      <c r="I289">
        <v>2319</v>
      </c>
      <c r="J289">
        <v>9</v>
      </c>
      <c r="K289">
        <v>115.58</v>
      </c>
      <c r="L289">
        <v>114.22</v>
      </c>
      <c r="M289">
        <v>7.62</v>
      </c>
      <c r="N289">
        <v>120.97</v>
      </c>
      <c r="O289">
        <v>995</v>
      </c>
      <c r="P289">
        <v>112.84</v>
      </c>
      <c r="Q289">
        <v>98.97</v>
      </c>
      <c r="R289">
        <v>68.34</v>
      </c>
      <c r="S289">
        <v>180.18</v>
      </c>
      <c r="T289">
        <v>272</v>
      </c>
      <c r="U289">
        <v>174.47</v>
      </c>
      <c r="V289">
        <v>955</v>
      </c>
      <c r="W289">
        <v>187.37</v>
      </c>
      <c r="X289">
        <v>73</v>
      </c>
      <c r="Y289">
        <v>0</v>
      </c>
      <c r="Z289">
        <v>1</v>
      </c>
      <c r="AA289">
        <v>3</v>
      </c>
      <c r="AB289">
        <v>34</v>
      </c>
      <c r="AC289">
        <v>9</v>
      </c>
      <c r="AD289">
        <v>1969</v>
      </c>
      <c r="AE289">
        <v>24</v>
      </c>
      <c r="AF289">
        <v>11</v>
      </c>
      <c r="AG289">
        <v>35</v>
      </c>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c r="DN289"/>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c r="EY289"/>
      <c r="EZ289"/>
      <c r="FA289"/>
      <c r="FB289"/>
      <c r="FC289"/>
    </row>
    <row r="290" spans="1:159" ht="14.5" x14ac:dyDescent="0.35">
      <c r="A290" t="s">
        <v>634</v>
      </c>
      <c r="B290" t="s">
        <v>635</v>
      </c>
      <c r="C290">
        <v>8010</v>
      </c>
      <c r="D290">
        <v>0</v>
      </c>
      <c r="E290">
        <v>257</v>
      </c>
      <c r="F290">
        <v>406</v>
      </c>
      <c r="G290">
        <v>1142</v>
      </c>
      <c r="H290">
        <v>9815</v>
      </c>
      <c r="I290">
        <v>8673</v>
      </c>
      <c r="J290">
        <v>6</v>
      </c>
      <c r="K290">
        <v>114.47</v>
      </c>
      <c r="L290">
        <v>111.26</v>
      </c>
      <c r="M290">
        <v>6.85</v>
      </c>
      <c r="N290">
        <v>115.83</v>
      </c>
      <c r="O290">
        <v>5521</v>
      </c>
      <c r="P290">
        <v>110.18</v>
      </c>
      <c r="Q290">
        <v>97.58</v>
      </c>
      <c r="R290">
        <v>36.549999999999997</v>
      </c>
      <c r="S290">
        <v>142.84</v>
      </c>
      <c r="T290">
        <v>574</v>
      </c>
      <c r="U290">
        <v>184.75</v>
      </c>
      <c r="V290">
        <v>2483</v>
      </c>
      <c r="W290">
        <v>190.51</v>
      </c>
      <c r="X290">
        <v>27</v>
      </c>
      <c r="Y290">
        <v>51</v>
      </c>
      <c r="Z290">
        <v>3</v>
      </c>
      <c r="AA290">
        <v>46</v>
      </c>
      <c r="AB290">
        <v>88</v>
      </c>
      <c r="AC290">
        <v>24</v>
      </c>
      <c r="AD290">
        <v>7910</v>
      </c>
      <c r="AE290">
        <v>37</v>
      </c>
      <c r="AF290">
        <v>102</v>
      </c>
      <c r="AG290">
        <v>139</v>
      </c>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c r="DC290"/>
      <c r="DD290"/>
      <c r="DE290"/>
      <c r="DF290"/>
      <c r="DG290"/>
      <c r="DH290"/>
      <c r="DI290"/>
      <c r="DJ290"/>
      <c r="DK290"/>
      <c r="DL290"/>
      <c r="DM290"/>
      <c r="DN290"/>
      <c r="DO290"/>
      <c r="DP290"/>
      <c r="DQ290"/>
      <c r="DR290"/>
      <c r="DS290"/>
      <c r="DT290"/>
      <c r="DU290"/>
      <c r="DV290"/>
      <c r="DW290"/>
      <c r="DX290"/>
      <c r="DY290"/>
      <c r="DZ290"/>
      <c r="EA290"/>
      <c r="EB290"/>
      <c r="EC290"/>
      <c r="ED290"/>
      <c r="EE290"/>
      <c r="EF290"/>
      <c r="EG290"/>
      <c r="EH290"/>
      <c r="EI290"/>
      <c r="EJ290"/>
      <c r="EK290"/>
      <c r="EL290"/>
      <c r="EM290"/>
      <c r="EN290"/>
      <c r="EO290"/>
      <c r="EP290"/>
      <c r="EQ290"/>
      <c r="ER290"/>
      <c r="ES290"/>
      <c r="ET290"/>
      <c r="EU290"/>
      <c r="EV290"/>
      <c r="EW290"/>
      <c r="EX290"/>
      <c r="EY290"/>
      <c r="EZ290"/>
      <c r="FA290"/>
      <c r="FB290"/>
      <c r="FC290"/>
    </row>
    <row r="291" spans="1:159" ht="14.5" x14ac:dyDescent="0.35">
      <c r="A291" t="s">
        <v>636</v>
      </c>
      <c r="B291" t="s">
        <v>637</v>
      </c>
      <c r="C291">
        <v>32481</v>
      </c>
      <c r="D291">
        <v>0</v>
      </c>
      <c r="E291">
        <v>2004</v>
      </c>
      <c r="F291">
        <v>651</v>
      </c>
      <c r="G291">
        <v>1330</v>
      </c>
      <c r="H291">
        <v>36466</v>
      </c>
      <c r="I291">
        <v>35136</v>
      </c>
      <c r="J291">
        <v>2</v>
      </c>
      <c r="K291">
        <v>88.27</v>
      </c>
      <c r="L291">
        <v>84.73</v>
      </c>
      <c r="M291">
        <v>4.6100000000000003</v>
      </c>
      <c r="N291">
        <v>89.11</v>
      </c>
      <c r="O291">
        <v>29589</v>
      </c>
      <c r="P291">
        <v>87.5</v>
      </c>
      <c r="Q291">
        <v>80.02</v>
      </c>
      <c r="R291">
        <v>38.31</v>
      </c>
      <c r="S291">
        <v>125.52</v>
      </c>
      <c r="T291">
        <v>2473</v>
      </c>
      <c r="U291">
        <v>107.02</v>
      </c>
      <c r="V291">
        <v>2550</v>
      </c>
      <c r="W291">
        <v>215.29</v>
      </c>
      <c r="X291">
        <v>77</v>
      </c>
      <c r="Y291">
        <v>4</v>
      </c>
      <c r="Z291">
        <v>172</v>
      </c>
      <c r="AA291">
        <v>9</v>
      </c>
      <c r="AB291">
        <v>154</v>
      </c>
      <c r="AC291">
        <v>34</v>
      </c>
      <c r="AD291">
        <v>32446</v>
      </c>
      <c r="AE291">
        <v>190</v>
      </c>
      <c r="AF291">
        <v>192</v>
      </c>
      <c r="AG291">
        <v>382</v>
      </c>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c r="CY291"/>
      <c r="CZ291"/>
      <c r="DA291"/>
      <c r="DB291"/>
      <c r="DC291"/>
      <c r="DD291"/>
      <c r="DE291"/>
      <c r="DF291"/>
      <c r="DG291"/>
      <c r="DH291"/>
      <c r="DI291"/>
      <c r="DJ291"/>
      <c r="DK291"/>
      <c r="DL291"/>
      <c r="DM291"/>
      <c r="DN291"/>
      <c r="DO291"/>
      <c r="DP291"/>
      <c r="DQ291"/>
      <c r="DR291"/>
      <c r="DS291"/>
      <c r="DT291"/>
      <c r="DU291"/>
      <c r="DV291"/>
      <c r="DW291"/>
      <c r="DX291"/>
      <c r="DY291"/>
      <c r="DZ291"/>
      <c r="EA291"/>
      <c r="EB291"/>
      <c r="EC291"/>
      <c r="ED291"/>
      <c r="EE291"/>
      <c r="EF291"/>
      <c r="EG291"/>
      <c r="EH291"/>
      <c r="EI291"/>
      <c r="EJ291"/>
      <c r="EK291"/>
      <c r="EL291"/>
      <c r="EM291"/>
      <c r="EN291"/>
      <c r="EO291"/>
      <c r="EP291"/>
      <c r="EQ291"/>
      <c r="ER291"/>
      <c r="ES291"/>
      <c r="ET291"/>
      <c r="EU291"/>
      <c r="EV291"/>
      <c r="EW291"/>
      <c r="EX291"/>
      <c r="EY291"/>
      <c r="EZ291"/>
      <c r="FA291"/>
      <c r="FB291"/>
      <c r="FC291"/>
    </row>
    <row r="292" spans="1:159" ht="14.5" x14ac:dyDescent="0.35">
      <c r="A292" t="s">
        <v>638</v>
      </c>
      <c r="B292" t="s">
        <v>639</v>
      </c>
      <c r="C292">
        <v>26556</v>
      </c>
      <c r="D292">
        <v>7</v>
      </c>
      <c r="E292">
        <v>480</v>
      </c>
      <c r="F292">
        <v>793</v>
      </c>
      <c r="G292">
        <v>532</v>
      </c>
      <c r="H292">
        <v>28368</v>
      </c>
      <c r="I292">
        <v>27836</v>
      </c>
      <c r="J292">
        <v>567</v>
      </c>
      <c r="K292">
        <v>90.87</v>
      </c>
      <c r="L292">
        <v>90.88</v>
      </c>
      <c r="M292">
        <v>10.85</v>
      </c>
      <c r="N292">
        <v>96.41</v>
      </c>
      <c r="O292">
        <v>23862</v>
      </c>
      <c r="P292">
        <v>106.15</v>
      </c>
      <c r="Q292">
        <v>94.42</v>
      </c>
      <c r="R292">
        <v>58.67</v>
      </c>
      <c r="S292">
        <v>162.83000000000001</v>
      </c>
      <c r="T292">
        <v>1005</v>
      </c>
      <c r="U292">
        <v>115.58</v>
      </c>
      <c r="V292">
        <v>2334</v>
      </c>
      <c r="W292">
        <v>153.66999999999999</v>
      </c>
      <c r="X292">
        <v>207</v>
      </c>
      <c r="Y292">
        <v>0</v>
      </c>
      <c r="Z292">
        <v>115</v>
      </c>
      <c r="AA292">
        <v>3</v>
      </c>
      <c r="AB292">
        <v>34</v>
      </c>
      <c r="AC292">
        <v>14</v>
      </c>
      <c r="AD292">
        <v>26499</v>
      </c>
      <c r="AE292">
        <v>156</v>
      </c>
      <c r="AF292">
        <v>200</v>
      </c>
      <c r="AG292">
        <v>356</v>
      </c>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c r="CM292"/>
      <c r="CN292"/>
      <c r="CO292"/>
      <c r="CP292"/>
      <c r="CQ292"/>
      <c r="CR292"/>
      <c r="CS292"/>
      <c r="CT292"/>
      <c r="CU292"/>
      <c r="CV292"/>
      <c r="CW292"/>
      <c r="CX292"/>
      <c r="CY292"/>
      <c r="CZ292"/>
      <c r="DA292"/>
      <c r="DB292"/>
      <c r="DC292"/>
      <c r="DD292"/>
      <c r="DE292"/>
      <c r="DF292"/>
      <c r="DG292"/>
      <c r="DH292"/>
      <c r="DI292"/>
      <c r="DJ292"/>
      <c r="DK292"/>
      <c r="DL292"/>
      <c r="DM292"/>
      <c r="DN292"/>
      <c r="DO292"/>
      <c r="DP292"/>
      <c r="DQ292"/>
      <c r="DR292"/>
      <c r="DS292"/>
      <c r="DT292"/>
      <c r="DU292"/>
      <c r="DV292"/>
      <c r="DW292"/>
      <c r="DX292"/>
      <c r="DY292"/>
      <c r="DZ292"/>
      <c r="EA292"/>
      <c r="EB292"/>
      <c r="EC292"/>
      <c r="ED292"/>
      <c r="EE292"/>
      <c r="EF292"/>
      <c r="EG292"/>
      <c r="EH292"/>
      <c r="EI292"/>
      <c r="EJ292"/>
      <c r="EK292"/>
      <c r="EL292"/>
      <c r="EM292"/>
      <c r="EN292"/>
      <c r="EO292"/>
      <c r="EP292"/>
      <c r="EQ292"/>
      <c r="ER292"/>
      <c r="ES292"/>
      <c r="ET292"/>
      <c r="EU292"/>
      <c r="EV292"/>
      <c r="EW292"/>
      <c r="EX292"/>
      <c r="EY292"/>
      <c r="EZ292"/>
      <c r="FA292"/>
      <c r="FB292"/>
      <c r="FC292"/>
    </row>
    <row r="293" spans="1:159" ht="14.5" x14ac:dyDescent="0.35">
      <c r="A293" t="s">
        <v>640</v>
      </c>
      <c r="B293" t="s">
        <v>641</v>
      </c>
      <c r="C293">
        <v>11054</v>
      </c>
      <c r="D293">
        <v>13</v>
      </c>
      <c r="E293">
        <v>1018</v>
      </c>
      <c r="F293">
        <v>883</v>
      </c>
      <c r="G293">
        <v>1922</v>
      </c>
      <c r="H293">
        <v>14890</v>
      </c>
      <c r="I293">
        <v>12968</v>
      </c>
      <c r="J293">
        <v>22</v>
      </c>
      <c r="K293">
        <v>125.12</v>
      </c>
      <c r="L293">
        <v>123.12</v>
      </c>
      <c r="M293">
        <v>12.4</v>
      </c>
      <c r="N293">
        <v>132.11000000000001</v>
      </c>
      <c r="O293">
        <v>8723</v>
      </c>
      <c r="P293">
        <v>108.67</v>
      </c>
      <c r="Q293">
        <v>101.43</v>
      </c>
      <c r="R293">
        <v>45.11</v>
      </c>
      <c r="S293">
        <v>153.07</v>
      </c>
      <c r="T293">
        <v>1274</v>
      </c>
      <c r="U293">
        <v>201.11</v>
      </c>
      <c r="V293">
        <v>1810</v>
      </c>
      <c r="W293">
        <v>233.11</v>
      </c>
      <c r="X293">
        <v>93</v>
      </c>
      <c r="Y293">
        <v>0</v>
      </c>
      <c r="Z293">
        <v>5</v>
      </c>
      <c r="AA293">
        <v>15</v>
      </c>
      <c r="AB293">
        <v>144</v>
      </c>
      <c r="AC293">
        <v>68</v>
      </c>
      <c r="AD293">
        <v>10801</v>
      </c>
      <c r="AE293">
        <v>162</v>
      </c>
      <c r="AF293">
        <v>70</v>
      </c>
      <c r="AG293">
        <v>232</v>
      </c>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c r="DD293"/>
      <c r="DE293"/>
      <c r="DF293"/>
      <c r="DG293"/>
      <c r="DH293"/>
      <c r="DI293"/>
      <c r="DJ293"/>
      <c r="DK293"/>
      <c r="DL293"/>
      <c r="DM293"/>
      <c r="DN293"/>
      <c r="DO293"/>
      <c r="DP293"/>
      <c r="DQ293"/>
      <c r="DR293"/>
      <c r="DS293"/>
      <c r="DT293"/>
      <c r="DU293"/>
      <c r="DV293"/>
      <c r="DW293"/>
      <c r="DX293"/>
      <c r="DY293"/>
      <c r="DZ293"/>
      <c r="EA293"/>
      <c r="EB293"/>
      <c r="EC293"/>
      <c r="ED293"/>
      <c r="EE293"/>
      <c r="EF293"/>
      <c r="EG293"/>
      <c r="EH293"/>
      <c r="EI293"/>
      <c r="EJ293"/>
      <c r="EK293"/>
      <c r="EL293"/>
      <c r="EM293"/>
      <c r="EN293"/>
      <c r="EO293"/>
      <c r="EP293"/>
      <c r="EQ293"/>
      <c r="ER293"/>
      <c r="ES293"/>
      <c r="ET293"/>
      <c r="EU293"/>
      <c r="EV293"/>
      <c r="EW293"/>
      <c r="EX293"/>
      <c r="EY293"/>
      <c r="EZ293"/>
      <c r="FA293"/>
      <c r="FB293"/>
      <c r="FC293"/>
    </row>
    <row r="294" spans="1:159" ht="14.5" x14ac:dyDescent="0.35">
      <c r="A294" t="s">
        <v>642</v>
      </c>
      <c r="B294" t="s">
        <v>643</v>
      </c>
      <c r="C294">
        <v>9495</v>
      </c>
      <c r="D294">
        <v>6</v>
      </c>
      <c r="E294">
        <v>1037</v>
      </c>
      <c r="F294">
        <v>1055</v>
      </c>
      <c r="G294">
        <v>2635</v>
      </c>
      <c r="H294">
        <v>14228</v>
      </c>
      <c r="I294">
        <v>11593</v>
      </c>
      <c r="J294">
        <v>195</v>
      </c>
      <c r="K294">
        <v>138.08000000000001</v>
      </c>
      <c r="L294">
        <v>147.51</v>
      </c>
      <c r="M294">
        <v>10.14</v>
      </c>
      <c r="N294">
        <v>145.52000000000001</v>
      </c>
      <c r="O294">
        <v>6811</v>
      </c>
      <c r="P294">
        <v>128.43</v>
      </c>
      <c r="Q294">
        <v>123.85</v>
      </c>
      <c r="R294">
        <v>48.02</v>
      </c>
      <c r="S294">
        <v>170.67</v>
      </c>
      <c r="T294">
        <v>1909</v>
      </c>
      <c r="U294">
        <v>214.84</v>
      </c>
      <c r="V294">
        <v>1371</v>
      </c>
      <c r="W294">
        <v>248.12</v>
      </c>
      <c r="X294">
        <v>34</v>
      </c>
      <c r="Y294">
        <v>71</v>
      </c>
      <c r="Z294">
        <v>0</v>
      </c>
      <c r="AA294">
        <v>37</v>
      </c>
      <c r="AB294">
        <v>99</v>
      </c>
      <c r="AC294">
        <v>69</v>
      </c>
      <c r="AD294">
        <v>9044</v>
      </c>
      <c r="AE294">
        <v>404</v>
      </c>
      <c r="AF294">
        <v>96</v>
      </c>
      <c r="AG294">
        <v>500</v>
      </c>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c r="DI294"/>
      <c r="DJ294"/>
      <c r="DK294"/>
      <c r="DL294"/>
      <c r="DM294"/>
      <c r="DN294"/>
      <c r="DO294"/>
      <c r="DP294"/>
      <c r="DQ294"/>
      <c r="DR294"/>
      <c r="DS294"/>
      <c r="DT294"/>
      <c r="DU294"/>
      <c r="DV294"/>
      <c r="DW294"/>
      <c r="DX294"/>
      <c r="DY294"/>
      <c r="DZ294"/>
      <c r="EA294"/>
      <c r="EB294"/>
      <c r="EC294"/>
      <c r="ED294"/>
      <c r="EE294"/>
      <c r="EF294"/>
      <c r="EG294"/>
      <c r="EH294"/>
      <c r="EI294"/>
      <c r="EJ294"/>
      <c r="EK294"/>
      <c r="EL294"/>
      <c r="EM294"/>
      <c r="EN294"/>
      <c r="EO294"/>
      <c r="EP294"/>
      <c r="EQ294"/>
      <c r="ER294"/>
      <c r="ES294"/>
      <c r="ET294"/>
      <c r="EU294"/>
      <c r="EV294"/>
      <c r="EW294"/>
      <c r="EX294"/>
      <c r="EY294"/>
      <c r="EZ294"/>
      <c r="FA294"/>
      <c r="FB294"/>
      <c r="FC294"/>
    </row>
    <row r="295" spans="1:159" ht="14.5" x14ac:dyDescent="0.35">
      <c r="A295" t="s">
        <v>644</v>
      </c>
      <c r="B295" t="s">
        <v>645</v>
      </c>
      <c r="C295">
        <v>12137</v>
      </c>
      <c r="D295">
        <v>0</v>
      </c>
      <c r="E295">
        <v>540</v>
      </c>
      <c r="F295">
        <v>2211</v>
      </c>
      <c r="G295">
        <v>716</v>
      </c>
      <c r="H295">
        <v>15604</v>
      </c>
      <c r="I295">
        <v>14888</v>
      </c>
      <c r="J295">
        <v>12</v>
      </c>
      <c r="K295">
        <v>90.27</v>
      </c>
      <c r="L295">
        <v>90.57</v>
      </c>
      <c r="M295">
        <v>5.67</v>
      </c>
      <c r="N295">
        <v>92.09</v>
      </c>
      <c r="O295">
        <v>10921</v>
      </c>
      <c r="P295">
        <v>92.53</v>
      </c>
      <c r="Q295">
        <v>83.08</v>
      </c>
      <c r="R295">
        <v>34.21</v>
      </c>
      <c r="S295">
        <v>123.45</v>
      </c>
      <c r="T295">
        <v>2509</v>
      </c>
      <c r="U295">
        <v>115.2</v>
      </c>
      <c r="V295">
        <v>956</v>
      </c>
      <c r="W295">
        <v>161.30000000000001</v>
      </c>
      <c r="X295">
        <v>93</v>
      </c>
      <c r="Y295">
        <v>0</v>
      </c>
      <c r="Z295">
        <v>68</v>
      </c>
      <c r="AA295">
        <v>2</v>
      </c>
      <c r="AB295">
        <v>113</v>
      </c>
      <c r="AC295">
        <v>31</v>
      </c>
      <c r="AD295">
        <v>12137</v>
      </c>
      <c r="AE295">
        <v>179</v>
      </c>
      <c r="AF295">
        <v>62</v>
      </c>
      <c r="AG295">
        <v>241</v>
      </c>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c r="DN295"/>
      <c r="DO295"/>
      <c r="DP295"/>
      <c r="DQ295"/>
      <c r="DR295"/>
      <c r="DS295"/>
      <c r="DT295"/>
      <c r="DU295"/>
      <c r="DV295"/>
      <c r="DW295"/>
      <c r="DX295"/>
      <c r="DY295"/>
      <c r="DZ295"/>
      <c r="EA295"/>
      <c r="EB295"/>
      <c r="EC295"/>
      <c r="ED295"/>
      <c r="EE295"/>
      <c r="EF295"/>
      <c r="EG295"/>
      <c r="EH295"/>
      <c r="EI295"/>
      <c r="EJ295"/>
      <c r="EK295"/>
      <c r="EL295"/>
      <c r="EM295"/>
      <c r="EN295"/>
      <c r="EO295"/>
      <c r="EP295"/>
      <c r="EQ295"/>
      <c r="ER295"/>
      <c r="ES295"/>
      <c r="ET295"/>
      <c r="EU295"/>
      <c r="EV295"/>
      <c r="EW295"/>
      <c r="EX295"/>
      <c r="EY295"/>
      <c r="EZ295"/>
      <c r="FA295"/>
      <c r="FB295"/>
      <c r="FC295"/>
    </row>
    <row r="296" spans="1:159" ht="14.5" x14ac:dyDescent="0.35">
      <c r="A296" t="s">
        <v>646</v>
      </c>
      <c r="B296" t="s">
        <v>647</v>
      </c>
      <c r="C296">
        <v>3662</v>
      </c>
      <c r="D296">
        <v>0</v>
      </c>
      <c r="E296">
        <v>170</v>
      </c>
      <c r="F296">
        <v>598</v>
      </c>
      <c r="G296">
        <v>1138</v>
      </c>
      <c r="H296">
        <v>5568</v>
      </c>
      <c r="I296">
        <v>4430</v>
      </c>
      <c r="J296">
        <v>70</v>
      </c>
      <c r="K296">
        <v>114.92</v>
      </c>
      <c r="L296">
        <v>112.12</v>
      </c>
      <c r="M296">
        <v>7.17</v>
      </c>
      <c r="N296">
        <v>120.89</v>
      </c>
      <c r="O296">
        <v>2719</v>
      </c>
      <c r="P296">
        <v>111.44</v>
      </c>
      <c r="Q296">
        <v>96.58</v>
      </c>
      <c r="R296">
        <v>58.82</v>
      </c>
      <c r="S296">
        <v>170.08</v>
      </c>
      <c r="T296">
        <v>658</v>
      </c>
      <c r="U296">
        <v>160.24</v>
      </c>
      <c r="V296">
        <v>856</v>
      </c>
      <c r="W296">
        <v>172.31</v>
      </c>
      <c r="X296">
        <v>25</v>
      </c>
      <c r="Y296">
        <v>0</v>
      </c>
      <c r="Z296">
        <v>4</v>
      </c>
      <c r="AA296">
        <v>4</v>
      </c>
      <c r="AB296">
        <v>149</v>
      </c>
      <c r="AC296">
        <v>26</v>
      </c>
      <c r="AD296">
        <v>3598</v>
      </c>
      <c r="AE296">
        <v>12</v>
      </c>
      <c r="AF296">
        <v>90</v>
      </c>
      <c r="AG296">
        <v>102</v>
      </c>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c r="DC296"/>
      <c r="DD296"/>
      <c r="DE296"/>
      <c r="DF296"/>
      <c r="DG296"/>
      <c r="DH296"/>
      <c r="DI296"/>
      <c r="DJ296"/>
      <c r="DK296"/>
      <c r="DL296"/>
      <c r="DM296"/>
      <c r="DN296"/>
      <c r="DO296"/>
      <c r="DP296"/>
      <c r="DQ296"/>
      <c r="DR296"/>
      <c r="DS296"/>
      <c r="DT296"/>
      <c r="DU296"/>
      <c r="DV296"/>
      <c r="DW296"/>
      <c r="DX296"/>
      <c r="DY296"/>
      <c r="DZ296"/>
      <c r="EA296"/>
      <c r="EB296"/>
      <c r="EC296"/>
      <c r="ED296"/>
      <c r="EE296"/>
      <c r="EF296"/>
      <c r="EG296"/>
      <c r="EH296"/>
      <c r="EI296"/>
      <c r="EJ296"/>
      <c r="EK296"/>
      <c r="EL296"/>
      <c r="EM296"/>
      <c r="EN296"/>
      <c r="EO296"/>
      <c r="EP296"/>
      <c r="EQ296"/>
      <c r="ER296"/>
      <c r="ES296"/>
      <c r="ET296"/>
      <c r="EU296"/>
      <c r="EV296"/>
      <c r="EW296"/>
      <c r="EX296"/>
      <c r="EY296"/>
      <c r="EZ296"/>
      <c r="FA296"/>
      <c r="FB296"/>
      <c r="FC296"/>
    </row>
    <row r="297" spans="1:159" ht="14.5" x14ac:dyDescent="0.35">
      <c r="A297" t="s">
        <v>648</v>
      </c>
      <c r="B297" t="s">
        <v>649</v>
      </c>
      <c r="C297">
        <v>5850</v>
      </c>
      <c r="D297">
        <v>156</v>
      </c>
      <c r="E297">
        <v>419</v>
      </c>
      <c r="F297">
        <v>589</v>
      </c>
      <c r="G297">
        <v>446</v>
      </c>
      <c r="H297">
        <v>7460</v>
      </c>
      <c r="I297">
        <v>7014</v>
      </c>
      <c r="J297">
        <v>13</v>
      </c>
      <c r="K297">
        <v>122.25</v>
      </c>
      <c r="L297">
        <v>131.6</v>
      </c>
      <c r="M297">
        <v>10.53</v>
      </c>
      <c r="N297">
        <v>127.07</v>
      </c>
      <c r="O297">
        <v>5006</v>
      </c>
      <c r="P297">
        <v>99.41</v>
      </c>
      <c r="Q297">
        <v>97.78</v>
      </c>
      <c r="R297">
        <v>34.89</v>
      </c>
      <c r="S297">
        <v>133.01</v>
      </c>
      <c r="T297">
        <v>701</v>
      </c>
      <c r="U297">
        <v>203.37</v>
      </c>
      <c r="V297">
        <v>683</v>
      </c>
      <c r="W297">
        <v>174.37</v>
      </c>
      <c r="X297">
        <v>2</v>
      </c>
      <c r="Y297">
        <v>28</v>
      </c>
      <c r="Z297">
        <v>5</v>
      </c>
      <c r="AA297">
        <v>0</v>
      </c>
      <c r="AB297">
        <v>62</v>
      </c>
      <c r="AC297">
        <v>7</v>
      </c>
      <c r="AD297">
        <v>5809</v>
      </c>
      <c r="AE297">
        <v>17</v>
      </c>
      <c r="AF297">
        <v>37</v>
      </c>
      <c r="AG297">
        <v>54</v>
      </c>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c r="CY297"/>
      <c r="CZ297"/>
      <c r="DA297"/>
      <c r="DB297"/>
      <c r="DC297"/>
      <c r="DD297"/>
      <c r="DE297"/>
      <c r="DF297"/>
      <c r="DG297"/>
      <c r="DH297"/>
      <c r="DI297"/>
      <c r="DJ297"/>
      <c r="DK297"/>
      <c r="DL297"/>
      <c r="DM297"/>
      <c r="DN297"/>
      <c r="DO297"/>
      <c r="DP297"/>
      <c r="DQ297"/>
      <c r="DR297"/>
      <c r="DS297"/>
      <c r="DT297"/>
      <c r="DU297"/>
      <c r="DV297"/>
      <c r="DW297"/>
      <c r="DX297"/>
      <c r="DY297"/>
      <c r="DZ297"/>
      <c r="EA297"/>
      <c r="EB297"/>
      <c r="EC297"/>
      <c r="ED297"/>
      <c r="EE297"/>
      <c r="EF297"/>
      <c r="EG297"/>
      <c r="EH297"/>
      <c r="EI297"/>
      <c r="EJ297"/>
      <c r="EK297"/>
      <c r="EL297"/>
      <c r="EM297"/>
      <c r="EN297"/>
      <c r="EO297"/>
      <c r="EP297"/>
      <c r="EQ297"/>
      <c r="ER297"/>
      <c r="ES297"/>
      <c r="ET297"/>
      <c r="EU297"/>
      <c r="EV297"/>
      <c r="EW297"/>
      <c r="EX297"/>
      <c r="EY297"/>
      <c r="EZ297"/>
      <c r="FA297"/>
      <c r="FB297"/>
      <c r="FC297"/>
    </row>
    <row r="298" spans="1:159" ht="14.5" x14ac:dyDescent="0.35">
      <c r="A298" t="s">
        <v>650</v>
      </c>
      <c r="B298" t="s">
        <v>651</v>
      </c>
      <c r="C298">
        <v>1605</v>
      </c>
      <c r="D298">
        <v>0</v>
      </c>
      <c r="E298">
        <v>140</v>
      </c>
      <c r="F298">
        <v>164</v>
      </c>
      <c r="G298">
        <v>702</v>
      </c>
      <c r="H298">
        <v>2611</v>
      </c>
      <c r="I298">
        <v>1909</v>
      </c>
      <c r="J298">
        <v>3</v>
      </c>
      <c r="K298">
        <v>125.67</v>
      </c>
      <c r="L298">
        <v>121.75</v>
      </c>
      <c r="M298">
        <v>6.08</v>
      </c>
      <c r="N298">
        <v>131.19999999999999</v>
      </c>
      <c r="O298">
        <v>923</v>
      </c>
      <c r="P298">
        <v>115.11</v>
      </c>
      <c r="Q298">
        <v>98.22</v>
      </c>
      <c r="R298">
        <v>39.700000000000003</v>
      </c>
      <c r="S298">
        <v>154.53</v>
      </c>
      <c r="T298">
        <v>139</v>
      </c>
      <c r="U298">
        <v>205.87</v>
      </c>
      <c r="V298">
        <v>630</v>
      </c>
      <c r="W298">
        <v>149.03</v>
      </c>
      <c r="X298">
        <v>12</v>
      </c>
      <c r="Y298">
        <v>0</v>
      </c>
      <c r="Z298">
        <v>0</v>
      </c>
      <c r="AA298">
        <v>0</v>
      </c>
      <c r="AB298">
        <v>90</v>
      </c>
      <c r="AC298">
        <v>25</v>
      </c>
      <c r="AD298">
        <v>1498</v>
      </c>
      <c r="AE298">
        <v>15</v>
      </c>
      <c r="AF298">
        <v>2</v>
      </c>
      <c r="AG298">
        <v>17</v>
      </c>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c r="CM298"/>
      <c r="CN298"/>
      <c r="CO298"/>
      <c r="CP298"/>
      <c r="CQ298"/>
      <c r="CR298"/>
      <c r="CS298"/>
      <c r="CT298"/>
      <c r="CU298"/>
      <c r="CV298"/>
      <c r="CW298"/>
      <c r="CX298"/>
      <c r="CY298"/>
      <c r="CZ298"/>
      <c r="DA298"/>
      <c r="DB298"/>
      <c r="DC298"/>
      <c r="DD298"/>
      <c r="DE298"/>
      <c r="DF298"/>
      <c r="DG298"/>
      <c r="DH298"/>
      <c r="DI298"/>
      <c r="DJ298"/>
      <c r="DK298"/>
      <c r="DL298"/>
      <c r="DM298"/>
      <c r="DN298"/>
      <c r="DO298"/>
      <c r="DP298"/>
      <c r="DQ298"/>
      <c r="DR298"/>
      <c r="DS298"/>
      <c r="DT298"/>
      <c r="DU298"/>
      <c r="DV298"/>
      <c r="DW298"/>
      <c r="DX298"/>
      <c r="DY298"/>
      <c r="DZ298"/>
      <c r="EA298"/>
      <c r="EB298"/>
      <c r="EC298"/>
      <c r="ED298"/>
      <c r="EE298"/>
      <c r="EF298"/>
      <c r="EG298"/>
      <c r="EH298"/>
      <c r="EI298"/>
      <c r="EJ298"/>
      <c r="EK298"/>
      <c r="EL298"/>
      <c r="EM298"/>
      <c r="EN298"/>
      <c r="EO298"/>
      <c r="EP298"/>
      <c r="EQ298"/>
      <c r="ER298"/>
      <c r="ES298"/>
      <c r="ET298"/>
      <c r="EU298"/>
      <c r="EV298"/>
      <c r="EW298"/>
      <c r="EX298"/>
      <c r="EY298"/>
      <c r="EZ298"/>
      <c r="FA298"/>
      <c r="FB298"/>
      <c r="FC298"/>
    </row>
    <row r="299" spans="1:159" ht="14.5" x14ac:dyDescent="0.35">
      <c r="A299" t="s">
        <v>652</v>
      </c>
      <c r="B299" t="s">
        <v>653</v>
      </c>
      <c r="C299">
        <v>2696</v>
      </c>
      <c r="D299">
        <v>0</v>
      </c>
      <c r="E299">
        <v>151</v>
      </c>
      <c r="F299">
        <v>325</v>
      </c>
      <c r="G299">
        <v>795</v>
      </c>
      <c r="H299">
        <v>3967</v>
      </c>
      <c r="I299">
        <v>3172</v>
      </c>
      <c r="J299">
        <v>6</v>
      </c>
      <c r="K299">
        <v>109.47</v>
      </c>
      <c r="L299">
        <v>105.29</v>
      </c>
      <c r="M299">
        <v>6.76</v>
      </c>
      <c r="N299">
        <v>114.69</v>
      </c>
      <c r="O299">
        <v>1417</v>
      </c>
      <c r="P299">
        <v>94.37</v>
      </c>
      <c r="Q299">
        <v>81.39</v>
      </c>
      <c r="R299">
        <v>43.62</v>
      </c>
      <c r="S299">
        <v>135.75</v>
      </c>
      <c r="T299">
        <v>234</v>
      </c>
      <c r="U299">
        <v>164.57</v>
      </c>
      <c r="V299">
        <v>1251</v>
      </c>
      <c r="W299">
        <v>278.61</v>
      </c>
      <c r="X299">
        <v>103</v>
      </c>
      <c r="Y299">
        <v>15</v>
      </c>
      <c r="Z299">
        <v>0</v>
      </c>
      <c r="AA299">
        <v>0</v>
      </c>
      <c r="AB299">
        <v>54</v>
      </c>
      <c r="AC299">
        <v>10</v>
      </c>
      <c r="AD299">
        <v>2665</v>
      </c>
      <c r="AE299">
        <v>30</v>
      </c>
      <c r="AF299">
        <v>9</v>
      </c>
      <c r="AG299">
        <v>39</v>
      </c>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c r="CY299"/>
      <c r="CZ299"/>
      <c r="DA299"/>
      <c r="DB299"/>
      <c r="DC299"/>
      <c r="DD299"/>
      <c r="DE299"/>
      <c r="DF299"/>
      <c r="DG299"/>
      <c r="DH299"/>
      <c r="DI299"/>
      <c r="DJ299"/>
      <c r="DK299"/>
      <c r="DL299"/>
      <c r="DM299"/>
      <c r="DN299"/>
      <c r="DO299"/>
      <c r="DP299"/>
      <c r="DQ299"/>
      <c r="DR299"/>
      <c r="DS299"/>
      <c r="DT299"/>
      <c r="DU299"/>
      <c r="DV299"/>
      <c r="DW299"/>
      <c r="DX299"/>
      <c r="DY299"/>
      <c r="DZ299"/>
      <c r="EA299"/>
      <c r="EB299"/>
      <c r="EC299"/>
      <c r="ED299"/>
      <c r="EE299"/>
      <c r="EF299"/>
      <c r="EG299"/>
      <c r="EH299"/>
      <c r="EI299"/>
      <c r="EJ299"/>
      <c r="EK299"/>
      <c r="EL299"/>
      <c r="EM299"/>
      <c r="EN299"/>
      <c r="EO299"/>
      <c r="EP299"/>
      <c r="EQ299"/>
      <c r="ER299"/>
      <c r="ES299"/>
      <c r="ET299"/>
      <c r="EU299"/>
      <c r="EV299"/>
      <c r="EW299"/>
      <c r="EX299"/>
      <c r="EY299"/>
      <c r="EZ299"/>
      <c r="FA299"/>
      <c r="FB299"/>
      <c r="FC299"/>
    </row>
    <row r="300" spans="1:159" ht="14.5" x14ac:dyDescent="0.35">
      <c r="A300" t="s">
        <v>654</v>
      </c>
      <c r="B300" t="s">
        <v>655</v>
      </c>
      <c r="C300">
        <v>3041</v>
      </c>
      <c r="D300">
        <v>0</v>
      </c>
      <c r="E300">
        <v>392</v>
      </c>
      <c r="F300">
        <v>389</v>
      </c>
      <c r="G300">
        <v>818</v>
      </c>
      <c r="H300">
        <v>4640</v>
      </c>
      <c r="I300">
        <v>3822</v>
      </c>
      <c r="J300">
        <v>149</v>
      </c>
      <c r="K300">
        <v>118.23</v>
      </c>
      <c r="L300">
        <v>115.91</v>
      </c>
      <c r="M300">
        <v>9.91</v>
      </c>
      <c r="N300">
        <v>126.65</v>
      </c>
      <c r="O300">
        <v>2346</v>
      </c>
      <c r="P300">
        <v>116.63</v>
      </c>
      <c r="Q300">
        <v>106.73</v>
      </c>
      <c r="R300">
        <v>46.47</v>
      </c>
      <c r="S300">
        <v>158.96</v>
      </c>
      <c r="T300">
        <v>573</v>
      </c>
      <c r="U300">
        <v>167.82</v>
      </c>
      <c r="V300">
        <v>627</v>
      </c>
      <c r="W300">
        <v>0</v>
      </c>
      <c r="X300">
        <v>0</v>
      </c>
      <c r="Y300">
        <v>0</v>
      </c>
      <c r="Z300">
        <v>3</v>
      </c>
      <c r="AA300">
        <v>0</v>
      </c>
      <c r="AB300">
        <v>53</v>
      </c>
      <c r="AC300">
        <v>27</v>
      </c>
      <c r="AD300">
        <v>2998</v>
      </c>
      <c r="AE300">
        <v>21</v>
      </c>
      <c r="AF300">
        <v>15</v>
      </c>
      <c r="AG300">
        <v>36</v>
      </c>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c r="CY300"/>
      <c r="CZ300"/>
      <c r="DA300"/>
      <c r="DB300"/>
      <c r="DC300"/>
      <c r="DD300"/>
      <c r="DE300"/>
      <c r="DF300"/>
      <c r="DG300"/>
      <c r="DH300"/>
      <c r="DI300"/>
      <c r="DJ300"/>
      <c r="DK300"/>
      <c r="DL300"/>
      <c r="DM300"/>
      <c r="DN300"/>
      <c r="DO300"/>
      <c r="DP300"/>
      <c r="DQ300"/>
      <c r="DR300"/>
      <c r="DS300"/>
      <c r="DT300"/>
      <c r="DU300"/>
      <c r="DV300"/>
      <c r="DW300"/>
      <c r="DX300"/>
      <c r="DY300"/>
      <c r="DZ300"/>
      <c r="EA300"/>
      <c r="EB300"/>
      <c r="EC300"/>
      <c r="ED300"/>
      <c r="EE300"/>
      <c r="EF300"/>
      <c r="EG300"/>
      <c r="EH300"/>
      <c r="EI300"/>
      <c r="EJ300"/>
      <c r="EK300"/>
      <c r="EL300"/>
      <c r="EM300"/>
      <c r="EN300"/>
      <c r="EO300"/>
      <c r="EP300"/>
      <c r="EQ300"/>
      <c r="ER300"/>
      <c r="ES300"/>
      <c r="ET300"/>
      <c r="EU300"/>
      <c r="EV300"/>
      <c r="EW300"/>
      <c r="EX300"/>
      <c r="EY300"/>
      <c r="EZ300"/>
      <c r="FA300"/>
      <c r="FB300"/>
      <c r="FC300"/>
    </row>
    <row r="301" spans="1:159" ht="14.5" x14ac:dyDescent="0.35">
      <c r="A301" t="s">
        <v>656</v>
      </c>
      <c r="B301" t="s">
        <v>657</v>
      </c>
      <c r="C301">
        <v>8060</v>
      </c>
      <c r="D301">
        <v>0</v>
      </c>
      <c r="E301">
        <v>367</v>
      </c>
      <c r="F301">
        <v>883</v>
      </c>
      <c r="G301">
        <v>863</v>
      </c>
      <c r="H301">
        <v>10173</v>
      </c>
      <c r="I301">
        <v>9310</v>
      </c>
      <c r="J301">
        <v>10</v>
      </c>
      <c r="K301">
        <v>126.16</v>
      </c>
      <c r="L301">
        <v>124.59</v>
      </c>
      <c r="M301">
        <v>6.31</v>
      </c>
      <c r="N301">
        <v>129.43</v>
      </c>
      <c r="O301">
        <v>7663</v>
      </c>
      <c r="P301">
        <v>114.68</v>
      </c>
      <c r="Q301">
        <v>106.9</v>
      </c>
      <c r="R301">
        <v>39.340000000000003</v>
      </c>
      <c r="S301">
        <v>151.49</v>
      </c>
      <c r="T301">
        <v>1105</v>
      </c>
      <c r="U301">
        <v>162.36000000000001</v>
      </c>
      <c r="V301">
        <v>387</v>
      </c>
      <c r="W301">
        <v>163.22</v>
      </c>
      <c r="X301">
        <v>42</v>
      </c>
      <c r="Y301">
        <v>133</v>
      </c>
      <c r="Z301">
        <v>4</v>
      </c>
      <c r="AA301">
        <v>25</v>
      </c>
      <c r="AB301">
        <v>57</v>
      </c>
      <c r="AC301">
        <v>19</v>
      </c>
      <c r="AD301">
        <v>8044</v>
      </c>
      <c r="AE301">
        <v>4</v>
      </c>
      <c r="AF301">
        <v>91</v>
      </c>
      <c r="AG301">
        <v>95</v>
      </c>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c r="DD301"/>
      <c r="DE301"/>
      <c r="DF301"/>
      <c r="DG301"/>
      <c r="DH301"/>
      <c r="DI301"/>
      <c r="DJ301"/>
      <c r="DK301"/>
      <c r="DL301"/>
      <c r="DM301"/>
      <c r="DN301"/>
      <c r="DO301"/>
      <c r="DP301"/>
      <c r="DQ301"/>
      <c r="DR301"/>
      <c r="DS301"/>
      <c r="DT301"/>
      <c r="DU301"/>
      <c r="DV301"/>
      <c r="DW301"/>
      <c r="DX301"/>
      <c r="DY301"/>
      <c r="DZ301"/>
      <c r="EA301"/>
      <c r="EB301"/>
      <c r="EC301"/>
      <c r="ED301"/>
      <c r="EE301"/>
      <c r="EF301"/>
      <c r="EG301"/>
      <c r="EH301"/>
      <c r="EI301"/>
      <c r="EJ301"/>
      <c r="EK301"/>
      <c r="EL301"/>
      <c r="EM301"/>
      <c r="EN301"/>
      <c r="EO301"/>
      <c r="EP301"/>
      <c r="EQ301"/>
      <c r="ER301"/>
      <c r="ES301"/>
      <c r="ET301"/>
      <c r="EU301"/>
      <c r="EV301"/>
      <c r="EW301"/>
      <c r="EX301"/>
      <c r="EY301"/>
      <c r="EZ301"/>
      <c r="FA301"/>
      <c r="FB301"/>
      <c r="FC301"/>
    </row>
    <row r="302" spans="1:159" ht="14.5" x14ac:dyDescent="0.35">
      <c r="A302" t="s">
        <v>658</v>
      </c>
      <c r="B302" t="s">
        <v>659</v>
      </c>
      <c r="C302">
        <v>2200</v>
      </c>
      <c r="D302">
        <v>2</v>
      </c>
      <c r="E302">
        <v>92</v>
      </c>
      <c r="F302">
        <v>307</v>
      </c>
      <c r="G302">
        <v>158</v>
      </c>
      <c r="H302">
        <v>2759</v>
      </c>
      <c r="I302">
        <v>2601</v>
      </c>
      <c r="J302">
        <v>0</v>
      </c>
      <c r="K302">
        <v>91.98</v>
      </c>
      <c r="L302">
        <v>88.59</v>
      </c>
      <c r="M302">
        <v>3.29</v>
      </c>
      <c r="N302">
        <v>94.28</v>
      </c>
      <c r="O302">
        <v>1960</v>
      </c>
      <c r="P302">
        <v>86.2</v>
      </c>
      <c r="Q302">
        <v>78.819999999999993</v>
      </c>
      <c r="R302">
        <v>25.06</v>
      </c>
      <c r="S302">
        <v>111.09</v>
      </c>
      <c r="T302">
        <v>291</v>
      </c>
      <c r="U302">
        <v>128.33000000000001</v>
      </c>
      <c r="V302">
        <v>233</v>
      </c>
      <c r="W302">
        <v>0</v>
      </c>
      <c r="X302">
        <v>0</v>
      </c>
      <c r="Y302">
        <v>0</v>
      </c>
      <c r="Z302">
        <v>3</v>
      </c>
      <c r="AA302">
        <v>8</v>
      </c>
      <c r="AB302">
        <v>6</v>
      </c>
      <c r="AC302">
        <v>6</v>
      </c>
      <c r="AD302">
        <v>2188</v>
      </c>
      <c r="AE302">
        <v>12</v>
      </c>
      <c r="AF302">
        <v>11</v>
      </c>
      <c r="AG302">
        <v>23</v>
      </c>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c r="DD302"/>
      <c r="DE302"/>
      <c r="DF302"/>
      <c r="DG302"/>
      <c r="DH302"/>
      <c r="DI302"/>
      <c r="DJ302"/>
      <c r="DK302"/>
      <c r="DL302"/>
      <c r="DM302"/>
      <c r="DN302"/>
      <c r="DO302"/>
      <c r="DP302"/>
      <c r="DQ302"/>
      <c r="DR302"/>
      <c r="DS302"/>
      <c r="DT302"/>
      <c r="DU302"/>
      <c r="DV302"/>
      <c r="DW302"/>
      <c r="DX302"/>
      <c r="DY302"/>
      <c r="DZ302"/>
      <c r="EA302"/>
      <c r="EB302"/>
      <c r="EC302"/>
      <c r="ED302"/>
      <c r="EE302"/>
      <c r="EF302"/>
      <c r="EG302"/>
      <c r="EH302"/>
      <c r="EI302"/>
      <c r="EJ302"/>
      <c r="EK302"/>
      <c r="EL302"/>
      <c r="EM302"/>
      <c r="EN302"/>
      <c r="EO302"/>
      <c r="EP302"/>
      <c r="EQ302"/>
      <c r="ER302"/>
      <c r="ES302"/>
      <c r="ET302"/>
      <c r="EU302"/>
      <c r="EV302"/>
      <c r="EW302"/>
      <c r="EX302"/>
      <c r="EY302"/>
      <c r="EZ302"/>
      <c r="FA302"/>
      <c r="FB302"/>
      <c r="FC302"/>
    </row>
    <row r="303" spans="1:159" ht="14.5" x14ac:dyDescent="0.35">
      <c r="A303" t="s">
        <v>660</v>
      </c>
      <c r="B303" t="s">
        <v>661</v>
      </c>
      <c r="C303">
        <v>1059</v>
      </c>
      <c r="D303">
        <v>0</v>
      </c>
      <c r="E303">
        <v>219</v>
      </c>
      <c r="F303">
        <v>371</v>
      </c>
      <c r="G303">
        <v>538</v>
      </c>
      <c r="H303">
        <v>2187</v>
      </c>
      <c r="I303">
        <v>1649</v>
      </c>
      <c r="J303">
        <v>1</v>
      </c>
      <c r="K303">
        <v>98.2</v>
      </c>
      <c r="L303">
        <v>97.02</v>
      </c>
      <c r="M303">
        <v>5.52</v>
      </c>
      <c r="N303">
        <v>101.82</v>
      </c>
      <c r="O303">
        <v>557</v>
      </c>
      <c r="P303">
        <v>109.04</v>
      </c>
      <c r="Q303">
        <v>87.75</v>
      </c>
      <c r="R303">
        <v>45.59</v>
      </c>
      <c r="S303">
        <v>154.15</v>
      </c>
      <c r="T303">
        <v>474</v>
      </c>
      <c r="U303">
        <v>118.04</v>
      </c>
      <c r="V303">
        <v>430</v>
      </c>
      <c r="W303">
        <v>424</v>
      </c>
      <c r="X303">
        <v>24</v>
      </c>
      <c r="Y303">
        <v>0</v>
      </c>
      <c r="Z303">
        <v>1</v>
      </c>
      <c r="AA303">
        <v>0</v>
      </c>
      <c r="AB303">
        <v>76</v>
      </c>
      <c r="AC303">
        <v>7</v>
      </c>
      <c r="AD303">
        <v>1044</v>
      </c>
      <c r="AE303">
        <v>7</v>
      </c>
      <c r="AF303">
        <v>2</v>
      </c>
      <c r="AG303">
        <v>9</v>
      </c>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c r="DC303"/>
      <c r="DD303"/>
      <c r="DE303"/>
      <c r="DF303"/>
      <c r="DG303"/>
      <c r="DH303"/>
      <c r="DI303"/>
      <c r="DJ303"/>
      <c r="DK303"/>
      <c r="DL303"/>
      <c r="DM303"/>
      <c r="DN303"/>
      <c r="DO303"/>
      <c r="DP303"/>
      <c r="DQ303"/>
      <c r="DR303"/>
      <c r="DS303"/>
      <c r="DT303"/>
      <c r="DU303"/>
      <c r="DV303"/>
      <c r="DW303"/>
      <c r="DX303"/>
      <c r="DY303"/>
      <c r="DZ303"/>
      <c r="EA303"/>
      <c r="EB303"/>
      <c r="EC303"/>
      <c r="ED303"/>
      <c r="EE303"/>
      <c r="EF303"/>
      <c r="EG303"/>
      <c r="EH303"/>
      <c r="EI303"/>
      <c r="EJ303"/>
      <c r="EK303"/>
      <c r="EL303"/>
      <c r="EM303"/>
      <c r="EN303"/>
      <c r="EO303"/>
      <c r="EP303"/>
      <c r="EQ303"/>
      <c r="ER303"/>
      <c r="ES303"/>
      <c r="ET303"/>
      <c r="EU303"/>
      <c r="EV303"/>
      <c r="EW303"/>
      <c r="EX303"/>
      <c r="EY303"/>
      <c r="EZ303"/>
      <c r="FA303"/>
      <c r="FB303"/>
      <c r="FC303"/>
    </row>
    <row r="304" spans="1:159" ht="14.5" x14ac:dyDescent="0.35">
      <c r="A304" t="s">
        <v>662</v>
      </c>
      <c r="B304" t="s">
        <v>663</v>
      </c>
      <c r="C304">
        <v>4357</v>
      </c>
      <c r="D304">
        <v>0</v>
      </c>
      <c r="E304">
        <v>95</v>
      </c>
      <c r="F304">
        <v>423</v>
      </c>
      <c r="G304">
        <v>405</v>
      </c>
      <c r="H304">
        <v>5280</v>
      </c>
      <c r="I304">
        <v>4875</v>
      </c>
      <c r="J304">
        <v>4</v>
      </c>
      <c r="K304">
        <v>84.73</v>
      </c>
      <c r="L304">
        <v>84.54</v>
      </c>
      <c r="M304">
        <v>4.24</v>
      </c>
      <c r="N304">
        <v>86.19</v>
      </c>
      <c r="O304">
        <v>3707</v>
      </c>
      <c r="P304">
        <v>83.6</v>
      </c>
      <c r="Q304">
        <v>76.59</v>
      </c>
      <c r="R304">
        <v>33.159999999999997</v>
      </c>
      <c r="S304">
        <v>116.76</v>
      </c>
      <c r="T304">
        <v>463</v>
      </c>
      <c r="U304">
        <v>109.92</v>
      </c>
      <c r="V304">
        <v>627</v>
      </c>
      <c r="W304">
        <v>125.01</v>
      </c>
      <c r="X304">
        <v>36</v>
      </c>
      <c r="Y304">
        <v>21</v>
      </c>
      <c r="Z304">
        <v>9</v>
      </c>
      <c r="AA304">
        <v>1</v>
      </c>
      <c r="AB304">
        <v>36</v>
      </c>
      <c r="AC304">
        <v>2</v>
      </c>
      <c r="AD304">
        <v>4304</v>
      </c>
      <c r="AE304">
        <v>14</v>
      </c>
      <c r="AF304">
        <v>11</v>
      </c>
      <c r="AG304">
        <v>25</v>
      </c>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c r="DC304"/>
      <c r="DD304"/>
      <c r="DE304"/>
      <c r="DF304"/>
      <c r="DG304"/>
      <c r="DH304"/>
      <c r="DI304"/>
      <c r="DJ304"/>
      <c r="DK304"/>
      <c r="DL304"/>
      <c r="DM304"/>
      <c r="DN304"/>
      <c r="DO304"/>
      <c r="DP304"/>
      <c r="DQ304"/>
      <c r="DR304"/>
      <c r="DS304"/>
      <c r="DT304"/>
      <c r="DU304"/>
      <c r="DV304"/>
      <c r="DW304"/>
      <c r="DX304"/>
      <c r="DY304"/>
      <c r="DZ304"/>
      <c r="EA304"/>
      <c r="EB304"/>
      <c r="EC304"/>
      <c r="ED304"/>
      <c r="EE304"/>
      <c r="EF304"/>
      <c r="EG304"/>
      <c r="EH304"/>
      <c r="EI304"/>
      <c r="EJ304"/>
      <c r="EK304"/>
      <c r="EL304"/>
      <c r="EM304"/>
      <c r="EN304"/>
      <c r="EO304"/>
      <c r="EP304"/>
      <c r="EQ304"/>
      <c r="ER304"/>
      <c r="ES304"/>
      <c r="ET304"/>
      <c r="EU304"/>
      <c r="EV304"/>
      <c r="EW304"/>
      <c r="EX304"/>
      <c r="EY304"/>
      <c r="EZ304"/>
      <c r="FA304"/>
      <c r="FB304"/>
      <c r="FC304"/>
    </row>
    <row r="305" spans="1:159" ht="14.5" x14ac:dyDescent="0.35">
      <c r="A305" t="s">
        <v>800</v>
      </c>
      <c r="B305" t="s">
        <v>798</v>
      </c>
      <c r="C305">
        <v>11928</v>
      </c>
      <c r="D305">
        <v>9</v>
      </c>
      <c r="E305">
        <v>489</v>
      </c>
      <c r="F305">
        <v>2258</v>
      </c>
      <c r="G305">
        <v>2732</v>
      </c>
      <c r="H305">
        <v>17416</v>
      </c>
      <c r="I305">
        <v>14684</v>
      </c>
      <c r="J305">
        <v>44</v>
      </c>
      <c r="K305">
        <v>104.01</v>
      </c>
      <c r="L305">
        <v>103.92</v>
      </c>
      <c r="M305">
        <v>6.61</v>
      </c>
      <c r="N305">
        <v>108.21</v>
      </c>
      <c r="O305">
        <v>9126</v>
      </c>
      <c r="P305">
        <v>103.15</v>
      </c>
      <c r="Q305">
        <v>95.76</v>
      </c>
      <c r="R305">
        <v>40.61</v>
      </c>
      <c r="S305">
        <v>135.1</v>
      </c>
      <c r="T305">
        <v>2701</v>
      </c>
      <c r="U305">
        <v>140.03</v>
      </c>
      <c r="V305">
        <v>2324</v>
      </c>
      <c r="W305">
        <v>126.34</v>
      </c>
      <c r="X305">
        <v>1</v>
      </c>
      <c r="Y305">
        <v>11</v>
      </c>
      <c r="Z305">
        <v>34</v>
      </c>
      <c r="AA305">
        <v>5</v>
      </c>
      <c r="AB305">
        <v>205</v>
      </c>
      <c r="AC305">
        <v>44</v>
      </c>
      <c r="AD305">
        <v>11640</v>
      </c>
      <c r="AE305">
        <v>80</v>
      </c>
      <c r="AF305">
        <v>74</v>
      </c>
      <c r="AG305">
        <v>154</v>
      </c>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c r="DI305"/>
      <c r="DJ305"/>
      <c r="DK305"/>
      <c r="DL305"/>
      <c r="DM305"/>
      <c r="DN305"/>
      <c r="DO305"/>
      <c r="DP305"/>
      <c r="DQ305"/>
      <c r="DR305"/>
      <c r="DS305"/>
      <c r="DT305"/>
      <c r="DU305"/>
      <c r="DV305"/>
      <c r="DW305"/>
      <c r="DX305"/>
      <c r="DY305"/>
      <c r="DZ305"/>
      <c r="EA305"/>
      <c r="EB305"/>
      <c r="EC305"/>
      <c r="ED305"/>
      <c r="EE305"/>
      <c r="EF305"/>
      <c r="EG305"/>
      <c r="EH305"/>
      <c r="EI305"/>
      <c r="EJ305"/>
      <c r="EK305"/>
      <c r="EL305"/>
      <c r="EM305"/>
      <c r="EN305"/>
      <c r="EO305"/>
      <c r="EP305"/>
      <c r="EQ305"/>
      <c r="ER305"/>
      <c r="ES305"/>
      <c r="ET305"/>
      <c r="EU305"/>
      <c r="EV305"/>
      <c r="EW305"/>
      <c r="EX305"/>
      <c r="EY305"/>
      <c r="EZ305"/>
      <c r="FA305"/>
      <c r="FB305"/>
      <c r="FC305"/>
    </row>
    <row r="306" spans="1:159" ht="14.5" x14ac:dyDescent="0.35">
      <c r="A306" t="s">
        <v>664</v>
      </c>
      <c r="B306" t="s">
        <v>665</v>
      </c>
      <c r="C306">
        <v>6509</v>
      </c>
      <c r="D306">
        <v>2</v>
      </c>
      <c r="E306">
        <v>134</v>
      </c>
      <c r="F306">
        <v>219</v>
      </c>
      <c r="G306">
        <v>1105</v>
      </c>
      <c r="H306">
        <v>7969</v>
      </c>
      <c r="I306">
        <v>6864</v>
      </c>
      <c r="J306">
        <v>39</v>
      </c>
      <c r="K306">
        <v>117.72</v>
      </c>
      <c r="L306">
        <v>119.24</v>
      </c>
      <c r="M306">
        <v>4.3499999999999996</v>
      </c>
      <c r="N306">
        <v>119.75</v>
      </c>
      <c r="O306">
        <v>5039</v>
      </c>
      <c r="P306">
        <v>105.89</v>
      </c>
      <c r="Q306">
        <v>97.63</v>
      </c>
      <c r="R306">
        <v>71.010000000000005</v>
      </c>
      <c r="S306">
        <v>173.42</v>
      </c>
      <c r="T306">
        <v>347</v>
      </c>
      <c r="U306">
        <v>183.47</v>
      </c>
      <c r="V306">
        <v>1472</v>
      </c>
      <c r="W306">
        <v>175.28</v>
      </c>
      <c r="X306">
        <v>2</v>
      </c>
      <c r="Y306">
        <v>0</v>
      </c>
      <c r="Z306">
        <v>4</v>
      </c>
      <c r="AA306">
        <v>6</v>
      </c>
      <c r="AB306">
        <v>105</v>
      </c>
      <c r="AC306">
        <v>13</v>
      </c>
      <c r="AD306">
        <v>6477</v>
      </c>
      <c r="AE306">
        <v>47</v>
      </c>
      <c r="AF306">
        <v>115</v>
      </c>
      <c r="AG306">
        <v>162</v>
      </c>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c r="DN306"/>
      <c r="DO306"/>
      <c r="DP306"/>
      <c r="DQ306"/>
      <c r="DR306"/>
      <c r="DS306"/>
      <c r="DT306"/>
      <c r="DU306"/>
      <c r="DV306"/>
      <c r="DW306"/>
      <c r="DX306"/>
      <c r="DY306"/>
      <c r="DZ306"/>
      <c r="EA306"/>
      <c r="EB306"/>
      <c r="EC306"/>
      <c r="ED306"/>
      <c r="EE306"/>
      <c r="EF306"/>
      <c r="EG306"/>
      <c r="EH306"/>
      <c r="EI306"/>
      <c r="EJ306"/>
      <c r="EK306"/>
      <c r="EL306"/>
      <c r="EM306"/>
      <c r="EN306"/>
      <c r="EO306"/>
      <c r="EP306"/>
      <c r="EQ306"/>
      <c r="ER306"/>
      <c r="ES306"/>
      <c r="ET306"/>
      <c r="EU306"/>
      <c r="EV306"/>
      <c r="EW306"/>
      <c r="EX306"/>
      <c r="EY306"/>
      <c r="EZ306"/>
      <c r="FA306"/>
      <c r="FB306"/>
      <c r="FC306"/>
    </row>
    <row r="307" spans="1:159" ht="14.5" x14ac:dyDescent="0.35">
      <c r="A307" t="s">
        <v>666</v>
      </c>
      <c r="B307" t="s">
        <v>667</v>
      </c>
      <c r="C307">
        <v>11606</v>
      </c>
      <c r="D307">
        <v>0</v>
      </c>
      <c r="E307">
        <v>408</v>
      </c>
      <c r="F307">
        <v>770</v>
      </c>
      <c r="G307">
        <v>977</v>
      </c>
      <c r="H307">
        <v>13761</v>
      </c>
      <c r="I307">
        <v>12784</v>
      </c>
      <c r="J307">
        <v>180</v>
      </c>
      <c r="K307">
        <v>96.45</v>
      </c>
      <c r="L307">
        <v>95.33</v>
      </c>
      <c r="M307">
        <v>7.62</v>
      </c>
      <c r="N307">
        <v>99.09</v>
      </c>
      <c r="O307">
        <v>9271</v>
      </c>
      <c r="P307">
        <v>96.54</v>
      </c>
      <c r="Q307">
        <v>90.08</v>
      </c>
      <c r="R307">
        <v>58.17</v>
      </c>
      <c r="S307">
        <v>153.1</v>
      </c>
      <c r="T307">
        <v>1158</v>
      </c>
      <c r="U307">
        <v>141.94999999999999</v>
      </c>
      <c r="V307">
        <v>2081</v>
      </c>
      <c r="W307">
        <v>0</v>
      </c>
      <c r="X307">
        <v>0</v>
      </c>
      <c r="Y307">
        <v>3</v>
      </c>
      <c r="Z307">
        <v>16</v>
      </c>
      <c r="AA307">
        <v>16</v>
      </c>
      <c r="AB307">
        <v>70</v>
      </c>
      <c r="AC307">
        <v>19</v>
      </c>
      <c r="AD307">
        <v>11575</v>
      </c>
      <c r="AE307">
        <v>39</v>
      </c>
      <c r="AF307">
        <v>40</v>
      </c>
      <c r="AG307">
        <v>79</v>
      </c>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c r="DN307"/>
      <c r="DO307"/>
      <c r="DP307"/>
      <c r="DQ307"/>
      <c r="DR307"/>
      <c r="DS307"/>
      <c r="DT307"/>
      <c r="DU307"/>
      <c r="DV307"/>
      <c r="DW307"/>
      <c r="DX307"/>
      <c r="DY307"/>
      <c r="DZ307"/>
      <c r="EA307"/>
      <c r="EB307"/>
      <c r="EC307"/>
      <c r="ED307"/>
      <c r="EE307"/>
      <c r="EF307"/>
      <c r="EG307"/>
      <c r="EH307"/>
      <c r="EI307"/>
      <c r="EJ307"/>
      <c r="EK307"/>
      <c r="EL307"/>
      <c r="EM307"/>
      <c r="EN307"/>
      <c r="EO307"/>
      <c r="EP307"/>
      <c r="EQ307"/>
      <c r="ER307"/>
      <c r="ES307"/>
      <c r="ET307"/>
      <c r="EU307"/>
      <c r="EV307"/>
      <c r="EW307"/>
      <c r="EX307"/>
      <c r="EY307"/>
      <c r="EZ307"/>
      <c r="FA307"/>
      <c r="FB307"/>
      <c r="FC307"/>
    </row>
    <row r="308" spans="1:159" ht="14.5" x14ac:dyDescent="0.35">
      <c r="A308" t="s">
        <v>668</v>
      </c>
      <c r="B308" t="s">
        <v>669</v>
      </c>
      <c r="C308">
        <v>12566</v>
      </c>
      <c r="D308">
        <v>886</v>
      </c>
      <c r="E308">
        <v>1386</v>
      </c>
      <c r="F308">
        <v>897</v>
      </c>
      <c r="G308">
        <v>506</v>
      </c>
      <c r="H308">
        <v>16241</v>
      </c>
      <c r="I308">
        <v>15735</v>
      </c>
      <c r="J308">
        <v>63</v>
      </c>
      <c r="K308">
        <v>141.1</v>
      </c>
      <c r="L308">
        <v>154.6</v>
      </c>
      <c r="M308">
        <v>10.78</v>
      </c>
      <c r="N308">
        <v>150.86000000000001</v>
      </c>
      <c r="O308">
        <v>9544</v>
      </c>
      <c r="P308">
        <v>131.4</v>
      </c>
      <c r="Q308">
        <v>130.05000000000001</v>
      </c>
      <c r="R308">
        <v>80.510000000000005</v>
      </c>
      <c r="S308">
        <v>200.67</v>
      </c>
      <c r="T308">
        <v>2036</v>
      </c>
      <c r="U308">
        <v>219.77</v>
      </c>
      <c r="V308">
        <v>822</v>
      </c>
      <c r="W308">
        <v>184.71</v>
      </c>
      <c r="X308">
        <v>2</v>
      </c>
      <c r="Y308">
        <v>51</v>
      </c>
      <c r="Z308">
        <v>1</v>
      </c>
      <c r="AA308">
        <v>7</v>
      </c>
      <c r="AB308">
        <v>0</v>
      </c>
      <c r="AC308">
        <v>15</v>
      </c>
      <c r="AD308">
        <v>10794</v>
      </c>
      <c r="AE308">
        <v>44</v>
      </c>
      <c r="AF308">
        <v>75</v>
      </c>
      <c r="AG308">
        <v>119</v>
      </c>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c r="DI308"/>
      <c r="DJ308"/>
      <c r="DK308"/>
      <c r="DL308"/>
      <c r="DM308"/>
      <c r="DN308"/>
      <c r="DO308"/>
      <c r="DP308"/>
      <c r="DQ308"/>
      <c r="DR308"/>
      <c r="DS308"/>
      <c r="DT308"/>
      <c r="DU308"/>
      <c r="DV308"/>
      <c r="DW308"/>
      <c r="DX308"/>
      <c r="DY308"/>
      <c r="DZ308"/>
      <c r="EA308"/>
      <c r="EB308"/>
      <c r="EC308"/>
      <c r="ED308"/>
      <c r="EE308"/>
      <c r="EF308"/>
      <c r="EG308"/>
      <c r="EH308"/>
      <c r="EI308"/>
      <c r="EJ308"/>
      <c r="EK308"/>
      <c r="EL308"/>
      <c r="EM308"/>
      <c r="EN308"/>
      <c r="EO308"/>
      <c r="EP308"/>
      <c r="EQ308"/>
      <c r="ER308"/>
      <c r="ES308"/>
      <c r="ET308"/>
      <c r="EU308"/>
      <c r="EV308"/>
      <c r="EW308"/>
      <c r="EX308"/>
      <c r="EY308"/>
      <c r="EZ308"/>
      <c r="FA308"/>
      <c r="FB308"/>
      <c r="FC308"/>
    </row>
    <row r="309" spans="1:159" ht="14.5" x14ac:dyDescent="0.35">
      <c r="A309" t="s">
        <v>670</v>
      </c>
      <c r="B309" t="s">
        <v>671</v>
      </c>
      <c r="C309">
        <v>2807</v>
      </c>
      <c r="D309">
        <v>0</v>
      </c>
      <c r="E309">
        <v>760</v>
      </c>
      <c r="F309">
        <v>867</v>
      </c>
      <c r="G309">
        <v>814</v>
      </c>
      <c r="H309">
        <v>5248</v>
      </c>
      <c r="I309">
        <v>4434</v>
      </c>
      <c r="J309">
        <v>4</v>
      </c>
      <c r="K309">
        <v>84.29</v>
      </c>
      <c r="L309">
        <v>81.02</v>
      </c>
      <c r="M309">
        <v>7.8</v>
      </c>
      <c r="N309">
        <v>88.76</v>
      </c>
      <c r="O309">
        <v>1719</v>
      </c>
      <c r="P309">
        <v>104.14</v>
      </c>
      <c r="Q309">
        <v>73.52</v>
      </c>
      <c r="R309">
        <v>72.260000000000005</v>
      </c>
      <c r="S309">
        <v>176.26</v>
      </c>
      <c r="T309">
        <v>1498</v>
      </c>
      <c r="U309">
        <v>110.22</v>
      </c>
      <c r="V309">
        <v>990</v>
      </c>
      <c r="W309">
        <v>197.2</v>
      </c>
      <c r="X309">
        <v>39</v>
      </c>
      <c r="Y309">
        <v>4</v>
      </c>
      <c r="Z309">
        <v>3</v>
      </c>
      <c r="AA309">
        <v>16</v>
      </c>
      <c r="AB309">
        <v>100</v>
      </c>
      <c r="AC309">
        <v>29</v>
      </c>
      <c r="AD309">
        <v>2779</v>
      </c>
      <c r="AE309">
        <v>52</v>
      </c>
      <c r="AF309">
        <v>15</v>
      </c>
      <c r="AG309">
        <v>67</v>
      </c>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c r="DI309"/>
      <c r="DJ309"/>
      <c r="DK309"/>
      <c r="DL309"/>
      <c r="DM309"/>
      <c r="DN309"/>
      <c r="DO309"/>
      <c r="DP309"/>
      <c r="DQ309"/>
      <c r="DR309"/>
      <c r="DS309"/>
      <c r="DT309"/>
      <c r="DU309"/>
      <c r="DV309"/>
      <c r="DW309"/>
      <c r="DX309"/>
      <c r="DY309"/>
      <c r="DZ309"/>
      <c r="EA309"/>
      <c r="EB309"/>
      <c r="EC309"/>
      <c r="ED309"/>
      <c r="EE309"/>
      <c r="EF309"/>
      <c r="EG309"/>
      <c r="EH309"/>
      <c r="EI309"/>
      <c r="EJ309"/>
      <c r="EK309"/>
      <c r="EL309"/>
      <c r="EM309"/>
      <c r="EN309"/>
      <c r="EO309"/>
      <c r="EP309"/>
      <c r="EQ309"/>
      <c r="ER309"/>
      <c r="ES309"/>
      <c r="ET309"/>
      <c r="EU309"/>
      <c r="EV309"/>
      <c r="EW309"/>
      <c r="EX309"/>
      <c r="EY309"/>
      <c r="EZ309"/>
      <c r="FA309"/>
      <c r="FB309"/>
      <c r="FC309"/>
    </row>
    <row r="310" spans="1:159" ht="14.5" x14ac:dyDescent="0.35">
      <c r="A310" t="s">
        <v>672</v>
      </c>
      <c r="B310" t="s">
        <v>673</v>
      </c>
      <c r="C310">
        <v>22943</v>
      </c>
      <c r="D310">
        <v>0</v>
      </c>
      <c r="E310">
        <v>697</v>
      </c>
      <c r="F310">
        <v>2960</v>
      </c>
      <c r="G310">
        <v>2674</v>
      </c>
      <c r="H310">
        <v>29274</v>
      </c>
      <c r="I310">
        <v>26600</v>
      </c>
      <c r="J310">
        <v>668</v>
      </c>
      <c r="K310">
        <v>106.47</v>
      </c>
      <c r="L310">
        <v>104.06</v>
      </c>
      <c r="M310">
        <v>4.6100000000000003</v>
      </c>
      <c r="N310">
        <v>109.29</v>
      </c>
      <c r="O310">
        <v>18807</v>
      </c>
      <c r="P310">
        <v>101.44</v>
      </c>
      <c r="Q310">
        <v>93.07</v>
      </c>
      <c r="R310">
        <v>27.64</v>
      </c>
      <c r="S310">
        <v>128.44</v>
      </c>
      <c r="T310">
        <v>3214</v>
      </c>
      <c r="U310">
        <v>143.97</v>
      </c>
      <c r="V310">
        <v>3720</v>
      </c>
      <c r="W310">
        <v>180.31</v>
      </c>
      <c r="X310">
        <v>74</v>
      </c>
      <c r="Y310">
        <v>0</v>
      </c>
      <c r="Z310">
        <v>15</v>
      </c>
      <c r="AA310">
        <v>44</v>
      </c>
      <c r="AB310">
        <v>242</v>
      </c>
      <c r="AC310">
        <v>57</v>
      </c>
      <c r="AD310">
        <v>22538</v>
      </c>
      <c r="AE310">
        <v>118</v>
      </c>
      <c r="AF310">
        <v>114</v>
      </c>
      <c r="AG310">
        <v>232</v>
      </c>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c r="DV310"/>
      <c r="DW310"/>
      <c r="DX310"/>
      <c r="DY310"/>
      <c r="DZ310"/>
      <c r="EA310"/>
      <c r="EB310"/>
      <c r="EC310"/>
      <c r="ED310"/>
      <c r="EE310"/>
      <c r="EF310"/>
      <c r="EG310"/>
      <c r="EH310"/>
      <c r="EI310"/>
      <c r="EJ310"/>
      <c r="EK310"/>
      <c r="EL310"/>
      <c r="EM310"/>
      <c r="EN310"/>
      <c r="EO310"/>
      <c r="EP310"/>
      <c r="EQ310"/>
      <c r="ER310"/>
      <c r="ES310"/>
      <c r="ET310"/>
      <c r="EU310"/>
      <c r="EV310"/>
      <c r="EW310"/>
      <c r="EX310"/>
      <c r="EY310"/>
      <c r="EZ310"/>
      <c r="FA310"/>
      <c r="FB310"/>
      <c r="FC310"/>
    </row>
    <row r="311" spans="1:159" ht="14.5" x14ac:dyDescent="0.35">
      <c r="A311" t="s">
        <v>674</v>
      </c>
      <c r="B311" t="s">
        <v>675</v>
      </c>
      <c r="C311">
        <v>2915</v>
      </c>
      <c r="D311">
        <v>0</v>
      </c>
      <c r="E311">
        <v>240</v>
      </c>
      <c r="F311">
        <v>244</v>
      </c>
      <c r="G311">
        <v>814</v>
      </c>
      <c r="H311">
        <v>4213</v>
      </c>
      <c r="I311">
        <v>3399</v>
      </c>
      <c r="J311">
        <v>9</v>
      </c>
      <c r="K311">
        <v>121.17</v>
      </c>
      <c r="L311">
        <v>116.89</v>
      </c>
      <c r="M311">
        <v>8.49</v>
      </c>
      <c r="N311">
        <v>128.94999999999999</v>
      </c>
      <c r="O311">
        <v>1864</v>
      </c>
      <c r="P311">
        <v>107.98</v>
      </c>
      <c r="Q311">
        <v>95.35</v>
      </c>
      <c r="R311">
        <v>46.38</v>
      </c>
      <c r="S311">
        <v>148.55000000000001</v>
      </c>
      <c r="T311">
        <v>431</v>
      </c>
      <c r="U311">
        <v>182.28</v>
      </c>
      <c r="V311">
        <v>903</v>
      </c>
      <c r="W311">
        <v>0</v>
      </c>
      <c r="X311">
        <v>0</v>
      </c>
      <c r="Y311">
        <v>0</v>
      </c>
      <c r="Z311">
        <v>0</v>
      </c>
      <c r="AA311">
        <v>0</v>
      </c>
      <c r="AB311">
        <v>154</v>
      </c>
      <c r="AC311">
        <v>21</v>
      </c>
      <c r="AD311">
        <v>2657</v>
      </c>
      <c r="AE311">
        <v>17</v>
      </c>
      <c r="AF311">
        <v>26</v>
      </c>
      <c r="AG311">
        <v>43</v>
      </c>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c r="DI311"/>
      <c r="DJ311"/>
      <c r="DK311"/>
      <c r="DL311"/>
      <c r="DM311"/>
      <c r="DN311"/>
      <c r="DO311"/>
      <c r="DP311"/>
      <c r="DQ311"/>
      <c r="DR311"/>
      <c r="DS311"/>
      <c r="DT311"/>
      <c r="DU311"/>
      <c r="DV311"/>
      <c r="DW311"/>
      <c r="DX311"/>
      <c r="DY311"/>
      <c r="DZ311"/>
      <c r="EA311"/>
      <c r="EB311"/>
      <c r="EC311"/>
      <c r="ED311"/>
      <c r="EE311"/>
      <c r="EF311"/>
      <c r="EG311"/>
      <c r="EH311"/>
      <c r="EI311"/>
      <c r="EJ311"/>
      <c r="EK311"/>
      <c r="EL311"/>
      <c r="EM311"/>
      <c r="EN311"/>
      <c r="EO311"/>
      <c r="EP311"/>
      <c r="EQ311"/>
      <c r="ER311"/>
      <c r="ES311"/>
      <c r="ET311"/>
      <c r="EU311"/>
      <c r="EV311"/>
      <c r="EW311"/>
      <c r="EX311"/>
      <c r="EY311"/>
      <c r="EZ311"/>
      <c r="FA311"/>
      <c r="FB311"/>
      <c r="FC311"/>
    </row>
    <row r="312" spans="1:159" ht="14.5" x14ac:dyDescent="0.35">
      <c r="A312" t="s">
        <v>676</v>
      </c>
      <c r="B312" t="s">
        <v>677</v>
      </c>
      <c r="C312">
        <v>6810</v>
      </c>
      <c r="D312">
        <v>16</v>
      </c>
      <c r="E312">
        <v>179</v>
      </c>
      <c r="F312">
        <v>868</v>
      </c>
      <c r="G312">
        <v>405</v>
      </c>
      <c r="H312">
        <v>8278</v>
      </c>
      <c r="I312">
        <v>7873</v>
      </c>
      <c r="J312">
        <v>0</v>
      </c>
      <c r="K312">
        <v>129.96</v>
      </c>
      <c r="L312">
        <v>131.57</v>
      </c>
      <c r="M312">
        <v>7.04</v>
      </c>
      <c r="N312">
        <v>133.26</v>
      </c>
      <c r="O312">
        <v>6231</v>
      </c>
      <c r="P312">
        <v>116.59</v>
      </c>
      <c r="Q312">
        <v>112.97</v>
      </c>
      <c r="R312">
        <v>31.83</v>
      </c>
      <c r="S312">
        <v>148.12</v>
      </c>
      <c r="T312">
        <v>1034</v>
      </c>
      <c r="U312">
        <v>196.59</v>
      </c>
      <c r="V312">
        <v>358</v>
      </c>
      <c r="W312">
        <v>170.27</v>
      </c>
      <c r="X312">
        <v>10</v>
      </c>
      <c r="Y312">
        <v>0</v>
      </c>
      <c r="Z312">
        <v>2</v>
      </c>
      <c r="AA312">
        <v>11</v>
      </c>
      <c r="AB312">
        <v>64</v>
      </c>
      <c r="AC312">
        <v>13</v>
      </c>
      <c r="AD312">
        <v>6803</v>
      </c>
      <c r="AE312">
        <v>15</v>
      </c>
      <c r="AF312">
        <v>40</v>
      </c>
      <c r="AG312">
        <v>55</v>
      </c>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c r="DD312"/>
      <c r="DE312"/>
      <c r="DF312"/>
      <c r="DG312"/>
      <c r="DH312"/>
      <c r="DI312"/>
      <c r="DJ312"/>
      <c r="DK312"/>
      <c r="DL312"/>
      <c r="DM312"/>
      <c r="DN312"/>
      <c r="DO312"/>
      <c r="DP312"/>
      <c r="DQ312"/>
      <c r="DR312"/>
      <c r="DS312"/>
      <c r="DT312"/>
      <c r="DU312"/>
      <c r="DV312"/>
      <c r="DW312"/>
      <c r="DX312"/>
      <c r="DY312"/>
      <c r="DZ312"/>
      <c r="EA312"/>
      <c r="EB312"/>
      <c r="EC312"/>
      <c r="ED312"/>
      <c r="EE312"/>
      <c r="EF312"/>
      <c r="EG312"/>
      <c r="EH312"/>
      <c r="EI312"/>
      <c r="EJ312"/>
      <c r="EK312"/>
      <c r="EL312"/>
      <c r="EM312"/>
      <c r="EN312"/>
      <c r="EO312"/>
      <c r="EP312"/>
      <c r="EQ312"/>
      <c r="ER312"/>
      <c r="ES312"/>
      <c r="ET312"/>
      <c r="EU312"/>
      <c r="EV312"/>
      <c r="EW312"/>
      <c r="EX312"/>
      <c r="EY312"/>
      <c r="EZ312"/>
      <c r="FA312"/>
      <c r="FB312"/>
      <c r="FC312"/>
    </row>
    <row r="313" spans="1:159" ht="14.5" x14ac:dyDescent="0.35">
      <c r="A313" t="s">
        <v>678</v>
      </c>
      <c r="B313" t="s">
        <v>679</v>
      </c>
      <c r="C313">
        <v>18256</v>
      </c>
      <c r="D313">
        <v>0</v>
      </c>
      <c r="E313">
        <v>1231</v>
      </c>
      <c r="F313">
        <v>3722</v>
      </c>
      <c r="G313">
        <v>681</v>
      </c>
      <c r="H313">
        <v>23890</v>
      </c>
      <c r="I313">
        <v>23209</v>
      </c>
      <c r="J313">
        <v>14</v>
      </c>
      <c r="K313">
        <v>91.39</v>
      </c>
      <c r="L313">
        <v>89.18</v>
      </c>
      <c r="M313">
        <v>8.7899999999999991</v>
      </c>
      <c r="N313">
        <v>94.97</v>
      </c>
      <c r="O313">
        <v>14645</v>
      </c>
      <c r="P313">
        <v>93.09</v>
      </c>
      <c r="Q313">
        <v>81.489999999999995</v>
      </c>
      <c r="R313">
        <v>30.67</v>
      </c>
      <c r="S313">
        <v>122.37</v>
      </c>
      <c r="T313">
        <v>3701</v>
      </c>
      <c r="U313">
        <v>116.28</v>
      </c>
      <c r="V313">
        <v>2564</v>
      </c>
      <c r="W313">
        <v>189.08</v>
      </c>
      <c r="X313">
        <v>159</v>
      </c>
      <c r="Y313">
        <v>0</v>
      </c>
      <c r="Z313">
        <v>86</v>
      </c>
      <c r="AA313">
        <v>52</v>
      </c>
      <c r="AB313">
        <v>49</v>
      </c>
      <c r="AC313">
        <v>7</v>
      </c>
      <c r="AD313">
        <v>17199</v>
      </c>
      <c r="AE313">
        <v>85</v>
      </c>
      <c r="AF313">
        <v>168</v>
      </c>
      <c r="AG313">
        <v>253</v>
      </c>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c r="DC313"/>
      <c r="DD313"/>
      <c r="DE313"/>
      <c r="DF313"/>
      <c r="DG313"/>
      <c r="DH313"/>
      <c r="DI313"/>
      <c r="DJ313"/>
      <c r="DK313"/>
      <c r="DL313"/>
      <c r="DM313"/>
      <c r="DN313"/>
      <c r="DO313"/>
      <c r="DP313"/>
      <c r="DQ313"/>
      <c r="DR313"/>
      <c r="DS313"/>
      <c r="DT313"/>
      <c r="DU313"/>
      <c r="DV313"/>
      <c r="DW313"/>
      <c r="DX313"/>
      <c r="DY313"/>
      <c r="DZ313"/>
      <c r="EA313"/>
      <c r="EB313"/>
      <c r="EC313"/>
      <c r="ED313"/>
      <c r="EE313"/>
      <c r="EF313"/>
      <c r="EG313"/>
      <c r="EH313"/>
      <c r="EI313"/>
      <c r="EJ313"/>
      <c r="EK313"/>
      <c r="EL313"/>
      <c r="EM313"/>
      <c r="EN313"/>
      <c r="EO313"/>
      <c r="EP313"/>
      <c r="EQ313"/>
      <c r="ER313"/>
      <c r="ES313"/>
      <c r="ET313"/>
      <c r="EU313"/>
      <c r="EV313"/>
      <c r="EW313"/>
      <c r="EX313"/>
      <c r="EY313"/>
      <c r="EZ313"/>
      <c r="FA313"/>
      <c r="FB313"/>
      <c r="FC313"/>
    </row>
    <row r="314" spans="1:159" ht="14.5" x14ac:dyDescent="0.35">
      <c r="A314" t="s">
        <v>680</v>
      </c>
      <c r="B314" t="s">
        <v>681</v>
      </c>
      <c r="C314">
        <v>1121</v>
      </c>
      <c r="D314">
        <v>4</v>
      </c>
      <c r="E314">
        <v>173</v>
      </c>
      <c r="F314">
        <v>356</v>
      </c>
      <c r="G314">
        <v>245</v>
      </c>
      <c r="H314">
        <v>1899</v>
      </c>
      <c r="I314">
        <v>1654</v>
      </c>
      <c r="J314">
        <v>3</v>
      </c>
      <c r="K314">
        <v>139.15</v>
      </c>
      <c r="L314">
        <v>126.21</v>
      </c>
      <c r="M314">
        <v>10.07</v>
      </c>
      <c r="N314">
        <v>148.01</v>
      </c>
      <c r="O314">
        <v>955</v>
      </c>
      <c r="P314">
        <v>106.87</v>
      </c>
      <c r="Q314">
        <v>96.56</v>
      </c>
      <c r="R314">
        <v>38.19</v>
      </c>
      <c r="S314">
        <v>143.03</v>
      </c>
      <c r="T314">
        <v>264</v>
      </c>
      <c r="U314">
        <v>221.55</v>
      </c>
      <c r="V314">
        <v>67</v>
      </c>
      <c r="W314">
        <v>163.72</v>
      </c>
      <c r="X314">
        <v>34</v>
      </c>
      <c r="Y314">
        <v>36</v>
      </c>
      <c r="Z314">
        <v>0</v>
      </c>
      <c r="AA314">
        <v>1</v>
      </c>
      <c r="AB314">
        <v>9</v>
      </c>
      <c r="AC314">
        <v>5</v>
      </c>
      <c r="AD314">
        <v>1025</v>
      </c>
      <c r="AE314">
        <v>7</v>
      </c>
      <c r="AF314">
        <v>7</v>
      </c>
      <c r="AG314">
        <v>14</v>
      </c>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c r="DI314"/>
      <c r="DJ314"/>
      <c r="DK314"/>
      <c r="DL314"/>
      <c r="DM314"/>
      <c r="DN314"/>
      <c r="DO314"/>
      <c r="DP314"/>
      <c r="DQ314"/>
      <c r="DR314"/>
      <c r="DS314"/>
      <c r="DT314"/>
      <c r="DU314"/>
      <c r="DV314"/>
      <c r="DW314"/>
      <c r="DX314"/>
      <c r="DY314"/>
      <c r="DZ314"/>
      <c r="EA314"/>
      <c r="EB314"/>
      <c r="EC314"/>
      <c r="ED314"/>
      <c r="EE314"/>
      <c r="EF314"/>
      <c r="EG314"/>
      <c r="EH314"/>
      <c r="EI314"/>
      <c r="EJ314"/>
      <c r="EK314"/>
      <c r="EL314"/>
      <c r="EM314"/>
      <c r="EN314"/>
      <c r="EO314"/>
      <c r="EP314"/>
      <c r="EQ314"/>
      <c r="ER314"/>
      <c r="ES314"/>
      <c r="ET314"/>
      <c r="EU314"/>
      <c r="EV314"/>
      <c r="EW314"/>
      <c r="EX314"/>
      <c r="EY314"/>
      <c r="EZ314"/>
      <c r="FA314"/>
      <c r="FB314"/>
      <c r="FC314"/>
    </row>
    <row r="315" spans="1:159" ht="14.5" x14ac:dyDescent="0.35">
      <c r="A315" t="s">
        <v>682</v>
      </c>
      <c r="B315" t="s">
        <v>683</v>
      </c>
      <c r="C315">
        <v>2274</v>
      </c>
      <c r="D315">
        <v>41</v>
      </c>
      <c r="E315">
        <v>169</v>
      </c>
      <c r="F315">
        <v>249</v>
      </c>
      <c r="G315">
        <v>1426</v>
      </c>
      <c r="H315">
        <v>4159</v>
      </c>
      <c r="I315">
        <v>2733</v>
      </c>
      <c r="J315">
        <v>9</v>
      </c>
      <c r="K315">
        <v>139.30000000000001</v>
      </c>
      <c r="L315">
        <v>137.77000000000001</v>
      </c>
      <c r="M315">
        <v>8.7100000000000009</v>
      </c>
      <c r="N315">
        <v>146.91</v>
      </c>
      <c r="O315">
        <v>1997</v>
      </c>
      <c r="P315">
        <v>120.55</v>
      </c>
      <c r="Q315">
        <v>116.59</v>
      </c>
      <c r="R315">
        <v>65.33</v>
      </c>
      <c r="S315">
        <v>185.87</v>
      </c>
      <c r="T315">
        <v>271</v>
      </c>
      <c r="U315">
        <v>186.99</v>
      </c>
      <c r="V315">
        <v>239</v>
      </c>
      <c r="W315">
        <v>200.3</v>
      </c>
      <c r="X315">
        <v>86</v>
      </c>
      <c r="Y315">
        <v>221</v>
      </c>
      <c r="Z315">
        <v>0</v>
      </c>
      <c r="AA315">
        <v>2</v>
      </c>
      <c r="AB315">
        <v>47</v>
      </c>
      <c r="AC315">
        <v>19</v>
      </c>
      <c r="AD315">
        <v>2251</v>
      </c>
      <c r="AE315">
        <v>7</v>
      </c>
      <c r="AF315">
        <v>15</v>
      </c>
      <c r="AG315">
        <v>22</v>
      </c>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c r="DN315"/>
      <c r="DO315"/>
      <c r="DP315"/>
      <c r="DQ315"/>
      <c r="DR315"/>
      <c r="DS315"/>
      <c r="DT315"/>
      <c r="DU315"/>
      <c r="DV315"/>
      <c r="DW315"/>
      <c r="DX315"/>
      <c r="DY315"/>
      <c r="DZ315"/>
      <c r="EA315"/>
      <c r="EB315"/>
      <c r="EC315"/>
      <c r="ED315"/>
      <c r="EE315"/>
      <c r="EF315"/>
      <c r="EG315"/>
      <c r="EH315"/>
      <c r="EI315"/>
      <c r="EJ315"/>
      <c r="EK315"/>
      <c r="EL315"/>
      <c r="EM315"/>
      <c r="EN315"/>
      <c r="EO315"/>
      <c r="EP315"/>
      <c r="EQ315"/>
      <c r="ER315"/>
      <c r="ES315"/>
      <c r="ET315"/>
      <c r="EU315"/>
      <c r="EV315"/>
      <c r="EW315"/>
      <c r="EX315"/>
      <c r="EY315"/>
      <c r="EZ315"/>
      <c r="FA315"/>
      <c r="FB315"/>
      <c r="FC315"/>
    </row>
    <row r="316" spans="1:159" ht="14.5" x14ac:dyDescent="0.35">
      <c r="A316" t="s">
        <v>684</v>
      </c>
      <c r="B316" t="s">
        <v>685</v>
      </c>
      <c r="C316">
        <v>5157</v>
      </c>
      <c r="D316">
        <v>34</v>
      </c>
      <c r="E316">
        <v>545</v>
      </c>
      <c r="F316">
        <v>1282</v>
      </c>
      <c r="G316">
        <v>327</v>
      </c>
      <c r="H316">
        <v>7345</v>
      </c>
      <c r="I316">
        <v>7018</v>
      </c>
      <c r="J316">
        <v>131</v>
      </c>
      <c r="K316">
        <v>93.89</v>
      </c>
      <c r="L316">
        <v>90.11</v>
      </c>
      <c r="M316">
        <v>8.4600000000000009</v>
      </c>
      <c r="N316">
        <v>101.08</v>
      </c>
      <c r="O316">
        <v>4074</v>
      </c>
      <c r="P316">
        <v>104.94</v>
      </c>
      <c r="Q316">
        <v>89.13</v>
      </c>
      <c r="R316">
        <v>62.95</v>
      </c>
      <c r="S316">
        <v>165.73</v>
      </c>
      <c r="T316">
        <v>1549</v>
      </c>
      <c r="U316">
        <v>119.01</v>
      </c>
      <c r="V316">
        <v>949</v>
      </c>
      <c r="W316">
        <v>186.66</v>
      </c>
      <c r="X316">
        <v>37</v>
      </c>
      <c r="Y316">
        <v>0</v>
      </c>
      <c r="Z316">
        <v>1</v>
      </c>
      <c r="AA316">
        <v>12</v>
      </c>
      <c r="AB316">
        <v>0</v>
      </c>
      <c r="AC316">
        <v>10</v>
      </c>
      <c r="AD316">
        <v>5109</v>
      </c>
      <c r="AE316">
        <v>45</v>
      </c>
      <c r="AF316">
        <v>29</v>
      </c>
      <c r="AG316">
        <v>74</v>
      </c>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c r="EC316"/>
      <c r="ED316"/>
      <c r="EE316"/>
      <c r="EF316"/>
      <c r="EG316"/>
      <c r="EH316"/>
      <c r="EI316"/>
      <c r="EJ316"/>
      <c r="EK316"/>
      <c r="EL316"/>
      <c r="EM316"/>
      <c r="EN316"/>
      <c r="EO316"/>
      <c r="EP316"/>
      <c r="EQ316"/>
      <c r="ER316"/>
      <c r="ES316"/>
      <c r="ET316"/>
      <c r="EU316"/>
      <c r="EV316"/>
      <c r="EW316"/>
      <c r="EX316"/>
      <c r="EY316"/>
      <c r="EZ316"/>
      <c r="FA316"/>
      <c r="FB316"/>
      <c r="FC316"/>
    </row>
    <row r="317" spans="1:159" ht="14.5" x14ac:dyDescent="0.35">
      <c r="A317" t="s">
        <v>686</v>
      </c>
      <c r="B317" t="s">
        <v>687</v>
      </c>
      <c r="C317">
        <v>6385</v>
      </c>
      <c r="D317">
        <v>46</v>
      </c>
      <c r="E317">
        <v>428</v>
      </c>
      <c r="F317">
        <v>1000</v>
      </c>
      <c r="G317">
        <v>582</v>
      </c>
      <c r="H317">
        <v>8441</v>
      </c>
      <c r="I317">
        <v>7859</v>
      </c>
      <c r="J317">
        <v>20</v>
      </c>
      <c r="K317">
        <v>92.92</v>
      </c>
      <c r="L317">
        <v>94.19</v>
      </c>
      <c r="M317">
        <v>6.6</v>
      </c>
      <c r="N317">
        <v>99.03</v>
      </c>
      <c r="O317">
        <v>5325</v>
      </c>
      <c r="P317">
        <v>90.46</v>
      </c>
      <c r="Q317">
        <v>85.21</v>
      </c>
      <c r="R317">
        <v>54.19</v>
      </c>
      <c r="S317">
        <v>144.03</v>
      </c>
      <c r="T317">
        <v>1115</v>
      </c>
      <c r="U317">
        <v>121.89</v>
      </c>
      <c r="V317">
        <v>997</v>
      </c>
      <c r="W317">
        <v>211.84</v>
      </c>
      <c r="X317">
        <v>168</v>
      </c>
      <c r="Y317">
        <v>0</v>
      </c>
      <c r="Z317">
        <v>9</v>
      </c>
      <c r="AA317">
        <v>0</v>
      </c>
      <c r="AB317">
        <v>41</v>
      </c>
      <c r="AC317">
        <v>9</v>
      </c>
      <c r="AD317">
        <v>6307</v>
      </c>
      <c r="AE317">
        <v>28</v>
      </c>
      <c r="AF317">
        <v>12</v>
      </c>
      <c r="AG317">
        <v>40</v>
      </c>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c r="DN317"/>
      <c r="DO317"/>
      <c r="DP317"/>
      <c r="DQ317"/>
      <c r="DR317"/>
      <c r="DS317"/>
      <c r="DT317"/>
      <c r="DU317"/>
      <c r="DV317"/>
      <c r="DW317"/>
      <c r="DX317"/>
      <c r="DY317"/>
      <c r="DZ317"/>
      <c r="EA317"/>
      <c r="EB317"/>
      <c r="EC317"/>
      <c r="ED317"/>
      <c r="EE317"/>
      <c r="EF317"/>
      <c r="EG317"/>
      <c r="EH317"/>
      <c r="EI317"/>
      <c r="EJ317"/>
      <c r="EK317"/>
      <c r="EL317"/>
      <c r="EM317"/>
      <c r="EN317"/>
      <c r="EO317"/>
      <c r="EP317"/>
      <c r="EQ317"/>
      <c r="ER317"/>
      <c r="ES317"/>
      <c r="ET317"/>
      <c r="EU317"/>
      <c r="EV317"/>
      <c r="EW317"/>
      <c r="EX317"/>
      <c r="EY317"/>
      <c r="EZ317"/>
      <c r="FA317"/>
      <c r="FB317"/>
      <c r="FC317"/>
    </row>
    <row r="318" spans="1:159" ht="14.5" x14ac:dyDescent="0.35">
      <c r="A318" t="s">
        <v>688</v>
      </c>
      <c r="B318" t="s">
        <v>689</v>
      </c>
      <c r="C318">
        <v>4141</v>
      </c>
      <c r="D318">
        <v>0</v>
      </c>
      <c r="E318">
        <v>174</v>
      </c>
      <c r="F318">
        <v>556</v>
      </c>
      <c r="G318">
        <v>224</v>
      </c>
      <c r="H318">
        <v>5095</v>
      </c>
      <c r="I318">
        <v>4871</v>
      </c>
      <c r="J318">
        <v>15</v>
      </c>
      <c r="K318">
        <v>108.51</v>
      </c>
      <c r="L318">
        <v>106.71</v>
      </c>
      <c r="M318">
        <v>7.65</v>
      </c>
      <c r="N318">
        <v>112.89</v>
      </c>
      <c r="O318">
        <v>3726</v>
      </c>
      <c r="P318">
        <v>94.99</v>
      </c>
      <c r="Q318">
        <v>88.19</v>
      </c>
      <c r="R318">
        <v>45.42</v>
      </c>
      <c r="S318">
        <v>140.41999999999999</v>
      </c>
      <c r="T318">
        <v>528</v>
      </c>
      <c r="U318">
        <v>163.24</v>
      </c>
      <c r="V318">
        <v>271</v>
      </c>
      <c r="W318">
        <v>0</v>
      </c>
      <c r="X318">
        <v>0</v>
      </c>
      <c r="Y318">
        <v>0</v>
      </c>
      <c r="Z318">
        <v>3</v>
      </c>
      <c r="AA318">
        <v>0</v>
      </c>
      <c r="AB318">
        <v>6</v>
      </c>
      <c r="AC318">
        <v>3</v>
      </c>
      <c r="AD318">
        <v>4125</v>
      </c>
      <c r="AE318">
        <v>18</v>
      </c>
      <c r="AF318">
        <v>18</v>
      </c>
      <c r="AG318">
        <v>36</v>
      </c>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c r="DC318"/>
      <c r="DD318"/>
      <c r="DE318"/>
      <c r="DF318"/>
      <c r="DG318"/>
      <c r="DH318"/>
      <c r="DI318"/>
      <c r="DJ318"/>
      <c r="DK318"/>
      <c r="DL318"/>
      <c r="DM318"/>
      <c r="DN318"/>
      <c r="DO318"/>
      <c r="DP318"/>
      <c r="DQ318"/>
      <c r="DR318"/>
      <c r="DS318"/>
      <c r="DT318"/>
      <c r="DU318"/>
      <c r="DV318"/>
      <c r="DW318"/>
      <c r="DX318"/>
      <c r="DY318"/>
      <c r="DZ318"/>
      <c r="EA318"/>
      <c r="EB318"/>
      <c r="EC318"/>
      <c r="ED318"/>
      <c r="EE318"/>
      <c r="EF318"/>
      <c r="EG318"/>
      <c r="EH318"/>
      <c r="EI318"/>
      <c r="EJ318"/>
      <c r="EK318"/>
      <c r="EL318"/>
      <c r="EM318"/>
      <c r="EN318"/>
      <c r="EO318"/>
      <c r="EP318"/>
      <c r="EQ318"/>
      <c r="ER318"/>
      <c r="ES318"/>
      <c r="ET318"/>
      <c r="EU318"/>
      <c r="EV318"/>
      <c r="EW318"/>
      <c r="EX318"/>
      <c r="EY318"/>
      <c r="EZ318"/>
      <c r="FA318"/>
      <c r="FB318"/>
      <c r="FC318"/>
    </row>
    <row r="319" spans="1:159" ht="14.5" x14ac:dyDescent="0.35">
      <c r="A319" t="s">
        <v>690</v>
      </c>
      <c r="B319" t="s">
        <v>691</v>
      </c>
      <c r="C319">
        <v>8589</v>
      </c>
      <c r="D319">
        <v>0</v>
      </c>
      <c r="E319">
        <v>125</v>
      </c>
      <c r="F319">
        <v>904</v>
      </c>
      <c r="G319">
        <v>832</v>
      </c>
      <c r="H319">
        <v>10450</v>
      </c>
      <c r="I319">
        <v>9618</v>
      </c>
      <c r="J319">
        <v>131</v>
      </c>
      <c r="K319">
        <v>101.32</v>
      </c>
      <c r="L319">
        <v>99.39</v>
      </c>
      <c r="M319">
        <v>4.3899999999999997</v>
      </c>
      <c r="N319">
        <v>103.83</v>
      </c>
      <c r="O319">
        <v>7333</v>
      </c>
      <c r="P319">
        <v>94.54</v>
      </c>
      <c r="Q319">
        <v>89.31</v>
      </c>
      <c r="R319">
        <v>40.07</v>
      </c>
      <c r="S319">
        <v>132.96</v>
      </c>
      <c r="T319">
        <v>868</v>
      </c>
      <c r="U319">
        <v>129.49</v>
      </c>
      <c r="V319">
        <v>1238</v>
      </c>
      <c r="W319">
        <v>233.76</v>
      </c>
      <c r="X319">
        <v>83</v>
      </c>
      <c r="Y319">
        <v>0</v>
      </c>
      <c r="Z319">
        <v>8</v>
      </c>
      <c r="AA319">
        <v>0</v>
      </c>
      <c r="AB319">
        <v>90</v>
      </c>
      <c r="AC319">
        <v>12</v>
      </c>
      <c r="AD319">
        <v>8579</v>
      </c>
      <c r="AE319">
        <v>54</v>
      </c>
      <c r="AF319">
        <v>58</v>
      </c>
      <c r="AG319">
        <v>112</v>
      </c>
      <c r="AH319"/>
      <c r="AI319"/>
      <c r="AJ319"/>
      <c r="AK319"/>
      <c r="AL319"/>
      <c r="AM319"/>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c r="CY319"/>
      <c r="CZ319"/>
      <c r="DA319"/>
      <c r="DB319"/>
      <c r="DC319"/>
      <c r="DD319"/>
      <c r="DE319"/>
      <c r="DF319"/>
      <c r="DG319"/>
      <c r="DH319"/>
      <c r="DI319"/>
      <c r="DJ319"/>
      <c r="DK319"/>
      <c r="DL319"/>
      <c r="DM319"/>
      <c r="DN319"/>
      <c r="DO319"/>
      <c r="DP319"/>
      <c r="DQ319"/>
      <c r="DR319"/>
      <c r="DS319"/>
      <c r="DT319"/>
      <c r="DU319"/>
      <c r="DV319"/>
      <c r="DW319"/>
      <c r="DX319"/>
      <c r="DY319"/>
      <c r="DZ319"/>
      <c r="EA319"/>
      <c r="EB319"/>
      <c r="EC319"/>
      <c r="ED319"/>
      <c r="EE319"/>
      <c r="EF319"/>
      <c r="EG319"/>
      <c r="EH319"/>
      <c r="EI319"/>
      <c r="EJ319"/>
      <c r="EK319"/>
      <c r="EL319"/>
      <c r="EM319"/>
      <c r="EN319"/>
      <c r="EO319"/>
      <c r="EP319"/>
      <c r="EQ319"/>
      <c r="ER319"/>
      <c r="ES319"/>
      <c r="ET319"/>
      <c r="EU319"/>
      <c r="EV319"/>
      <c r="EW319"/>
      <c r="EX319"/>
      <c r="EY319"/>
      <c r="EZ319"/>
      <c r="FA319"/>
      <c r="FB319"/>
      <c r="FC319"/>
    </row>
    <row r="320" spans="1:159" ht="14.5" x14ac:dyDescent="0.35">
      <c r="A320" t="s">
        <v>692</v>
      </c>
      <c r="B320" t="s">
        <v>693</v>
      </c>
      <c r="C320">
        <v>3457</v>
      </c>
      <c r="D320">
        <v>0</v>
      </c>
      <c r="E320">
        <v>262</v>
      </c>
      <c r="F320">
        <v>475</v>
      </c>
      <c r="G320">
        <v>364</v>
      </c>
      <c r="H320">
        <v>4558</v>
      </c>
      <c r="I320">
        <v>4194</v>
      </c>
      <c r="J320">
        <v>5</v>
      </c>
      <c r="K320">
        <v>92.26</v>
      </c>
      <c r="L320">
        <v>91.38</v>
      </c>
      <c r="M320">
        <v>5.0599999999999996</v>
      </c>
      <c r="N320">
        <v>95.31</v>
      </c>
      <c r="O320">
        <v>2824</v>
      </c>
      <c r="P320">
        <v>100.81</v>
      </c>
      <c r="Q320">
        <v>89.36</v>
      </c>
      <c r="R320">
        <v>44.73</v>
      </c>
      <c r="S320">
        <v>145.46</v>
      </c>
      <c r="T320">
        <v>557</v>
      </c>
      <c r="U320">
        <v>117.29</v>
      </c>
      <c r="V320">
        <v>581</v>
      </c>
      <c r="W320">
        <v>185.88</v>
      </c>
      <c r="X320">
        <v>88</v>
      </c>
      <c r="Y320">
        <v>0</v>
      </c>
      <c r="Z320">
        <v>3</v>
      </c>
      <c r="AA320">
        <v>6</v>
      </c>
      <c r="AB320">
        <v>29</v>
      </c>
      <c r="AC320">
        <v>12</v>
      </c>
      <c r="AD320">
        <v>3410</v>
      </c>
      <c r="AE320">
        <v>15</v>
      </c>
      <c r="AF320">
        <v>20</v>
      </c>
      <c r="AG320">
        <v>35</v>
      </c>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c r="DC320"/>
      <c r="DD320"/>
      <c r="DE320"/>
      <c r="DF320"/>
      <c r="DG320"/>
      <c r="DH320"/>
      <c r="DI320"/>
      <c r="DJ320"/>
      <c r="DK320"/>
      <c r="DL320"/>
      <c r="DM320"/>
      <c r="DN320"/>
      <c r="DO320"/>
      <c r="DP320"/>
      <c r="DQ320"/>
      <c r="DR320"/>
      <c r="DS320"/>
      <c r="DT320"/>
      <c r="DU320"/>
      <c r="DV320"/>
      <c r="DW320"/>
      <c r="DX320"/>
      <c r="DY320"/>
      <c r="DZ320"/>
      <c r="EA320"/>
      <c r="EB320"/>
      <c r="EC320"/>
      <c r="ED320"/>
      <c r="EE320"/>
      <c r="EF320"/>
      <c r="EG320"/>
      <c r="EH320"/>
      <c r="EI320"/>
      <c r="EJ320"/>
      <c r="EK320"/>
      <c r="EL320"/>
      <c r="EM320"/>
      <c r="EN320"/>
      <c r="EO320"/>
      <c r="EP320"/>
      <c r="EQ320"/>
      <c r="ER320"/>
      <c r="ES320"/>
      <c r="ET320"/>
      <c r="EU320"/>
      <c r="EV320"/>
      <c r="EW320"/>
      <c r="EX320"/>
      <c r="EY320"/>
      <c r="EZ320"/>
      <c r="FA320"/>
      <c r="FB320"/>
      <c r="FC320"/>
    </row>
    <row r="321" spans="1:159" ht="14.5" x14ac:dyDescent="0.35">
      <c r="A321" t="s">
        <v>694</v>
      </c>
      <c r="B321" t="s">
        <v>695</v>
      </c>
      <c r="C321">
        <v>4630</v>
      </c>
      <c r="D321">
        <v>0</v>
      </c>
      <c r="E321">
        <v>2251</v>
      </c>
      <c r="F321">
        <v>58</v>
      </c>
      <c r="G321">
        <v>584</v>
      </c>
      <c r="H321">
        <v>7523</v>
      </c>
      <c r="I321">
        <v>6939</v>
      </c>
      <c r="J321">
        <v>2</v>
      </c>
      <c r="K321">
        <v>93.74</v>
      </c>
      <c r="L321">
        <v>90.84</v>
      </c>
      <c r="M321">
        <v>8.77</v>
      </c>
      <c r="N321">
        <v>97.93</v>
      </c>
      <c r="O321">
        <v>4054</v>
      </c>
      <c r="P321">
        <v>92.87</v>
      </c>
      <c r="Q321">
        <v>84.18</v>
      </c>
      <c r="R321">
        <v>20.100000000000001</v>
      </c>
      <c r="S321">
        <v>112.95</v>
      </c>
      <c r="T321">
        <v>2081</v>
      </c>
      <c r="U321">
        <v>119.55</v>
      </c>
      <c r="V321">
        <v>548</v>
      </c>
      <c r="W321">
        <v>210.54</v>
      </c>
      <c r="X321">
        <v>200</v>
      </c>
      <c r="Y321">
        <v>0</v>
      </c>
      <c r="Z321">
        <v>11</v>
      </c>
      <c r="AA321">
        <v>1</v>
      </c>
      <c r="AB321">
        <v>59</v>
      </c>
      <c r="AC321">
        <v>16</v>
      </c>
      <c r="AD321">
        <v>4630</v>
      </c>
      <c r="AE321">
        <v>25</v>
      </c>
      <c r="AF321">
        <v>99</v>
      </c>
      <c r="AG321">
        <v>124</v>
      </c>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c r="CY321"/>
      <c r="CZ321"/>
      <c r="DA321"/>
      <c r="DB321"/>
      <c r="DC321"/>
      <c r="DD321"/>
      <c r="DE321"/>
      <c r="DF321"/>
      <c r="DG321"/>
      <c r="DH321"/>
      <c r="DI321"/>
      <c r="DJ321"/>
      <c r="DK321"/>
      <c r="DL321"/>
      <c r="DM321"/>
      <c r="DN321"/>
      <c r="DO321"/>
      <c r="DP321"/>
      <c r="DQ321"/>
      <c r="DR321"/>
      <c r="DS321"/>
      <c r="DT321"/>
      <c r="DU321"/>
      <c r="DV321"/>
      <c r="DW321"/>
      <c r="DX321"/>
      <c r="DY321"/>
      <c r="DZ321"/>
      <c r="EA321"/>
      <c r="EB321"/>
      <c r="EC321"/>
      <c r="ED321"/>
      <c r="EE321"/>
      <c r="EF321"/>
      <c r="EG321"/>
      <c r="EH321"/>
      <c r="EI321"/>
      <c r="EJ321"/>
      <c r="EK321"/>
      <c r="EL321"/>
      <c r="EM321"/>
      <c r="EN321"/>
      <c r="EO321"/>
      <c r="EP321"/>
      <c r="EQ321"/>
      <c r="ER321"/>
      <c r="ES321"/>
      <c r="ET321"/>
      <c r="EU321"/>
      <c r="EV321"/>
      <c r="EW321"/>
      <c r="EX321"/>
      <c r="EY321"/>
      <c r="EZ321"/>
      <c r="FA321"/>
      <c r="FB321"/>
      <c r="FC321"/>
    </row>
    <row r="322" spans="1:159" ht="14.5" x14ac:dyDescent="0.35">
      <c r="A322" t="s">
        <v>696</v>
      </c>
      <c r="B322" t="s">
        <v>697</v>
      </c>
      <c r="C322">
        <v>4109</v>
      </c>
      <c r="D322">
        <v>6</v>
      </c>
      <c r="E322">
        <v>287</v>
      </c>
      <c r="F322">
        <v>726</v>
      </c>
      <c r="G322">
        <v>588</v>
      </c>
      <c r="H322">
        <v>5716</v>
      </c>
      <c r="I322">
        <v>5128</v>
      </c>
      <c r="J322">
        <v>251</v>
      </c>
      <c r="K322">
        <v>99.32</v>
      </c>
      <c r="L322">
        <v>98.05</v>
      </c>
      <c r="M322">
        <v>7.77</v>
      </c>
      <c r="N322">
        <v>103.32</v>
      </c>
      <c r="O322">
        <v>3387</v>
      </c>
      <c r="P322">
        <v>93.41</v>
      </c>
      <c r="Q322">
        <v>83.7</v>
      </c>
      <c r="R322">
        <v>43.59</v>
      </c>
      <c r="S322">
        <v>135.54</v>
      </c>
      <c r="T322">
        <v>921</v>
      </c>
      <c r="U322">
        <v>118.18</v>
      </c>
      <c r="V322">
        <v>570</v>
      </c>
      <c r="W322">
        <v>0</v>
      </c>
      <c r="X322">
        <v>0</v>
      </c>
      <c r="Y322">
        <v>0</v>
      </c>
      <c r="Z322">
        <v>0</v>
      </c>
      <c r="AA322">
        <v>8</v>
      </c>
      <c r="AB322">
        <v>33</v>
      </c>
      <c r="AC322">
        <v>4</v>
      </c>
      <c r="AD322">
        <v>4090</v>
      </c>
      <c r="AE322">
        <v>21</v>
      </c>
      <c r="AF322">
        <v>22</v>
      </c>
      <c r="AG322">
        <v>43</v>
      </c>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c r="DC322"/>
      <c r="DD322"/>
      <c r="DE322"/>
      <c r="DF322"/>
      <c r="DG322"/>
      <c r="DH322"/>
      <c r="DI322"/>
      <c r="DJ322"/>
      <c r="DK322"/>
      <c r="DL322"/>
      <c r="DM322"/>
      <c r="DN322"/>
      <c r="DO322"/>
      <c r="DP322"/>
      <c r="DQ322"/>
      <c r="DR322"/>
      <c r="DS322"/>
      <c r="DT322"/>
      <c r="DU322"/>
      <c r="DV322"/>
      <c r="DW322"/>
      <c r="DX322"/>
      <c r="DY322"/>
      <c r="DZ322"/>
      <c r="EA322"/>
      <c r="EB322"/>
      <c r="EC322"/>
      <c r="ED322"/>
      <c r="EE322"/>
      <c r="EF322"/>
      <c r="EG322"/>
      <c r="EH322"/>
      <c r="EI322"/>
      <c r="EJ322"/>
      <c r="EK322"/>
      <c r="EL322"/>
      <c r="EM322"/>
      <c r="EN322"/>
      <c r="EO322"/>
      <c r="EP322"/>
      <c r="EQ322"/>
      <c r="ER322"/>
      <c r="ES322"/>
      <c r="ET322"/>
      <c r="EU322"/>
      <c r="EV322"/>
      <c r="EW322"/>
      <c r="EX322"/>
      <c r="EY322"/>
      <c r="EZ322"/>
      <c r="FA322"/>
      <c r="FB322"/>
      <c r="FC32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D0470-B6CA-4AC8-AABD-7089DE08B56F}">
  <sheetPr codeName="Sheet12">
    <tabColor rgb="FFFFFF00"/>
  </sheetPr>
  <dimension ref="A1:D310"/>
  <sheetViews>
    <sheetView workbookViewId="0">
      <selection activeCell="B1" sqref="B1"/>
    </sheetView>
  </sheetViews>
  <sheetFormatPr defaultRowHeight="14.5" x14ac:dyDescent="0.35"/>
  <cols>
    <col min="1" max="1" width="15.453125" customWidth="1"/>
    <col min="2" max="2" width="33.1796875" customWidth="1"/>
    <col min="4" max="4" width="32" customWidth="1"/>
  </cols>
  <sheetData>
    <row r="1" spans="1:4" x14ac:dyDescent="0.35">
      <c r="A1" s="156" t="s">
        <v>698</v>
      </c>
      <c r="B1" s="156" t="s">
        <v>699</v>
      </c>
      <c r="C1">
        <f>COUNTIF(D2:D310,"?*")</f>
        <v>309</v>
      </c>
      <c r="D1" s="156" t="s">
        <v>700</v>
      </c>
    </row>
    <row r="2" spans="1:4" x14ac:dyDescent="0.35">
      <c r="A2">
        <f>IF(ISNUMBER(SEARCH('PRP LA trend tool 2015-23'!$F$3,B2)),MAX($A$1:A1)+1,0)</f>
        <v>1</v>
      </c>
      <c r="B2" t="s">
        <v>87</v>
      </c>
      <c r="C2" t="str">
        <f ca="1">OFFSET($D$2,,,COUNTIF($D$2:$D$310,"?*"))</f>
        <v>Adur</v>
      </c>
      <c r="D2" t="str">
        <f>IFERROR(VLOOKUP(ROWS($D$2:D2),$A$2:$B$1416,2,0),"")</f>
        <v>Adur</v>
      </c>
    </row>
    <row r="3" spans="1:4" x14ac:dyDescent="0.35">
      <c r="A3">
        <f>IF(ISNUMBER(SEARCH('PRP LA trend tool 2015-23'!$F$3,B3)),MAX($A$1:A2)+1,0)</f>
        <v>2</v>
      </c>
      <c r="B3" t="s">
        <v>89</v>
      </c>
      <c r="D3" t="str">
        <f>IFERROR(VLOOKUP(ROWS($D$2:D3),$A$2:$B$1416,2,0),"")</f>
        <v>Allerdale</v>
      </c>
    </row>
    <row r="4" spans="1:4" x14ac:dyDescent="0.35">
      <c r="A4">
        <f>IF(ISNUMBER(SEARCH('PRP LA trend tool 2015-23'!$F$3,B4)),MAX($A$1:A3)+1,0)</f>
        <v>3</v>
      </c>
      <c r="B4" t="s">
        <v>91</v>
      </c>
      <c r="D4" t="str">
        <f>IFERROR(VLOOKUP(ROWS($D$2:D4),$A$2:$B$1416,2,0),"")</f>
        <v>Amber Valley</v>
      </c>
    </row>
    <row r="5" spans="1:4" x14ac:dyDescent="0.35">
      <c r="A5">
        <f>IF(ISNUMBER(SEARCH('PRP LA trend tool 2015-23'!$F$3,B5)),MAX($A$1:A4)+1,0)</f>
        <v>4</v>
      </c>
      <c r="B5" t="s">
        <v>93</v>
      </c>
      <c r="D5" t="str">
        <f>IFERROR(VLOOKUP(ROWS($D$2:D5),$A$2:$B$1416,2,0),"")</f>
        <v>Arun</v>
      </c>
    </row>
    <row r="6" spans="1:4" x14ac:dyDescent="0.35">
      <c r="A6">
        <f>IF(ISNUMBER(SEARCH('PRP LA trend tool 2015-23'!$F$3,B6)),MAX($A$1:A5)+1,0)</f>
        <v>5</v>
      </c>
      <c r="B6" t="s">
        <v>95</v>
      </c>
      <c r="D6" t="str">
        <f>IFERROR(VLOOKUP(ROWS($D$2:D6),$A$2:$B$1416,2,0),"")</f>
        <v>Ashfield</v>
      </c>
    </row>
    <row r="7" spans="1:4" x14ac:dyDescent="0.35">
      <c r="A7">
        <f>IF(ISNUMBER(SEARCH('PRP LA trend tool 2015-23'!$F$3,B7)),MAX($A$1:A6)+1,0)</f>
        <v>6</v>
      </c>
      <c r="B7" t="s">
        <v>97</v>
      </c>
      <c r="D7" t="str">
        <f>IFERROR(VLOOKUP(ROWS($D$2:D7),$A$2:$B$1416,2,0),"")</f>
        <v>Ashford</v>
      </c>
    </row>
    <row r="8" spans="1:4" x14ac:dyDescent="0.35">
      <c r="A8">
        <f>IF(ISNUMBER(SEARCH('PRP LA trend tool 2015-23'!$F$3,B8)),MAX($A$1:A7)+1,0)</f>
        <v>7</v>
      </c>
      <c r="B8" t="s">
        <v>99</v>
      </c>
      <c r="D8" t="str">
        <f>IFERROR(VLOOKUP(ROWS($D$2:D8),$A$2:$B$1416,2,0),"")</f>
        <v>Babergh</v>
      </c>
    </row>
    <row r="9" spans="1:4" x14ac:dyDescent="0.35">
      <c r="A9">
        <f>IF(ISNUMBER(SEARCH('PRP LA trend tool 2015-23'!$F$3,B9)),MAX($A$1:A8)+1,0)</f>
        <v>8</v>
      </c>
      <c r="B9" t="s">
        <v>101</v>
      </c>
      <c r="D9" t="str">
        <f>IFERROR(VLOOKUP(ROWS($D$2:D9),$A$2:$B$1416,2,0),"")</f>
        <v>Barking and Dagenham</v>
      </c>
    </row>
    <row r="10" spans="1:4" x14ac:dyDescent="0.35">
      <c r="A10">
        <f>IF(ISNUMBER(SEARCH('PRP LA trend tool 2015-23'!$F$3,B10)),MAX($A$1:A9)+1,0)</f>
        <v>9</v>
      </c>
      <c r="B10" t="s">
        <v>103</v>
      </c>
      <c r="D10" t="str">
        <f>IFERROR(VLOOKUP(ROWS($D$2:D10),$A$2:$B$1416,2,0),"")</f>
        <v>Barnet</v>
      </c>
    </row>
    <row r="11" spans="1:4" x14ac:dyDescent="0.35">
      <c r="A11">
        <f>IF(ISNUMBER(SEARCH('PRP LA trend tool 2015-23'!$F$3,B11)),MAX($A$1:A10)+1,0)</f>
        <v>10</v>
      </c>
      <c r="B11" t="s">
        <v>105</v>
      </c>
      <c r="D11" t="str">
        <f>IFERROR(VLOOKUP(ROWS($D$2:D11),$A$2:$B$1416,2,0),"")</f>
        <v>Barnsley</v>
      </c>
    </row>
    <row r="12" spans="1:4" x14ac:dyDescent="0.35">
      <c r="A12">
        <f>IF(ISNUMBER(SEARCH('PRP LA trend tool 2015-23'!$F$3,B12)),MAX($A$1:A11)+1,0)</f>
        <v>11</v>
      </c>
      <c r="B12" t="s">
        <v>107</v>
      </c>
      <c r="D12" t="str">
        <f>IFERROR(VLOOKUP(ROWS($D$2:D12),$A$2:$B$1416,2,0),"")</f>
        <v>Barrow-in-Furness</v>
      </c>
    </row>
    <row r="13" spans="1:4" x14ac:dyDescent="0.35">
      <c r="A13">
        <f>IF(ISNUMBER(SEARCH('PRP LA trend tool 2015-23'!$F$3,B13)),MAX($A$1:A12)+1,0)</f>
        <v>12</v>
      </c>
      <c r="B13" t="s">
        <v>109</v>
      </c>
      <c r="D13" t="str">
        <f>IFERROR(VLOOKUP(ROWS($D$2:D13),$A$2:$B$1416,2,0),"")</f>
        <v>Basildon</v>
      </c>
    </row>
    <row r="14" spans="1:4" x14ac:dyDescent="0.35">
      <c r="A14">
        <f>IF(ISNUMBER(SEARCH('PRP LA trend tool 2015-23'!$F$3,B14)),MAX($A$1:A13)+1,0)</f>
        <v>13</v>
      </c>
      <c r="B14" t="s">
        <v>111</v>
      </c>
      <c r="D14" t="str">
        <f>IFERROR(VLOOKUP(ROWS($D$2:D14),$A$2:$B$1416,2,0),"")</f>
        <v>Basingstoke and Deane</v>
      </c>
    </row>
    <row r="15" spans="1:4" x14ac:dyDescent="0.35">
      <c r="A15">
        <f>IF(ISNUMBER(SEARCH('PRP LA trend tool 2015-23'!$F$3,B15)),MAX($A$1:A14)+1,0)</f>
        <v>14</v>
      </c>
      <c r="B15" t="s">
        <v>113</v>
      </c>
      <c r="D15" t="str">
        <f>IFERROR(VLOOKUP(ROWS($D$2:D15),$A$2:$B$1416,2,0),"")</f>
        <v>Bassetlaw</v>
      </c>
    </row>
    <row r="16" spans="1:4" x14ac:dyDescent="0.35">
      <c r="A16">
        <f>IF(ISNUMBER(SEARCH('PRP LA trend tool 2015-23'!$F$3,B16)),MAX($A$1:A15)+1,0)</f>
        <v>15</v>
      </c>
      <c r="B16" t="s">
        <v>115</v>
      </c>
      <c r="D16" t="str">
        <f>IFERROR(VLOOKUP(ROWS($D$2:D16),$A$2:$B$1416,2,0),"")</f>
        <v>Bath and North East Somerset</v>
      </c>
    </row>
    <row r="17" spans="1:4" x14ac:dyDescent="0.35">
      <c r="A17">
        <f>IF(ISNUMBER(SEARCH('PRP LA trend tool 2015-23'!$F$3,B17)),MAX($A$1:A16)+1,0)</f>
        <v>16</v>
      </c>
      <c r="B17" t="s">
        <v>117</v>
      </c>
      <c r="D17" t="str">
        <f>IFERROR(VLOOKUP(ROWS($D$2:D17),$A$2:$B$1416,2,0),"")</f>
        <v>Bedford</v>
      </c>
    </row>
    <row r="18" spans="1:4" x14ac:dyDescent="0.35">
      <c r="A18">
        <f>IF(ISNUMBER(SEARCH('PRP LA trend tool 2015-23'!$F$3,B18)),MAX($A$1:A17)+1,0)</f>
        <v>17</v>
      </c>
      <c r="B18" t="s">
        <v>119</v>
      </c>
      <c r="D18" t="str">
        <f>IFERROR(VLOOKUP(ROWS($D$2:D18),$A$2:$B$1416,2,0),"")</f>
        <v>Bexley</v>
      </c>
    </row>
    <row r="19" spans="1:4" x14ac:dyDescent="0.35">
      <c r="A19">
        <f>IF(ISNUMBER(SEARCH('PRP LA trend tool 2015-23'!$F$3,B19)),MAX($A$1:A18)+1,0)</f>
        <v>18</v>
      </c>
      <c r="B19" t="s">
        <v>121</v>
      </c>
      <c r="D19" t="str">
        <f>IFERROR(VLOOKUP(ROWS($D$2:D19),$A$2:$B$1416,2,0),"")</f>
        <v>Birmingham</v>
      </c>
    </row>
    <row r="20" spans="1:4" x14ac:dyDescent="0.35">
      <c r="A20">
        <f>IF(ISNUMBER(SEARCH('PRP LA trend tool 2015-23'!$F$3,B20)),MAX($A$1:A19)+1,0)</f>
        <v>19</v>
      </c>
      <c r="B20" t="s">
        <v>123</v>
      </c>
      <c r="D20" t="str">
        <f>IFERROR(VLOOKUP(ROWS($D$2:D20),$A$2:$B$1416,2,0),"")</f>
        <v>Blaby</v>
      </c>
    </row>
    <row r="21" spans="1:4" x14ac:dyDescent="0.35">
      <c r="A21">
        <f>IF(ISNUMBER(SEARCH('PRP LA trend tool 2015-23'!$F$3,B21)),MAX($A$1:A20)+1,0)</f>
        <v>20</v>
      </c>
      <c r="B21" t="s">
        <v>125</v>
      </c>
      <c r="D21" t="str">
        <f>IFERROR(VLOOKUP(ROWS($D$2:D21),$A$2:$B$1416,2,0),"")</f>
        <v>Blackburn with Darwen</v>
      </c>
    </row>
    <row r="22" spans="1:4" x14ac:dyDescent="0.35">
      <c r="A22">
        <f>IF(ISNUMBER(SEARCH('PRP LA trend tool 2015-23'!$F$3,B22)),MAX($A$1:A21)+1,0)</f>
        <v>21</v>
      </c>
      <c r="B22" t="s">
        <v>127</v>
      </c>
      <c r="D22" t="str">
        <f>IFERROR(VLOOKUP(ROWS($D$2:D22),$A$2:$B$1416,2,0),"")</f>
        <v>Blackpool</v>
      </c>
    </row>
    <row r="23" spans="1:4" x14ac:dyDescent="0.35">
      <c r="A23">
        <f>IF(ISNUMBER(SEARCH('PRP LA trend tool 2015-23'!$F$3,B23)),MAX($A$1:A22)+1,0)</f>
        <v>22</v>
      </c>
      <c r="B23" t="s">
        <v>129</v>
      </c>
      <c r="D23" t="str">
        <f>IFERROR(VLOOKUP(ROWS($D$2:D23),$A$2:$B$1416,2,0),"")</f>
        <v>Bolsover</v>
      </c>
    </row>
    <row r="24" spans="1:4" x14ac:dyDescent="0.35">
      <c r="A24">
        <f>IF(ISNUMBER(SEARCH('PRP LA trend tool 2015-23'!$F$3,B24)),MAX($A$1:A23)+1,0)</f>
        <v>23</v>
      </c>
      <c r="B24" t="s">
        <v>131</v>
      </c>
      <c r="D24" t="str">
        <f>IFERROR(VLOOKUP(ROWS($D$2:D24),$A$2:$B$1416,2,0),"")</f>
        <v>Bolton</v>
      </c>
    </row>
    <row r="25" spans="1:4" x14ac:dyDescent="0.35">
      <c r="A25">
        <f>IF(ISNUMBER(SEARCH('PRP LA trend tool 2015-23'!$F$3,B25)),MAX($A$1:A24)+1,0)</f>
        <v>24</v>
      </c>
      <c r="B25" t="s">
        <v>133</v>
      </c>
      <c r="D25" t="str">
        <f>IFERROR(VLOOKUP(ROWS($D$2:D25),$A$2:$B$1416,2,0),"")</f>
        <v>Boston</v>
      </c>
    </row>
    <row r="26" spans="1:4" x14ac:dyDescent="0.35">
      <c r="A26">
        <f>IF(ISNUMBER(SEARCH('PRP LA trend tool 2015-23'!$F$3,B26)),MAX($A$1:A25)+1,0)</f>
        <v>25</v>
      </c>
      <c r="B26" t="s">
        <v>135</v>
      </c>
      <c r="D26" t="str">
        <f>IFERROR(VLOOKUP(ROWS($D$2:D26),$A$2:$B$1416,2,0),"")</f>
        <v>Bournemouth Christchurch and Poole</v>
      </c>
    </row>
    <row r="27" spans="1:4" x14ac:dyDescent="0.35">
      <c r="A27">
        <f>IF(ISNUMBER(SEARCH('PRP LA trend tool 2015-23'!$F$3,B27)),MAX($A$1:A26)+1,0)</f>
        <v>26</v>
      </c>
      <c r="B27" t="s">
        <v>137</v>
      </c>
      <c r="D27" t="str">
        <f>IFERROR(VLOOKUP(ROWS($D$2:D27),$A$2:$B$1416,2,0),"")</f>
        <v>Bracknell Forest</v>
      </c>
    </row>
    <row r="28" spans="1:4" x14ac:dyDescent="0.35">
      <c r="A28">
        <f>IF(ISNUMBER(SEARCH('PRP LA trend tool 2015-23'!$F$3,B28)),MAX($A$1:A27)+1,0)</f>
        <v>27</v>
      </c>
      <c r="B28" t="s">
        <v>139</v>
      </c>
      <c r="D28" t="str">
        <f>IFERROR(VLOOKUP(ROWS($D$2:D28),$A$2:$B$1416,2,0),"")</f>
        <v>Bradford</v>
      </c>
    </row>
    <row r="29" spans="1:4" x14ac:dyDescent="0.35">
      <c r="A29">
        <f>IF(ISNUMBER(SEARCH('PRP LA trend tool 2015-23'!$F$3,B29)),MAX($A$1:A28)+1,0)</f>
        <v>28</v>
      </c>
      <c r="B29" t="s">
        <v>141</v>
      </c>
      <c r="D29" t="str">
        <f>IFERROR(VLOOKUP(ROWS($D$2:D29),$A$2:$B$1416,2,0),"")</f>
        <v>Braintree</v>
      </c>
    </row>
    <row r="30" spans="1:4" x14ac:dyDescent="0.35">
      <c r="A30">
        <f>IF(ISNUMBER(SEARCH('PRP LA trend tool 2015-23'!$F$3,B30)),MAX($A$1:A29)+1,0)</f>
        <v>29</v>
      </c>
      <c r="B30" t="s">
        <v>143</v>
      </c>
      <c r="D30" t="str">
        <f>IFERROR(VLOOKUP(ROWS($D$2:D30),$A$2:$B$1416,2,0),"")</f>
        <v>Breckland</v>
      </c>
    </row>
    <row r="31" spans="1:4" x14ac:dyDescent="0.35">
      <c r="A31">
        <f>IF(ISNUMBER(SEARCH('PRP LA trend tool 2015-23'!$F$3,B31)),MAX($A$1:A30)+1,0)</f>
        <v>30</v>
      </c>
      <c r="B31" t="s">
        <v>145</v>
      </c>
      <c r="D31" t="str">
        <f>IFERROR(VLOOKUP(ROWS($D$2:D31),$A$2:$B$1416,2,0),"")</f>
        <v>Brent</v>
      </c>
    </row>
    <row r="32" spans="1:4" x14ac:dyDescent="0.35">
      <c r="A32">
        <f>IF(ISNUMBER(SEARCH('PRP LA trend tool 2015-23'!$F$3,B32)),MAX($A$1:A31)+1,0)</f>
        <v>31</v>
      </c>
      <c r="B32" t="s">
        <v>147</v>
      </c>
      <c r="D32" t="str">
        <f>IFERROR(VLOOKUP(ROWS($D$2:D32),$A$2:$B$1416,2,0),"")</f>
        <v>Brentwood</v>
      </c>
    </row>
    <row r="33" spans="1:4" x14ac:dyDescent="0.35">
      <c r="A33">
        <f>IF(ISNUMBER(SEARCH('PRP LA trend tool 2015-23'!$F$3,B33)),MAX($A$1:A32)+1,0)</f>
        <v>32</v>
      </c>
      <c r="B33" t="s">
        <v>149</v>
      </c>
      <c r="D33" t="str">
        <f>IFERROR(VLOOKUP(ROWS($D$2:D33),$A$2:$B$1416,2,0),"")</f>
        <v>Brighton and Hove</v>
      </c>
    </row>
    <row r="34" spans="1:4" x14ac:dyDescent="0.35">
      <c r="A34">
        <f>IF(ISNUMBER(SEARCH('PRP LA trend tool 2015-23'!$F$3,B34)),MAX($A$1:A33)+1,0)</f>
        <v>33</v>
      </c>
      <c r="B34" t="s">
        <v>151</v>
      </c>
      <c r="D34" t="str">
        <f>IFERROR(VLOOKUP(ROWS($D$2:D34),$A$2:$B$1416,2,0),"")</f>
        <v>Bristol, City of</v>
      </c>
    </row>
    <row r="35" spans="1:4" x14ac:dyDescent="0.35">
      <c r="A35">
        <f>IF(ISNUMBER(SEARCH('PRP LA trend tool 2015-23'!$F$3,B35)),MAX($A$1:A34)+1,0)</f>
        <v>34</v>
      </c>
      <c r="B35" t="s">
        <v>153</v>
      </c>
      <c r="D35" t="str">
        <f>IFERROR(VLOOKUP(ROWS($D$2:D35),$A$2:$B$1416,2,0),"")</f>
        <v>Broadland</v>
      </c>
    </row>
    <row r="36" spans="1:4" x14ac:dyDescent="0.35">
      <c r="A36">
        <f>IF(ISNUMBER(SEARCH('PRP LA trend tool 2015-23'!$F$3,B36)),MAX($A$1:A35)+1,0)</f>
        <v>35</v>
      </c>
      <c r="B36" t="s">
        <v>155</v>
      </c>
      <c r="D36" t="str">
        <f>IFERROR(VLOOKUP(ROWS($D$2:D36),$A$2:$B$1416,2,0),"")</f>
        <v>Bromley</v>
      </c>
    </row>
    <row r="37" spans="1:4" x14ac:dyDescent="0.35">
      <c r="A37">
        <f>IF(ISNUMBER(SEARCH('PRP LA trend tool 2015-23'!$F$3,B37)),MAX($A$1:A36)+1,0)</f>
        <v>36</v>
      </c>
      <c r="B37" t="s">
        <v>157</v>
      </c>
      <c r="D37" t="str">
        <f>IFERROR(VLOOKUP(ROWS($D$2:D37),$A$2:$B$1416,2,0),"")</f>
        <v>Bromsgrove</v>
      </c>
    </row>
    <row r="38" spans="1:4" x14ac:dyDescent="0.35">
      <c r="A38">
        <f>IF(ISNUMBER(SEARCH('PRP LA trend tool 2015-23'!$F$3,B38)),MAX($A$1:A37)+1,0)</f>
        <v>37</v>
      </c>
      <c r="B38" t="s">
        <v>159</v>
      </c>
      <c r="D38" t="str">
        <f>IFERROR(VLOOKUP(ROWS($D$2:D38),$A$2:$B$1416,2,0),"")</f>
        <v>Broxbourne</v>
      </c>
    </row>
    <row r="39" spans="1:4" x14ac:dyDescent="0.35">
      <c r="A39">
        <f>IF(ISNUMBER(SEARCH('PRP LA trend tool 2015-23'!$F$3,B39)),MAX($A$1:A38)+1,0)</f>
        <v>38</v>
      </c>
      <c r="B39" t="s">
        <v>161</v>
      </c>
      <c r="D39" t="str">
        <f>IFERROR(VLOOKUP(ROWS($D$2:D39),$A$2:$B$1416,2,0),"")</f>
        <v>Broxtowe</v>
      </c>
    </row>
    <row r="40" spans="1:4" x14ac:dyDescent="0.35">
      <c r="A40">
        <f>IF(ISNUMBER(SEARCH('PRP LA trend tool 2015-23'!$F$3,B40)),MAX($A$1:A39)+1,0)</f>
        <v>39</v>
      </c>
      <c r="B40" t="s">
        <v>770</v>
      </c>
      <c r="D40" t="str">
        <f>IFERROR(VLOOKUP(ROWS($D$2:D40),$A$2:$B$1416,2,0),"")</f>
        <v>Buckinghamshire</v>
      </c>
    </row>
    <row r="41" spans="1:4" x14ac:dyDescent="0.35">
      <c r="A41">
        <f>IF(ISNUMBER(SEARCH('PRP LA trend tool 2015-23'!$F$3,B41)),MAX($A$1:A40)+1,0)</f>
        <v>40</v>
      </c>
      <c r="B41" t="s">
        <v>163</v>
      </c>
      <c r="D41" t="str">
        <f>IFERROR(VLOOKUP(ROWS($D$2:D41),$A$2:$B$1416,2,0),"")</f>
        <v>Burnley</v>
      </c>
    </row>
    <row r="42" spans="1:4" x14ac:dyDescent="0.35">
      <c r="A42">
        <f>IF(ISNUMBER(SEARCH('PRP LA trend tool 2015-23'!$F$3,B42)),MAX($A$1:A41)+1,0)</f>
        <v>41</v>
      </c>
      <c r="B42" t="s">
        <v>165</v>
      </c>
      <c r="D42" t="str">
        <f>IFERROR(VLOOKUP(ROWS($D$2:D42),$A$2:$B$1416,2,0),"")</f>
        <v>Bury</v>
      </c>
    </row>
    <row r="43" spans="1:4" x14ac:dyDescent="0.35">
      <c r="A43">
        <f>IF(ISNUMBER(SEARCH('PRP LA trend tool 2015-23'!$F$3,B43)),MAX($A$1:A42)+1,0)</f>
        <v>42</v>
      </c>
      <c r="B43" t="s">
        <v>167</v>
      </c>
      <c r="D43" t="str">
        <f>IFERROR(VLOOKUP(ROWS($D$2:D43),$A$2:$B$1416,2,0),"")</f>
        <v>Calderdale</v>
      </c>
    </row>
    <row r="44" spans="1:4" x14ac:dyDescent="0.35">
      <c r="A44">
        <f>IF(ISNUMBER(SEARCH('PRP LA trend tool 2015-23'!$F$3,B44)),MAX($A$1:A43)+1,0)</f>
        <v>43</v>
      </c>
      <c r="B44" t="s">
        <v>169</v>
      </c>
      <c r="D44" t="str">
        <f>IFERROR(VLOOKUP(ROWS($D$2:D44),$A$2:$B$1416,2,0),"")</f>
        <v>Cambridge</v>
      </c>
    </row>
    <row r="45" spans="1:4" x14ac:dyDescent="0.35">
      <c r="A45">
        <f>IF(ISNUMBER(SEARCH('PRP LA trend tool 2015-23'!$F$3,B45)),MAX($A$1:A44)+1,0)</f>
        <v>44</v>
      </c>
      <c r="B45" t="s">
        <v>171</v>
      </c>
      <c r="D45" t="str">
        <f>IFERROR(VLOOKUP(ROWS($D$2:D45),$A$2:$B$1416,2,0),"")</f>
        <v>Camden</v>
      </c>
    </row>
    <row r="46" spans="1:4" x14ac:dyDescent="0.35">
      <c r="A46">
        <f>IF(ISNUMBER(SEARCH('PRP LA trend tool 2015-23'!$F$3,B46)),MAX($A$1:A45)+1,0)</f>
        <v>45</v>
      </c>
      <c r="B46" t="s">
        <v>173</v>
      </c>
      <c r="D46" t="str">
        <f>IFERROR(VLOOKUP(ROWS($D$2:D46),$A$2:$B$1416,2,0),"")</f>
        <v>Cannock Chase</v>
      </c>
    </row>
    <row r="47" spans="1:4" x14ac:dyDescent="0.35">
      <c r="A47">
        <f>IF(ISNUMBER(SEARCH('PRP LA trend tool 2015-23'!$F$3,B47)),MAX($A$1:A46)+1,0)</f>
        <v>46</v>
      </c>
      <c r="B47" t="s">
        <v>175</v>
      </c>
      <c r="D47" t="str">
        <f>IFERROR(VLOOKUP(ROWS($D$2:D47),$A$2:$B$1416,2,0),"")</f>
        <v>Canterbury</v>
      </c>
    </row>
    <row r="48" spans="1:4" x14ac:dyDescent="0.35">
      <c r="A48">
        <f>IF(ISNUMBER(SEARCH('PRP LA trend tool 2015-23'!$F$3,B48)),MAX($A$1:A47)+1,0)</f>
        <v>47</v>
      </c>
      <c r="B48" t="s">
        <v>177</v>
      </c>
      <c r="D48" t="str">
        <f>IFERROR(VLOOKUP(ROWS($D$2:D48),$A$2:$B$1416,2,0),"")</f>
        <v>Carlisle</v>
      </c>
    </row>
    <row r="49" spans="1:4" x14ac:dyDescent="0.35">
      <c r="A49">
        <f>IF(ISNUMBER(SEARCH('PRP LA trend tool 2015-23'!$F$3,B49)),MAX($A$1:A48)+1,0)</f>
        <v>48</v>
      </c>
      <c r="B49" t="s">
        <v>179</v>
      </c>
      <c r="D49" t="str">
        <f>IFERROR(VLOOKUP(ROWS($D$2:D49),$A$2:$B$1416,2,0),"")</f>
        <v>Castle Point</v>
      </c>
    </row>
    <row r="50" spans="1:4" x14ac:dyDescent="0.35">
      <c r="A50">
        <f>IF(ISNUMBER(SEARCH('PRP LA trend tool 2015-23'!$F$3,B50)),MAX($A$1:A49)+1,0)</f>
        <v>49</v>
      </c>
      <c r="B50" t="s">
        <v>181</v>
      </c>
      <c r="D50" t="str">
        <f>IFERROR(VLOOKUP(ROWS($D$2:D50),$A$2:$B$1416,2,0),"")</f>
        <v>Central Bedfordshire</v>
      </c>
    </row>
    <row r="51" spans="1:4" x14ac:dyDescent="0.35">
      <c r="A51">
        <f>IF(ISNUMBER(SEARCH('PRP LA trend tool 2015-23'!$F$3,B51)),MAX($A$1:A50)+1,0)</f>
        <v>50</v>
      </c>
      <c r="B51" t="s">
        <v>183</v>
      </c>
      <c r="D51" t="str">
        <f>IFERROR(VLOOKUP(ROWS($D$2:D51),$A$2:$B$1416,2,0),"")</f>
        <v>Charnwood</v>
      </c>
    </row>
    <row r="52" spans="1:4" x14ac:dyDescent="0.35">
      <c r="A52">
        <f>IF(ISNUMBER(SEARCH('PRP LA trend tool 2015-23'!$F$3,B52)),MAX($A$1:A51)+1,0)</f>
        <v>51</v>
      </c>
      <c r="B52" t="s">
        <v>185</v>
      </c>
      <c r="D52" t="str">
        <f>IFERROR(VLOOKUP(ROWS($D$2:D52),$A$2:$B$1416,2,0),"")</f>
        <v>Chelmsford</v>
      </c>
    </row>
    <row r="53" spans="1:4" x14ac:dyDescent="0.35">
      <c r="A53">
        <f>IF(ISNUMBER(SEARCH('PRP LA trend tool 2015-23'!$F$3,B53)),MAX($A$1:A52)+1,0)</f>
        <v>52</v>
      </c>
      <c r="B53" t="s">
        <v>187</v>
      </c>
      <c r="D53" t="str">
        <f>IFERROR(VLOOKUP(ROWS($D$2:D53),$A$2:$B$1416,2,0),"")</f>
        <v>Cheltenham</v>
      </c>
    </row>
    <row r="54" spans="1:4" x14ac:dyDescent="0.35">
      <c r="A54">
        <f>IF(ISNUMBER(SEARCH('PRP LA trend tool 2015-23'!$F$3,B54)),MAX($A$1:A53)+1,0)</f>
        <v>53</v>
      </c>
      <c r="B54" t="s">
        <v>189</v>
      </c>
      <c r="D54" t="str">
        <f>IFERROR(VLOOKUP(ROWS($D$2:D54),$A$2:$B$1416,2,0),"")</f>
        <v>Cherwell</v>
      </c>
    </row>
    <row r="55" spans="1:4" x14ac:dyDescent="0.35">
      <c r="A55">
        <f>IF(ISNUMBER(SEARCH('PRP LA trend tool 2015-23'!$F$3,B55)),MAX($A$1:A54)+1,0)</f>
        <v>54</v>
      </c>
      <c r="B55" t="s">
        <v>191</v>
      </c>
      <c r="D55" t="str">
        <f>IFERROR(VLOOKUP(ROWS($D$2:D55),$A$2:$B$1416,2,0),"")</f>
        <v>Cheshire East</v>
      </c>
    </row>
    <row r="56" spans="1:4" x14ac:dyDescent="0.35">
      <c r="A56">
        <f>IF(ISNUMBER(SEARCH('PRP LA trend tool 2015-23'!$F$3,B56)),MAX($A$1:A55)+1,0)</f>
        <v>55</v>
      </c>
      <c r="B56" t="s">
        <v>193</v>
      </c>
      <c r="D56" t="str">
        <f>IFERROR(VLOOKUP(ROWS($D$2:D56),$A$2:$B$1416,2,0),"")</f>
        <v>Cheshire West and Chester</v>
      </c>
    </row>
    <row r="57" spans="1:4" x14ac:dyDescent="0.35">
      <c r="A57">
        <f>IF(ISNUMBER(SEARCH('PRP LA trend tool 2015-23'!$F$3,B57)),MAX($A$1:A56)+1,0)</f>
        <v>56</v>
      </c>
      <c r="B57" t="s">
        <v>195</v>
      </c>
      <c r="D57" t="str">
        <f>IFERROR(VLOOKUP(ROWS($D$2:D57),$A$2:$B$1416,2,0),"")</f>
        <v>Chesterfield</v>
      </c>
    </row>
    <row r="58" spans="1:4" x14ac:dyDescent="0.35">
      <c r="A58">
        <f>IF(ISNUMBER(SEARCH('PRP LA trend tool 2015-23'!$F$3,B58)),MAX($A$1:A57)+1,0)</f>
        <v>57</v>
      </c>
      <c r="B58" t="s">
        <v>197</v>
      </c>
      <c r="D58" t="str">
        <f>IFERROR(VLOOKUP(ROWS($D$2:D58),$A$2:$B$1416,2,0),"")</f>
        <v>Chichester</v>
      </c>
    </row>
    <row r="59" spans="1:4" x14ac:dyDescent="0.35">
      <c r="A59">
        <f>IF(ISNUMBER(SEARCH('PRP LA trend tool 2015-23'!$F$3,B59)),MAX($A$1:A58)+1,0)</f>
        <v>58</v>
      </c>
      <c r="B59" t="s">
        <v>199</v>
      </c>
      <c r="D59" t="str">
        <f>IFERROR(VLOOKUP(ROWS($D$2:D59),$A$2:$B$1416,2,0),"")</f>
        <v>Chorley</v>
      </c>
    </row>
    <row r="60" spans="1:4" x14ac:dyDescent="0.35">
      <c r="A60">
        <f>IF(ISNUMBER(SEARCH('PRP LA trend tool 2015-23'!$F$3,B60)),MAX($A$1:A59)+1,0)</f>
        <v>59</v>
      </c>
      <c r="B60" t="s">
        <v>201</v>
      </c>
      <c r="D60" t="str">
        <f>IFERROR(VLOOKUP(ROWS($D$2:D60),$A$2:$B$1416,2,0),"")</f>
        <v>City of London</v>
      </c>
    </row>
    <row r="61" spans="1:4" x14ac:dyDescent="0.35">
      <c r="A61">
        <f>IF(ISNUMBER(SEARCH('PRP LA trend tool 2015-23'!$F$3,B61)),MAX($A$1:A60)+1,0)</f>
        <v>60</v>
      </c>
      <c r="B61" t="s">
        <v>203</v>
      </c>
      <c r="D61" t="str">
        <f>IFERROR(VLOOKUP(ROWS($D$2:D61),$A$2:$B$1416,2,0),"")</f>
        <v>Colchester</v>
      </c>
    </row>
    <row r="62" spans="1:4" x14ac:dyDescent="0.35">
      <c r="A62">
        <f>IF(ISNUMBER(SEARCH('PRP LA trend tool 2015-23'!$F$3,B62)),MAX($A$1:A61)+1,0)</f>
        <v>61</v>
      </c>
      <c r="B62" t="s">
        <v>205</v>
      </c>
      <c r="D62" t="str">
        <f>IFERROR(VLOOKUP(ROWS($D$2:D62),$A$2:$B$1416,2,0),"")</f>
        <v>Copeland</v>
      </c>
    </row>
    <row r="63" spans="1:4" x14ac:dyDescent="0.35">
      <c r="A63">
        <f>IF(ISNUMBER(SEARCH('PRP LA trend tool 2015-23'!$F$3,B63)),MAX($A$1:A62)+1,0)</f>
        <v>62</v>
      </c>
      <c r="B63" t="s">
        <v>207</v>
      </c>
      <c r="D63" t="str">
        <f>IFERROR(VLOOKUP(ROWS($D$2:D63),$A$2:$B$1416,2,0),"")</f>
        <v>Cornwall</v>
      </c>
    </row>
    <row r="64" spans="1:4" x14ac:dyDescent="0.35">
      <c r="A64">
        <f>IF(ISNUMBER(SEARCH('PRP LA trend tool 2015-23'!$F$3,B64)),MAX($A$1:A63)+1,0)</f>
        <v>63</v>
      </c>
      <c r="B64" t="s">
        <v>209</v>
      </c>
      <c r="D64" t="str">
        <f>IFERROR(VLOOKUP(ROWS($D$2:D64),$A$2:$B$1416,2,0),"")</f>
        <v>Cotswold</v>
      </c>
    </row>
    <row r="65" spans="1:4" x14ac:dyDescent="0.35">
      <c r="A65">
        <f>IF(ISNUMBER(SEARCH('PRP LA trend tool 2015-23'!$F$3,B65)),MAX($A$1:A64)+1,0)</f>
        <v>64</v>
      </c>
      <c r="B65" t="s">
        <v>211</v>
      </c>
      <c r="D65" t="str">
        <f>IFERROR(VLOOKUP(ROWS($D$2:D65),$A$2:$B$1416,2,0),"")</f>
        <v>County Durham</v>
      </c>
    </row>
    <row r="66" spans="1:4" x14ac:dyDescent="0.35">
      <c r="A66">
        <f>IF(ISNUMBER(SEARCH('PRP LA trend tool 2015-23'!$F$3,B66)),MAX($A$1:A65)+1,0)</f>
        <v>65</v>
      </c>
      <c r="B66" t="s">
        <v>213</v>
      </c>
      <c r="D66" t="str">
        <f>IFERROR(VLOOKUP(ROWS($D$2:D66),$A$2:$B$1416,2,0),"")</f>
        <v>Coventry</v>
      </c>
    </row>
    <row r="67" spans="1:4" x14ac:dyDescent="0.35">
      <c r="A67">
        <f>IF(ISNUMBER(SEARCH('PRP LA trend tool 2015-23'!$F$3,B67)),MAX($A$1:A66)+1,0)</f>
        <v>66</v>
      </c>
      <c r="B67" t="s">
        <v>215</v>
      </c>
      <c r="D67" t="str">
        <f>IFERROR(VLOOKUP(ROWS($D$2:D67),$A$2:$B$1416,2,0),"")</f>
        <v>Craven</v>
      </c>
    </row>
    <row r="68" spans="1:4" x14ac:dyDescent="0.35">
      <c r="A68">
        <f>IF(ISNUMBER(SEARCH('PRP LA trend tool 2015-23'!$F$3,B68)),MAX($A$1:A67)+1,0)</f>
        <v>67</v>
      </c>
      <c r="B68" t="s">
        <v>217</v>
      </c>
      <c r="D68" t="str">
        <f>IFERROR(VLOOKUP(ROWS($D$2:D68),$A$2:$B$1416,2,0),"")</f>
        <v>Crawley</v>
      </c>
    </row>
    <row r="69" spans="1:4" x14ac:dyDescent="0.35">
      <c r="A69">
        <f>IF(ISNUMBER(SEARCH('PRP LA trend tool 2015-23'!$F$3,B69)),MAX($A$1:A68)+1,0)</f>
        <v>68</v>
      </c>
      <c r="B69" t="s">
        <v>219</v>
      </c>
      <c r="D69" t="str">
        <f>IFERROR(VLOOKUP(ROWS($D$2:D69),$A$2:$B$1416,2,0),"")</f>
        <v>Croydon</v>
      </c>
    </row>
    <row r="70" spans="1:4" x14ac:dyDescent="0.35">
      <c r="A70">
        <f>IF(ISNUMBER(SEARCH('PRP LA trend tool 2015-23'!$F$3,B70)),MAX($A$1:A69)+1,0)</f>
        <v>69</v>
      </c>
      <c r="B70" t="s">
        <v>221</v>
      </c>
      <c r="D70" t="str">
        <f>IFERROR(VLOOKUP(ROWS($D$2:D70),$A$2:$B$1416,2,0),"")</f>
        <v>Dacorum</v>
      </c>
    </row>
    <row r="71" spans="1:4" x14ac:dyDescent="0.35">
      <c r="A71">
        <f>IF(ISNUMBER(SEARCH('PRP LA trend tool 2015-23'!$F$3,B71)),MAX($A$1:A70)+1,0)</f>
        <v>70</v>
      </c>
      <c r="B71" t="s">
        <v>223</v>
      </c>
      <c r="D71" t="str">
        <f>IFERROR(VLOOKUP(ROWS($D$2:D71),$A$2:$B$1416,2,0),"")</f>
        <v>Darlington</v>
      </c>
    </row>
    <row r="72" spans="1:4" x14ac:dyDescent="0.35">
      <c r="A72">
        <f>IF(ISNUMBER(SEARCH('PRP LA trend tool 2015-23'!$F$3,B72)),MAX($A$1:A71)+1,0)</f>
        <v>71</v>
      </c>
      <c r="B72" t="s">
        <v>225</v>
      </c>
      <c r="D72" t="str">
        <f>IFERROR(VLOOKUP(ROWS($D$2:D72),$A$2:$B$1416,2,0),"")</f>
        <v>Dartford</v>
      </c>
    </row>
    <row r="73" spans="1:4" x14ac:dyDescent="0.35">
      <c r="A73">
        <f>IF(ISNUMBER(SEARCH('PRP LA trend tool 2015-23'!$F$3,B73)),MAX($A$1:A72)+1,0)</f>
        <v>72</v>
      </c>
      <c r="B73" t="s">
        <v>227</v>
      </c>
      <c r="D73" t="str">
        <f>IFERROR(VLOOKUP(ROWS($D$2:D73),$A$2:$B$1416,2,0),"")</f>
        <v>Derby</v>
      </c>
    </row>
    <row r="74" spans="1:4" x14ac:dyDescent="0.35">
      <c r="A74">
        <f>IF(ISNUMBER(SEARCH('PRP LA trend tool 2015-23'!$F$3,B74)),MAX($A$1:A73)+1,0)</f>
        <v>73</v>
      </c>
      <c r="B74" t="s">
        <v>229</v>
      </c>
      <c r="D74" t="str">
        <f>IFERROR(VLOOKUP(ROWS($D$2:D74),$A$2:$B$1416,2,0),"")</f>
        <v>Derbyshire Dales</v>
      </c>
    </row>
    <row r="75" spans="1:4" x14ac:dyDescent="0.35">
      <c r="A75">
        <f>IF(ISNUMBER(SEARCH('PRP LA trend tool 2015-23'!$F$3,B75)),MAX($A$1:A74)+1,0)</f>
        <v>74</v>
      </c>
      <c r="B75" t="s">
        <v>231</v>
      </c>
      <c r="D75" t="str">
        <f>IFERROR(VLOOKUP(ROWS($D$2:D75),$A$2:$B$1416,2,0),"")</f>
        <v>Doncaster</v>
      </c>
    </row>
    <row r="76" spans="1:4" x14ac:dyDescent="0.35">
      <c r="A76">
        <f>IF(ISNUMBER(SEARCH('PRP LA trend tool 2015-23'!$F$3,B76)),MAX($A$1:A75)+1,0)</f>
        <v>75</v>
      </c>
      <c r="B76" t="s">
        <v>233</v>
      </c>
      <c r="D76" t="str">
        <f>IFERROR(VLOOKUP(ROWS($D$2:D76),$A$2:$B$1416,2,0),"")</f>
        <v>Dorset</v>
      </c>
    </row>
    <row r="77" spans="1:4" x14ac:dyDescent="0.35">
      <c r="A77">
        <f>IF(ISNUMBER(SEARCH('PRP LA trend tool 2015-23'!$F$3,B77)),MAX($A$1:A76)+1,0)</f>
        <v>76</v>
      </c>
      <c r="B77" t="s">
        <v>235</v>
      </c>
      <c r="D77" t="str">
        <f>IFERROR(VLOOKUP(ROWS($D$2:D77),$A$2:$B$1416,2,0),"")</f>
        <v>Dover</v>
      </c>
    </row>
    <row r="78" spans="1:4" x14ac:dyDescent="0.35">
      <c r="A78">
        <f>IF(ISNUMBER(SEARCH('PRP LA trend tool 2015-23'!$F$3,B78)),MAX($A$1:A77)+1,0)</f>
        <v>77</v>
      </c>
      <c r="B78" t="s">
        <v>237</v>
      </c>
      <c r="D78" t="str">
        <f>IFERROR(VLOOKUP(ROWS($D$2:D78),$A$2:$B$1416,2,0),"")</f>
        <v>Dudley</v>
      </c>
    </row>
    <row r="79" spans="1:4" x14ac:dyDescent="0.35">
      <c r="A79">
        <f>IF(ISNUMBER(SEARCH('PRP LA trend tool 2015-23'!$F$3,B79)),MAX($A$1:A78)+1,0)</f>
        <v>78</v>
      </c>
      <c r="B79" t="s">
        <v>239</v>
      </c>
      <c r="D79" t="str">
        <f>IFERROR(VLOOKUP(ROWS($D$2:D79),$A$2:$B$1416,2,0),"")</f>
        <v>Ealing</v>
      </c>
    </row>
    <row r="80" spans="1:4" x14ac:dyDescent="0.35">
      <c r="A80">
        <f>IF(ISNUMBER(SEARCH('PRP LA trend tool 2015-23'!$F$3,B80)),MAX($A$1:A79)+1,0)</f>
        <v>79</v>
      </c>
      <c r="B80" t="s">
        <v>241</v>
      </c>
      <c r="D80" t="str">
        <f>IFERROR(VLOOKUP(ROWS($D$2:D80),$A$2:$B$1416,2,0),"")</f>
        <v>East Cambridgeshire</v>
      </c>
    </row>
    <row r="81" spans="1:4" x14ac:dyDescent="0.35">
      <c r="A81">
        <f>IF(ISNUMBER(SEARCH('PRP LA trend tool 2015-23'!$F$3,B81)),MAX($A$1:A80)+1,0)</f>
        <v>80</v>
      </c>
      <c r="B81" t="s">
        <v>243</v>
      </c>
      <c r="D81" t="str">
        <f>IFERROR(VLOOKUP(ROWS($D$2:D81),$A$2:$B$1416,2,0),"")</f>
        <v>East Devon</v>
      </c>
    </row>
    <row r="82" spans="1:4" x14ac:dyDescent="0.35">
      <c r="A82">
        <f>IF(ISNUMBER(SEARCH('PRP LA trend tool 2015-23'!$F$3,B82)),MAX($A$1:A81)+1,0)</f>
        <v>81</v>
      </c>
      <c r="B82" t="s">
        <v>245</v>
      </c>
      <c r="D82" t="str">
        <f>IFERROR(VLOOKUP(ROWS($D$2:D82),$A$2:$B$1416,2,0),"")</f>
        <v>East Hampshire</v>
      </c>
    </row>
    <row r="83" spans="1:4" x14ac:dyDescent="0.35">
      <c r="A83">
        <f>IF(ISNUMBER(SEARCH('PRP LA trend tool 2015-23'!$F$3,B83)),MAX($A$1:A82)+1,0)</f>
        <v>82</v>
      </c>
      <c r="B83" t="s">
        <v>247</v>
      </c>
      <c r="D83" t="str">
        <f>IFERROR(VLOOKUP(ROWS($D$2:D83),$A$2:$B$1416,2,0),"")</f>
        <v>East Hertfordshire</v>
      </c>
    </row>
    <row r="84" spans="1:4" x14ac:dyDescent="0.35">
      <c r="A84">
        <f>IF(ISNUMBER(SEARCH('PRP LA trend tool 2015-23'!$F$3,B84)),MAX($A$1:A83)+1,0)</f>
        <v>83</v>
      </c>
      <c r="B84" t="s">
        <v>249</v>
      </c>
      <c r="D84" t="str">
        <f>IFERROR(VLOOKUP(ROWS($D$2:D84),$A$2:$B$1416,2,0),"")</f>
        <v>East Lindsey</v>
      </c>
    </row>
    <row r="85" spans="1:4" x14ac:dyDescent="0.35">
      <c r="A85">
        <f>IF(ISNUMBER(SEARCH('PRP LA trend tool 2015-23'!$F$3,B85)),MAX($A$1:A84)+1,0)</f>
        <v>84</v>
      </c>
      <c r="B85" t="s">
        <v>251</v>
      </c>
      <c r="D85" t="str">
        <f>IFERROR(VLOOKUP(ROWS($D$2:D85),$A$2:$B$1416,2,0),"")</f>
        <v>East Riding of Yorkshire</v>
      </c>
    </row>
    <row r="86" spans="1:4" x14ac:dyDescent="0.35">
      <c r="A86">
        <f>IF(ISNUMBER(SEARCH('PRP LA trend tool 2015-23'!$F$3,B86)),MAX($A$1:A85)+1,0)</f>
        <v>85</v>
      </c>
      <c r="B86" t="s">
        <v>253</v>
      </c>
      <c r="D86" t="str">
        <f>IFERROR(VLOOKUP(ROWS($D$2:D86),$A$2:$B$1416,2,0),"")</f>
        <v>East Staffordshire</v>
      </c>
    </row>
    <row r="87" spans="1:4" x14ac:dyDescent="0.35">
      <c r="A87">
        <f>IF(ISNUMBER(SEARCH('PRP LA trend tool 2015-23'!$F$3,B87)),MAX($A$1:A86)+1,0)</f>
        <v>86</v>
      </c>
      <c r="B87" t="s">
        <v>255</v>
      </c>
      <c r="D87" t="str">
        <f>IFERROR(VLOOKUP(ROWS($D$2:D87),$A$2:$B$1416,2,0),"")</f>
        <v>East Suffolk</v>
      </c>
    </row>
    <row r="88" spans="1:4" x14ac:dyDescent="0.35">
      <c r="A88">
        <f>IF(ISNUMBER(SEARCH('PRP LA trend tool 2015-23'!$F$3,B88)),MAX($A$1:A87)+1,0)</f>
        <v>87</v>
      </c>
      <c r="B88" t="s">
        <v>257</v>
      </c>
      <c r="D88" t="str">
        <f>IFERROR(VLOOKUP(ROWS($D$2:D88),$A$2:$B$1416,2,0),"")</f>
        <v>Eastbourne</v>
      </c>
    </row>
    <row r="89" spans="1:4" x14ac:dyDescent="0.35">
      <c r="A89">
        <f>IF(ISNUMBER(SEARCH('PRP LA trend tool 2015-23'!$F$3,B89)),MAX($A$1:A88)+1,0)</f>
        <v>88</v>
      </c>
      <c r="B89" t="s">
        <v>259</v>
      </c>
      <c r="D89" t="str">
        <f>IFERROR(VLOOKUP(ROWS($D$2:D89),$A$2:$B$1416,2,0),"")</f>
        <v>Eastleigh</v>
      </c>
    </row>
    <row r="90" spans="1:4" x14ac:dyDescent="0.35">
      <c r="A90">
        <f>IF(ISNUMBER(SEARCH('PRP LA trend tool 2015-23'!$F$3,B90)),MAX($A$1:A89)+1,0)</f>
        <v>89</v>
      </c>
      <c r="B90" t="s">
        <v>261</v>
      </c>
      <c r="D90" t="str">
        <f>IFERROR(VLOOKUP(ROWS($D$2:D90),$A$2:$B$1416,2,0),"")</f>
        <v>Eden</v>
      </c>
    </row>
    <row r="91" spans="1:4" x14ac:dyDescent="0.35">
      <c r="A91">
        <f>IF(ISNUMBER(SEARCH('PRP LA trend tool 2015-23'!$F$3,B91)),MAX($A$1:A90)+1,0)</f>
        <v>90</v>
      </c>
      <c r="B91" t="s">
        <v>263</v>
      </c>
      <c r="D91" t="str">
        <f>IFERROR(VLOOKUP(ROWS($D$2:D91),$A$2:$B$1416,2,0),"")</f>
        <v>Elmbridge</v>
      </c>
    </row>
    <row r="92" spans="1:4" x14ac:dyDescent="0.35">
      <c r="A92">
        <f>IF(ISNUMBER(SEARCH('PRP LA trend tool 2015-23'!$F$3,B92)),MAX($A$1:A91)+1,0)</f>
        <v>91</v>
      </c>
      <c r="B92" t="s">
        <v>265</v>
      </c>
      <c r="D92" t="str">
        <f>IFERROR(VLOOKUP(ROWS($D$2:D92),$A$2:$B$1416,2,0),"")</f>
        <v>Enfield</v>
      </c>
    </row>
    <row r="93" spans="1:4" x14ac:dyDescent="0.35">
      <c r="A93">
        <f>IF(ISNUMBER(SEARCH('PRP LA trend tool 2015-23'!$F$3,B93)),MAX($A$1:A92)+1,0)</f>
        <v>92</v>
      </c>
      <c r="B93" t="s">
        <v>267</v>
      </c>
      <c r="D93" t="str">
        <f>IFERROR(VLOOKUP(ROWS($D$2:D93),$A$2:$B$1416,2,0),"")</f>
        <v>Epping Forest</v>
      </c>
    </row>
    <row r="94" spans="1:4" x14ac:dyDescent="0.35">
      <c r="A94">
        <f>IF(ISNUMBER(SEARCH('PRP LA trend tool 2015-23'!$F$3,B94)),MAX($A$1:A93)+1,0)</f>
        <v>93</v>
      </c>
      <c r="B94" t="s">
        <v>269</v>
      </c>
      <c r="D94" t="str">
        <f>IFERROR(VLOOKUP(ROWS($D$2:D94),$A$2:$B$1416,2,0),"")</f>
        <v>Epsom and Ewell</v>
      </c>
    </row>
    <row r="95" spans="1:4" x14ac:dyDescent="0.35">
      <c r="A95">
        <f>IF(ISNUMBER(SEARCH('PRP LA trend tool 2015-23'!$F$3,B95)),MAX($A$1:A94)+1,0)</f>
        <v>94</v>
      </c>
      <c r="B95" t="s">
        <v>271</v>
      </c>
      <c r="D95" t="str">
        <f>IFERROR(VLOOKUP(ROWS($D$2:D95),$A$2:$B$1416,2,0),"")</f>
        <v>Erewash</v>
      </c>
    </row>
    <row r="96" spans="1:4" x14ac:dyDescent="0.35">
      <c r="A96">
        <f>IF(ISNUMBER(SEARCH('PRP LA trend tool 2015-23'!$F$3,B96)),MAX($A$1:A95)+1,0)</f>
        <v>95</v>
      </c>
      <c r="B96" t="s">
        <v>273</v>
      </c>
      <c r="D96" t="str">
        <f>IFERROR(VLOOKUP(ROWS($D$2:D96),$A$2:$B$1416,2,0),"")</f>
        <v>Exeter</v>
      </c>
    </row>
    <row r="97" spans="1:4" x14ac:dyDescent="0.35">
      <c r="A97">
        <f>IF(ISNUMBER(SEARCH('PRP LA trend tool 2015-23'!$F$3,B97)),MAX($A$1:A96)+1,0)</f>
        <v>96</v>
      </c>
      <c r="B97" t="s">
        <v>275</v>
      </c>
      <c r="D97" t="str">
        <f>IFERROR(VLOOKUP(ROWS($D$2:D97),$A$2:$B$1416,2,0),"")</f>
        <v>Fareham</v>
      </c>
    </row>
    <row r="98" spans="1:4" x14ac:dyDescent="0.35">
      <c r="A98">
        <f>IF(ISNUMBER(SEARCH('PRP LA trend tool 2015-23'!$F$3,B98)),MAX($A$1:A97)+1,0)</f>
        <v>97</v>
      </c>
      <c r="B98" t="s">
        <v>277</v>
      </c>
      <c r="D98" t="str">
        <f>IFERROR(VLOOKUP(ROWS($D$2:D98),$A$2:$B$1416,2,0),"")</f>
        <v>Fenland</v>
      </c>
    </row>
    <row r="99" spans="1:4" x14ac:dyDescent="0.35">
      <c r="A99">
        <f>IF(ISNUMBER(SEARCH('PRP LA trend tool 2015-23'!$F$3,B99)),MAX($A$1:A98)+1,0)</f>
        <v>98</v>
      </c>
      <c r="B99" t="s">
        <v>279</v>
      </c>
      <c r="D99" t="str">
        <f>IFERROR(VLOOKUP(ROWS($D$2:D99),$A$2:$B$1416,2,0),"")</f>
        <v>Folkestone and Hythe</v>
      </c>
    </row>
    <row r="100" spans="1:4" x14ac:dyDescent="0.35">
      <c r="A100">
        <f>IF(ISNUMBER(SEARCH('PRP LA trend tool 2015-23'!$F$3,B100)),MAX($A$1:A99)+1,0)</f>
        <v>99</v>
      </c>
      <c r="B100" t="s">
        <v>281</v>
      </c>
      <c r="D100" t="str">
        <f>IFERROR(VLOOKUP(ROWS($D$2:D100),$A$2:$B$1416,2,0),"")</f>
        <v>Forest of Dean</v>
      </c>
    </row>
    <row r="101" spans="1:4" x14ac:dyDescent="0.35">
      <c r="A101">
        <f>IF(ISNUMBER(SEARCH('PRP LA trend tool 2015-23'!$F$3,B101)),MAX($A$1:A100)+1,0)</f>
        <v>100</v>
      </c>
      <c r="B101" t="s">
        <v>283</v>
      </c>
      <c r="D101" t="str">
        <f>IFERROR(VLOOKUP(ROWS($D$2:D101),$A$2:$B$1416,2,0),"")</f>
        <v>Fylde</v>
      </c>
    </row>
    <row r="102" spans="1:4" x14ac:dyDescent="0.35">
      <c r="A102">
        <f>IF(ISNUMBER(SEARCH('PRP LA trend tool 2015-23'!$F$3,B102)),MAX($A$1:A101)+1,0)</f>
        <v>101</v>
      </c>
      <c r="B102" t="s">
        <v>285</v>
      </c>
      <c r="D102" t="str">
        <f>IFERROR(VLOOKUP(ROWS($D$2:D102),$A$2:$B$1416,2,0),"")</f>
        <v>Gateshead</v>
      </c>
    </row>
    <row r="103" spans="1:4" x14ac:dyDescent="0.35">
      <c r="A103">
        <f>IF(ISNUMBER(SEARCH('PRP LA trend tool 2015-23'!$F$3,B103)),MAX($A$1:A102)+1,0)</f>
        <v>102</v>
      </c>
      <c r="B103" t="s">
        <v>287</v>
      </c>
      <c r="D103" t="str">
        <f>IFERROR(VLOOKUP(ROWS($D$2:D103),$A$2:$B$1416,2,0),"")</f>
        <v>Gedling</v>
      </c>
    </row>
    <row r="104" spans="1:4" x14ac:dyDescent="0.35">
      <c r="A104">
        <f>IF(ISNUMBER(SEARCH('PRP LA trend tool 2015-23'!$F$3,B104)),MAX($A$1:A103)+1,0)</f>
        <v>103</v>
      </c>
      <c r="B104" t="s">
        <v>289</v>
      </c>
      <c r="D104" t="str">
        <f>IFERROR(VLOOKUP(ROWS($D$2:D104),$A$2:$B$1416,2,0),"")</f>
        <v>Gloucester</v>
      </c>
    </row>
    <row r="105" spans="1:4" x14ac:dyDescent="0.35">
      <c r="A105">
        <f>IF(ISNUMBER(SEARCH('PRP LA trend tool 2015-23'!$F$3,B105)),MAX($A$1:A104)+1,0)</f>
        <v>104</v>
      </c>
      <c r="B105" t="s">
        <v>291</v>
      </c>
      <c r="D105" t="str">
        <f>IFERROR(VLOOKUP(ROWS($D$2:D105),$A$2:$B$1416,2,0),"")</f>
        <v>Gosport</v>
      </c>
    </row>
    <row r="106" spans="1:4" x14ac:dyDescent="0.35">
      <c r="A106">
        <f>IF(ISNUMBER(SEARCH('PRP LA trend tool 2015-23'!$F$3,B106)),MAX($A$1:A105)+1,0)</f>
        <v>105</v>
      </c>
      <c r="B106" t="s">
        <v>293</v>
      </c>
      <c r="D106" t="str">
        <f>IFERROR(VLOOKUP(ROWS($D$2:D106),$A$2:$B$1416,2,0),"")</f>
        <v>Gravesham</v>
      </c>
    </row>
    <row r="107" spans="1:4" x14ac:dyDescent="0.35">
      <c r="A107">
        <f>IF(ISNUMBER(SEARCH('PRP LA trend tool 2015-23'!$F$3,B107)),MAX($A$1:A106)+1,0)</f>
        <v>106</v>
      </c>
      <c r="B107" t="s">
        <v>295</v>
      </c>
      <c r="D107" t="str">
        <f>IFERROR(VLOOKUP(ROWS($D$2:D107),$A$2:$B$1416,2,0),"")</f>
        <v>Great Yarmouth</v>
      </c>
    </row>
    <row r="108" spans="1:4" x14ac:dyDescent="0.35">
      <c r="A108">
        <f>IF(ISNUMBER(SEARCH('PRP LA trend tool 2015-23'!$F$3,B108)),MAX($A$1:A107)+1,0)</f>
        <v>107</v>
      </c>
      <c r="B108" t="s">
        <v>297</v>
      </c>
      <c r="D108" t="str">
        <f>IFERROR(VLOOKUP(ROWS($D$2:D108),$A$2:$B$1416,2,0),"")</f>
        <v>Greenwich</v>
      </c>
    </row>
    <row r="109" spans="1:4" x14ac:dyDescent="0.35">
      <c r="A109">
        <f>IF(ISNUMBER(SEARCH('PRP LA trend tool 2015-23'!$F$3,B109)),MAX($A$1:A108)+1,0)</f>
        <v>108</v>
      </c>
      <c r="B109" t="s">
        <v>299</v>
      </c>
      <c r="D109" t="str">
        <f>IFERROR(VLOOKUP(ROWS($D$2:D109),$A$2:$B$1416,2,0),"")</f>
        <v>Guildford</v>
      </c>
    </row>
    <row r="110" spans="1:4" x14ac:dyDescent="0.35">
      <c r="A110">
        <f>IF(ISNUMBER(SEARCH('PRP LA trend tool 2015-23'!$F$3,B110)),MAX($A$1:A109)+1,0)</f>
        <v>109</v>
      </c>
      <c r="B110" t="s">
        <v>301</v>
      </c>
      <c r="D110" t="str">
        <f>IFERROR(VLOOKUP(ROWS($D$2:D110),$A$2:$B$1416,2,0),"")</f>
        <v>Hackney</v>
      </c>
    </row>
    <row r="111" spans="1:4" x14ac:dyDescent="0.35">
      <c r="A111">
        <f>IF(ISNUMBER(SEARCH('PRP LA trend tool 2015-23'!$F$3,B111)),MAX($A$1:A110)+1,0)</f>
        <v>110</v>
      </c>
      <c r="B111" t="s">
        <v>303</v>
      </c>
      <c r="D111" t="str">
        <f>IFERROR(VLOOKUP(ROWS($D$2:D111),$A$2:$B$1416,2,0),"")</f>
        <v>Halton</v>
      </c>
    </row>
    <row r="112" spans="1:4" x14ac:dyDescent="0.35">
      <c r="A112">
        <f>IF(ISNUMBER(SEARCH('PRP LA trend tool 2015-23'!$F$3,B112)),MAX($A$1:A111)+1,0)</f>
        <v>111</v>
      </c>
      <c r="B112" t="s">
        <v>305</v>
      </c>
      <c r="D112" t="str">
        <f>IFERROR(VLOOKUP(ROWS($D$2:D112),$A$2:$B$1416,2,0),"")</f>
        <v>Hambleton</v>
      </c>
    </row>
    <row r="113" spans="1:4" x14ac:dyDescent="0.35">
      <c r="A113">
        <f>IF(ISNUMBER(SEARCH('PRP LA trend tool 2015-23'!$F$3,B113)),MAX($A$1:A112)+1,0)</f>
        <v>112</v>
      </c>
      <c r="B113" t="s">
        <v>307</v>
      </c>
      <c r="D113" t="str">
        <f>IFERROR(VLOOKUP(ROWS($D$2:D113),$A$2:$B$1416,2,0),"")</f>
        <v>Hammersmith and Fulham</v>
      </c>
    </row>
    <row r="114" spans="1:4" x14ac:dyDescent="0.35">
      <c r="A114">
        <f>IF(ISNUMBER(SEARCH('PRP LA trend tool 2015-23'!$F$3,B114)),MAX($A$1:A113)+1,0)</f>
        <v>113</v>
      </c>
      <c r="B114" t="s">
        <v>309</v>
      </c>
      <c r="D114" t="str">
        <f>IFERROR(VLOOKUP(ROWS($D$2:D114),$A$2:$B$1416,2,0),"")</f>
        <v>Harborough</v>
      </c>
    </row>
    <row r="115" spans="1:4" x14ac:dyDescent="0.35">
      <c r="A115">
        <f>IF(ISNUMBER(SEARCH('PRP LA trend tool 2015-23'!$F$3,B115)),MAX($A$1:A114)+1,0)</f>
        <v>114</v>
      </c>
      <c r="B115" t="s">
        <v>311</v>
      </c>
      <c r="D115" t="str">
        <f>IFERROR(VLOOKUP(ROWS($D$2:D115),$A$2:$B$1416,2,0),"")</f>
        <v>Haringey</v>
      </c>
    </row>
    <row r="116" spans="1:4" x14ac:dyDescent="0.35">
      <c r="A116">
        <f>IF(ISNUMBER(SEARCH('PRP LA trend tool 2015-23'!$F$3,B116)),MAX($A$1:A115)+1,0)</f>
        <v>115</v>
      </c>
      <c r="B116" t="s">
        <v>313</v>
      </c>
      <c r="D116" t="str">
        <f>IFERROR(VLOOKUP(ROWS($D$2:D116),$A$2:$B$1416,2,0),"")</f>
        <v>Harlow</v>
      </c>
    </row>
    <row r="117" spans="1:4" x14ac:dyDescent="0.35">
      <c r="A117">
        <f>IF(ISNUMBER(SEARCH('PRP LA trend tool 2015-23'!$F$3,B117)),MAX($A$1:A116)+1,0)</f>
        <v>116</v>
      </c>
      <c r="B117" t="s">
        <v>315</v>
      </c>
      <c r="D117" t="str">
        <f>IFERROR(VLOOKUP(ROWS($D$2:D117),$A$2:$B$1416,2,0),"")</f>
        <v>Harrogate</v>
      </c>
    </row>
    <row r="118" spans="1:4" x14ac:dyDescent="0.35">
      <c r="A118">
        <f>IF(ISNUMBER(SEARCH('PRP LA trend tool 2015-23'!$F$3,B118)),MAX($A$1:A117)+1,0)</f>
        <v>117</v>
      </c>
      <c r="B118" t="s">
        <v>317</v>
      </c>
      <c r="D118" t="str">
        <f>IFERROR(VLOOKUP(ROWS($D$2:D118),$A$2:$B$1416,2,0),"")</f>
        <v>Harrow</v>
      </c>
    </row>
    <row r="119" spans="1:4" x14ac:dyDescent="0.35">
      <c r="A119">
        <f>IF(ISNUMBER(SEARCH('PRP LA trend tool 2015-23'!$F$3,B119)),MAX($A$1:A118)+1,0)</f>
        <v>118</v>
      </c>
      <c r="B119" t="s">
        <v>319</v>
      </c>
      <c r="D119" t="str">
        <f>IFERROR(VLOOKUP(ROWS($D$2:D119),$A$2:$B$1416,2,0),"")</f>
        <v>Hart</v>
      </c>
    </row>
    <row r="120" spans="1:4" x14ac:dyDescent="0.35">
      <c r="A120">
        <f>IF(ISNUMBER(SEARCH('PRP LA trend tool 2015-23'!$F$3,B120)),MAX($A$1:A119)+1,0)</f>
        <v>119</v>
      </c>
      <c r="B120" t="s">
        <v>321</v>
      </c>
      <c r="D120" t="str">
        <f>IFERROR(VLOOKUP(ROWS($D$2:D120),$A$2:$B$1416,2,0),"")</f>
        <v>Hartlepool</v>
      </c>
    </row>
    <row r="121" spans="1:4" x14ac:dyDescent="0.35">
      <c r="A121">
        <f>IF(ISNUMBER(SEARCH('PRP LA trend tool 2015-23'!$F$3,B121)),MAX($A$1:A120)+1,0)</f>
        <v>120</v>
      </c>
      <c r="B121" t="s">
        <v>323</v>
      </c>
      <c r="D121" t="str">
        <f>IFERROR(VLOOKUP(ROWS($D$2:D121),$A$2:$B$1416,2,0),"")</f>
        <v>Hastings</v>
      </c>
    </row>
    <row r="122" spans="1:4" x14ac:dyDescent="0.35">
      <c r="A122">
        <f>IF(ISNUMBER(SEARCH('PRP LA trend tool 2015-23'!$F$3,B122)),MAX($A$1:A121)+1,0)</f>
        <v>121</v>
      </c>
      <c r="B122" t="s">
        <v>325</v>
      </c>
      <c r="D122" t="str">
        <f>IFERROR(VLOOKUP(ROWS($D$2:D122),$A$2:$B$1416,2,0),"")</f>
        <v>Havant</v>
      </c>
    </row>
    <row r="123" spans="1:4" x14ac:dyDescent="0.35">
      <c r="A123">
        <f>IF(ISNUMBER(SEARCH('PRP LA trend tool 2015-23'!$F$3,B123)),MAX($A$1:A122)+1,0)</f>
        <v>122</v>
      </c>
      <c r="B123" t="s">
        <v>327</v>
      </c>
      <c r="D123" t="str">
        <f>IFERROR(VLOOKUP(ROWS($D$2:D123),$A$2:$B$1416,2,0),"")</f>
        <v>Havering</v>
      </c>
    </row>
    <row r="124" spans="1:4" x14ac:dyDescent="0.35">
      <c r="A124">
        <f>IF(ISNUMBER(SEARCH('PRP LA trend tool 2015-23'!$F$3,B124)),MAX($A$1:A123)+1,0)</f>
        <v>123</v>
      </c>
      <c r="B124" t="s">
        <v>329</v>
      </c>
      <c r="D124" t="str">
        <f>IFERROR(VLOOKUP(ROWS($D$2:D124),$A$2:$B$1416,2,0),"")</f>
        <v>Herefordshire, County of</v>
      </c>
    </row>
    <row r="125" spans="1:4" x14ac:dyDescent="0.35">
      <c r="A125">
        <f>IF(ISNUMBER(SEARCH('PRP LA trend tool 2015-23'!$F$3,B125)),MAX($A$1:A124)+1,0)</f>
        <v>124</v>
      </c>
      <c r="B125" t="s">
        <v>331</v>
      </c>
      <c r="D125" t="str">
        <f>IFERROR(VLOOKUP(ROWS($D$2:D125),$A$2:$B$1416,2,0),"")</f>
        <v>Hertsmere</v>
      </c>
    </row>
    <row r="126" spans="1:4" x14ac:dyDescent="0.35">
      <c r="A126">
        <f>IF(ISNUMBER(SEARCH('PRP LA trend tool 2015-23'!$F$3,B126)),MAX($A$1:A125)+1,0)</f>
        <v>125</v>
      </c>
      <c r="B126" t="s">
        <v>333</v>
      </c>
      <c r="D126" t="str">
        <f>IFERROR(VLOOKUP(ROWS($D$2:D126),$A$2:$B$1416,2,0),"")</f>
        <v>High Peak</v>
      </c>
    </row>
    <row r="127" spans="1:4" x14ac:dyDescent="0.35">
      <c r="A127">
        <f>IF(ISNUMBER(SEARCH('PRP LA trend tool 2015-23'!$F$3,B127)),MAX($A$1:A126)+1,0)</f>
        <v>126</v>
      </c>
      <c r="B127" t="s">
        <v>335</v>
      </c>
      <c r="D127" t="str">
        <f>IFERROR(VLOOKUP(ROWS($D$2:D127),$A$2:$B$1416,2,0),"")</f>
        <v>Hillingdon</v>
      </c>
    </row>
    <row r="128" spans="1:4" x14ac:dyDescent="0.35">
      <c r="A128">
        <f>IF(ISNUMBER(SEARCH('PRP LA trend tool 2015-23'!$F$3,B128)),MAX($A$1:A127)+1,0)</f>
        <v>127</v>
      </c>
      <c r="B128" t="s">
        <v>337</v>
      </c>
      <c r="D128" t="str">
        <f>IFERROR(VLOOKUP(ROWS($D$2:D128),$A$2:$B$1416,2,0),"")</f>
        <v>Hinckley and Bosworth</v>
      </c>
    </row>
    <row r="129" spans="1:4" x14ac:dyDescent="0.35">
      <c r="A129">
        <f>IF(ISNUMBER(SEARCH('PRP LA trend tool 2015-23'!$F$3,B129)),MAX($A$1:A128)+1,0)</f>
        <v>128</v>
      </c>
      <c r="B129" t="s">
        <v>339</v>
      </c>
      <c r="D129" t="str">
        <f>IFERROR(VLOOKUP(ROWS($D$2:D129),$A$2:$B$1416,2,0),"")</f>
        <v>Horsham</v>
      </c>
    </row>
    <row r="130" spans="1:4" x14ac:dyDescent="0.35">
      <c r="A130">
        <f>IF(ISNUMBER(SEARCH('PRP LA trend tool 2015-23'!$F$3,B130)),MAX($A$1:A129)+1,0)</f>
        <v>129</v>
      </c>
      <c r="B130" t="s">
        <v>341</v>
      </c>
      <c r="D130" t="str">
        <f>IFERROR(VLOOKUP(ROWS($D$2:D130),$A$2:$B$1416,2,0),"")</f>
        <v>Hounslow</v>
      </c>
    </row>
    <row r="131" spans="1:4" x14ac:dyDescent="0.35">
      <c r="A131">
        <f>IF(ISNUMBER(SEARCH('PRP LA trend tool 2015-23'!$F$3,B131)),MAX($A$1:A130)+1,0)</f>
        <v>130</v>
      </c>
      <c r="B131" t="s">
        <v>343</v>
      </c>
      <c r="D131" t="str">
        <f>IFERROR(VLOOKUP(ROWS($D$2:D131),$A$2:$B$1416,2,0),"")</f>
        <v>Huntingdonshire</v>
      </c>
    </row>
    <row r="132" spans="1:4" x14ac:dyDescent="0.35">
      <c r="A132">
        <f>IF(ISNUMBER(SEARCH('PRP LA trend tool 2015-23'!$F$3,B132)),MAX($A$1:A131)+1,0)</f>
        <v>131</v>
      </c>
      <c r="B132" t="s">
        <v>345</v>
      </c>
      <c r="D132" t="str">
        <f>IFERROR(VLOOKUP(ROWS($D$2:D132),$A$2:$B$1416,2,0),"")</f>
        <v>Hyndburn</v>
      </c>
    </row>
    <row r="133" spans="1:4" x14ac:dyDescent="0.35">
      <c r="A133">
        <f>IF(ISNUMBER(SEARCH('PRP LA trend tool 2015-23'!$F$3,B133)),MAX($A$1:A132)+1,0)</f>
        <v>132</v>
      </c>
      <c r="B133" t="s">
        <v>347</v>
      </c>
      <c r="D133" t="str">
        <f>IFERROR(VLOOKUP(ROWS($D$2:D133),$A$2:$B$1416,2,0),"")</f>
        <v>Ipswich</v>
      </c>
    </row>
    <row r="134" spans="1:4" x14ac:dyDescent="0.35">
      <c r="A134">
        <f>IF(ISNUMBER(SEARCH('PRP LA trend tool 2015-23'!$F$3,B134)),MAX($A$1:A133)+1,0)</f>
        <v>133</v>
      </c>
      <c r="B134" t="s">
        <v>349</v>
      </c>
      <c r="D134" t="str">
        <f>IFERROR(VLOOKUP(ROWS($D$2:D134),$A$2:$B$1416,2,0),"")</f>
        <v>Isle of Wight</v>
      </c>
    </row>
    <row r="135" spans="1:4" x14ac:dyDescent="0.35">
      <c r="A135">
        <f>IF(ISNUMBER(SEARCH('PRP LA trend tool 2015-23'!$F$3,B135)),MAX($A$1:A134)+1,0)</f>
        <v>134</v>
      </c>
      <c r="B135" t="s">
        <v>351</v>
      </c>
      <c r="D135" t="str">
        <f>IFERROR(VLOOKUP(ROWS($D$2:D135),$A$2:$B$1416,2,0),"")</f>
        <v>Isles of Scilly</v>
      </c>
    </row>
    <row r="136" spans="1:4" x14ac:dyDescent="0.35">
      <c r="A136">
        <f>IF(ISNUMBER(SEARCH('PRP LA trend tool 2015-23'!$F$3,B136)),MAX($A$1:A135)+1,0)</f>
        <v>135</v>
      </c>
      <c r="B136" t="s">
        <v>353</v>
      </c>
      <c r="D136" t="str">
        <f>IFERROR(VLOOKUP(ROWS($D$2:D136),$A$2:$B$1416,2,0),"")</f>
        <v>Islington</v>
      </c>
    </row>
    <row r="137" spans="1:4" x14ac:dyDescent="0.35">
      <c r="A137">
        <f>IF(ISNUMBER(SEARCH('PRP LA trend tool 2015-23'!$F$3,B137)),MAX($A$1:A136)+1,0)</f>
        <v>136</v>
      </c>
      <c r="B137" t="s">
        <v>355</v>
      </c>
      <c r="D137" t="str">
        <f>IFERROR(VLOOKUP(ROWS($D$2:D137),$A$2:$B$1416,2,0),"")</f>
        <v>Kensington and Chelsea</v>
      </c>
    </row>
    <row r="138" spans="1:4" x14ac:dyDescent="0.35">
      <c r="A138">
        <f>IF(ISNUMBER(SEARCH('PRP LA trend tool 2015-23'!$F$3,B138)),MAX($A$1:A137)+1,0)</f>
        <v>137</v>
      </c>
      <c r="B138" t="s">
        <v>357</v>
      </c>
      <c r="D138" t="str">
        <f>IFERROR(VLOOKUP(ROWS($D$2:D138),$A$2:$B$1416,2,0),"")</f>
        <v>King's Lynn and West Norfolk</v>
      </c>
    </row>
    <row r="139" spans="1:4" x14ac:dyDescent="0.35">
      <c r="A139">
        <f>IF(ISNUMBER(SEARCH('PRP LA trend tool 2015-23'!$F$3,B139)),MAX($A$1:A138)+1,0)</f>
        <v>138</v>
      </c>
      <c r="B139" t="s">
        <v>359</v>
      </c>
      <c r="D139" t="str">
        <f>IFERROR(VLOOKUP(ROWS($D$2:D139),$A$2:$B$1416,2,0),"")</f>
        <v>Kingston upon Hull, City of</v>
      </c>
    </row>
    <row r="140" spans="1:4" x14ac:dyDescent="0.35">
      <c r="A140">
        <f>IF(ISNUMBER(SEARCH('PRP LA trend tool 2015-23'!$F$3,B140)),MAX($A$1:A139)+1,0)</f>
        <v>139</v>
      </c>
      <c r="B140" t="s">
        <v>361</v>
      </c>
      <c r="D140" t="str">
        <f>IFERROR(VLOOKUP(ROWS($D$2:D140),$A$2:$B$1416,2,0),"")</f>
        <v>Kingston upon Thames</v>
      </c>
    </row>
    <row r="141" spans="1:4" x14ac:dyDescent="0.35">
      <c r="A141">
        <f>IF(ISNUMBER(SEARCH('PRP LA trend tool 2015-23'!$F$3,B141)),MAX($A$1:A140)+1,0)</f>
        <v>140</v>
      </c>
      <c r="B141" t="s">
        <v>363</v>
      </c>
      <c r="D141" t="str">
        <f>IFERROR(VLOOKUP(ROWS($D$2:D141),$A$2:$B$1416,2,0),"")</f>
        <v>Kirklees</v>
      </c>
    </row>
    <row r="142" spans="1:4" x14ac:dyDescent="0.35">
      <c r="A142">
        <f>IF(ISNUMBER(SEARCH('PRP LA trend tool 2015-23'!$F$3,B142)),MAX($A$1:A141)+1,0)</f>
        <v>141</v>
      </c>
      <c r="B142" t="s">
        <v>365</v>
      </c>
      <c r="D142" t="str">
        <f>IFERROR(VLOOKUP(ROWS($D$2:D142),$A$2:$B$1416,2,0),"")</f>
        <v>Knowsley</v>
      </c>
    </row>
    <row r="143" spans="1:4" x14ac:dyDescent="0.35">
      <c r="A143">
        <f>IF(ISNUMBER(SEARCH('PRP LA trend tool 2015-23'!$F$3,B143)),MAX($A$1:A142)+1,0)</f>
        <v>142</v>
      </c>
      <c r="B143" t="s">
        <v>367</v>
      </c>
      <c r="D143" t="str">
        <f>IFERROR(VLOOKUP(ROWS($D$2:D143),$A$2:$B$1416,2,0),"")</f>
        <v>Lambeth</v>
      </c>
    </row>
    <row r="144" spans="1:4" x14ac:dyDescent="0.35">
      <c r="A144">
        <f>IF(ISNUMBER(SEARCH('PRP LA trend tool 2015-23'!$F$3,B144)),MAX($A$1:A143)+1,0)</f>
        <v>143</v>
      </c>
      <c r="B144" t="s">
        <v>369</v>
      </c>
      <c r="D144" t="str">
        <f>IFERROR(VLOOKUP(ROWS($D$2:D144),$A$2:$B$1416,2,0),"")</f>
        <v>Lancaster</v>
      </c>
    </row>
    <row r="145" spans="1:4" x14ac:dyDescent="0.35">
      <c r="A145">
        <f>IF(ISNUMBER(SEARCH('PRP LA trend tool 2015-23'!$F$3,B145)),MAX($A$1:A144)+1,0)</f>
        <v>144</v>
      </c>
      <c r="B145" t="s">
        <v>371</v>
      </c>
      <c r="D145" t="str">
        <f>IFERROR(VLOOKUP(ROWS($D$2:D145),$A$2:$B$1416,2,0),"")</f>
        <v>Leeds</v>
      </c>
    </row>
    <row r="146" spans="1:4" x14ac:dyDescent="0.35">
      <c r="A146">
        <f>IF(ISNUMBER(SEARCH('PRP LA trend tool 2015-23'!$F$3,B146)),MAX($A$1:A145)+1,0)</f>
        <v>145</v>
      </c>
      <c r="B146" t="s">
        <v>373</v>
      </c>
      <c r="D146" t="str">
        <f>IFERROR(VLOOKUP(ROWS($D$2:D146),$A$2:$B$1416,2,0),"")</f>
        <v>Leicester</v>
      </c>
    </row>
    <row r="147" spans="1:4" x14ac:dyDescent="0.35">
      <c r="A147">
        <f>IF(ISNUMBER(SEARCH('PRP LA trend tool 2015-23'!$F$3,B147)),MAX($A$1:A146)+1,0)</f>
        <v>146</v>
      </c>
      <c r="B147" t="s">
        <v>375</v>
      </c>
      <c r="D147" t="str">
        <f>IFERROR(VLOOKUP(ROWS($D$2:D147),$A$2:$B$1416,2,0),"")</f>
        <v>Lewes</v>
      </c>
    </row>
    <row r="148" spans="1:4" x14ac:dyDescent="0.35">
      <c r="A148">
        <f>IF(ISNUMBER(SEARCH('PRP LA trend tool 2015-23'!$F$3,B148)),MAX($A$1:A147)+1,0)</f>
        <v>147</v>
      </c>
      <c r="B148" t="s">
        <v>377</v>
      </c>
      <c r="D148" t="str">
        <f>IFERROR(VLOOKUP(ROWS($D$2:D148),$A$2:$B$1416,2,0),"")</f>
        <v>Lewisham</v>
      </c>
    </row>
    <row r="149" spans="1:4" x14ac:dyDescent="0.35">
      <c r="A149">
        <f>IF(ISNUMBER(SEARCH('PRP LA trend tool 2015-23'!$F$3,B149)),MAX($A$1:A148)+1,0)</f>
        <v>148</v>
      </c>
      <c r="B149" t="s">
        <v>379</v>
      </c>
      <c r="D149" t="str">
        <f>IFERROR(VLOOKUP(ROWS($D$2:D149),$A$2:$B$1416,2,0),"")</f>
        <v>Lichfield</v>
      </c>
    </row>
    <row r="150" spans="1:4" x14ac:dyDescent="0.35">
      <c r="A150">
        <f>IF(ISNUMBER(SEARCH('PRP LA trend tool 2015-23'!$F$3,B150)),MAX($A$1:A149)+1,0)</f>
        <v>149</v>
      </c>
      <c r="B150" t="s">
        <v>381</v>
      </c>
      <c r="D150" t="str">
        <f>IFERROR(VLOOKUP(ROWS($D$2:D150),$A$2:$B$1416,2,0),"")</f>
        <v>Lincoln</v>
      </c>
    </row>
    <row r="151" spans="1:4" x14ac:dyDescent="0.35">
      <c r="A151">
        <f>IF(ISNUMBER(SEARCH('PRP LA trend tool 2015-23'!$F$3,B151)),MAX($A$1:A150)+1,0)</f>
        <v>150</v>
      </c>
      <c r="B151" t="s">
        <v>383</v>
      </c>
      <c r="D151" t="str">
        <f>IFERROR(VLOOKUP(ROWS($D$2:D151),$A$2:$B$1416,2,0),"")</f>
        <v>Liverpool</v>
      </c>
    </row>
    <row r="152" spans="1:4" x14ac:dyDescent="0.35">
      <c r="A152">
        <f>IF(ISNUMBER(SEARCH('PRP LA trend tool 2015-23'!$F$3,B152)),MAX($A$1:A151)+1,0)</f>
        <v>151</v>
      </c>
      <c r="B152" t="s">
        <v>385</v>
      </c>
      <c r="D152" t="str">
        <f>IFERROR(VLOOKUP(ROWS($D$2:D152),$A$2:$B$1416,2,0),"")</f>
        <v>Luton</v>
      </c>
    </row>
    <row r="153" spans="1:4" x14ac:dyDescent="0.35">
      <c r="A153">
        <f>IF(ISNUMBER(SEARCH('PRP LA trend tool 2015-23'!$F$3,B153)),MAX($A$1:A152)+1,0)</f>
        <v>152</v>
      </c>
      <c r="B153" t="s">
        <v>387</v>
      </c>
      <c r="D153" t="str">
        <f>IFERROR(VLOOKUP(ROWS($D$2:D153),$A$2:$B$1416,2,0),"")</f>
        <v>Maidstone</v>
      </c>
    </row>
    <row r="154" spans="1:4" x14ac:dyDescent="0.35">
      <c r="A154">
        <f>IF(ISNUMBER(SEARCH('PRP LA trend tool 2015-23'!$F$3,B154)),MAX($A$1:A153)+1,0)</f>
        <v>153</v>
      </c>
      <c r="B154" t="s">
        <v>389</v>
      </c>
      <c r="D154" t="str">
        <f>IFERROR(VLOOKUP(ROWS($D$2:D154),$A$2:$B$1416,2,0),"")</f>
        <v>Maldon</v>
      </c>
    </row>
    <row r="155" spans="1:4" x14ac:dyDescent="0.35">
      <c r="A155">
        <f>IF(ISNUMBER(SEARCH('PRP LA trend tool 2015-23'!$F$3,B155)),MAX($A$1:A154)+1,0)</f>
        <v>154</v>
      </c>
      <c r="B155" t="s">
        <v>391</v>
      </c>
      <c r="D155" t="str">
        <f>IFERROR(VLOOKUP(ROWS($D$2:D155),$A$2:$B$1416,2,0),"")</f>
        <v>Malvern Hills</v>
      </c>
    </row>
    <row r="156" spans="1:4" x14ac:dyDescent="0.35">
      <c r="A156">
        <f>IF(ISNUMBER(SEARCH('PRP LA trend tool 2015-23'!$F$3,B156)),MAX($A$1:A155)+1,0)</f>
        <v>155</v>
      </c>
      <c r="B156" t="s">
        <v>393</v>
      </c>
      <c r="D156" t="str">
        <f>IFERROR(VLOOKUP(ROWS($D$2:D156),$A$2:$B$1416,2,0),"")</f>
        <v>Manchester</v>
      </c>
    </row>
    <row r="157" spans="1:4" x14ac:dyDescent="0.35">
      <c r="A157">
        <f>IF(ISNUMBER(SEARCH('PRP LA trend tool 2015-23'!$F$3,B157)),MAX($A$1:A156)+1,0)</f>
        <v>156</v>
      </c>
      <c r="B157" t="s">
        <v>395</v>
      </c>
      <c r="D157" t="str">
        <f>IFERROR(VLOOKUP(ROWS($D$2:D157),$A$2:$B$1416,2,0),"")</f>
        <v>Mansfield</v>
      </c>
    </row>
    <row r="158" spans="1:4" x14ac:dyDescent="0.35">
      <c r="A158">
        <f>IF(ISNUMBER(SEARCH('PRP LA trend tool 2015-23'!$F$3,B158)),MAX($A$1:A157)+1,0)</f>
        <v>157</v>
      </c>
      <c r="B158" t="s">
        <v>397</v>
      </c>
      <c r="D158" t="str">
        <f>IFERROR(VLOOKUP(ROWS($D$2:D158),$A$2:$B$1416,2,0),"")</f>
        <v>Medway</v>
      </c>
    </row>
    <row r="159" spans="1:4" x14ac:dyDescent="0.35">
      <c r="A159">
        <f>IF(ISNUMBER(SEARCH('PRP LA trend tool 2015-23'!$F$3,B159)),MAX($A$1:A158)+1,0)</f>
        <v>158</v>
      </c>
      <c r="B159" t="s">
        <v>399</v>
      </c>
      <c r="D159" t="str">
        <f>IFERROR(VLOOKUP(ROWS($D$2:D159),$A$2:$B$1416,2,0),"")</f>
        <v>Melton</v>
      </c>
    </row>
    <row r="160" spans="1:4" x14ac:dyDescent="0.35">
      <c r="A160">
        <f>IF(ISNUMBER(SEARCH('PRP LA trend tool 2015-23'!$F$3,B160)),MAX($A$1:A159)+1,0)</f>
        <v>159</v>
      </c>
      <c r="B160" t="s">
        <v>401</v>
      </c>
      <c r="D160" t="str">
        <f>IFERROR(VLOOKUP(ROWS($D$2:D160),$A$2:$B$1416,2,0),"")</f>
        <v>Mendip</v>
      </c>
    </row>
    <row r="161" spans="1:4" x14ac:dyDescent="0.35">
      <c r="A161">
        <f>IF(ISNUMBER(SEARCH('PRP LA trend tool 2015-23'!$F$3,B161)),MAX($A$1:A160)+1,0)</f>
        <v>160</v>
      </c>
      <c r="B161" t="s">
        <v>403</v>
      </c>
      <c r="D161" t="str">
        <f>IFERROR(VLOOKUP(ROWS($D$2:D161),$A$2:$B$1416,2,0),"")</f>
        <v>Merton</v>
      </c>
    </row>
    <row r="162" spans="1:4" x14ac:dyDescent="0.35">
      <c r="A162">
        <f>IF(ISNUMBER(SEARCH('PRP LA trend tool 2015-23'!$F$3,B162)),MAX($A$1:A161)+1,0)</f>
        <v>161</v>
      </c>
      <c r="B162" t="s">
        <v>405</v>
      </c>
      <c r="D162" t="str">
        <f>IFERROR(VLOOKUP(ROWS($D$2:D162),$A$2:$B$1416,2,0),"")</f>
        <v>Mid Devon</v>
      </c>
    </row>
    <row r="163" spans="1:4" x14ac:dyDescent="0.35">
      <c r="A163">
        <f>IF(ISNUMBER(SEARCH('PRP LA trend tool 2015-23'!$F$3,B163)),MAX($A$1:A162)+1,0)</f>
        <v>162</v>
      </c>
      <c r="B163" t="s">
        <v>407</v>
      </c>
      <c r="D163" t="str">
        <f>IFERROR(VLOOKUP(ROWS($D$2:D163),$A$2:$B$1416,2,0),"")</f>
        <v>Mid Suffolk</v>
      </c>
    </row>
    <row r="164" spans="1:4" x14ac:dyDescent="0.35">
      <c r="A164">
        <f>IF(ISNUMBER(SEARCH('PRP LA trend tool 2015-23'!$F$3,B164)),MAX($A$1:A163)+1,0)</f>
        <v>163</v>
      </c>
      <c r="B164" t="s">
        <v>409</v>
      </c>
      <c r="D164" t="str">
        <f>IFERROR(VLOOKUP(ROWS($D$2:D164),$A$2:$B$1416,2,0),"")</f>
        <v>Mid Sussex</v>
      </c>
    </row>
    <row r="165" spans="1:4" x14ac:dyDescent="0.35">
      <c r="A165">
        <f>IF(ISNUMBER(SEARCH('PRP LA trend tool 2015-23'!$F$3,B165)),MAX($A$1:A164)+1,0)</f>
        <v>164</v>
      </c>
      <c r="B165" t="s">
        <v>411</v>
      </c>
      <c r="D165" t="str">
        <f>IFERROR(VLOOKUP(ROWS($D$2:D165),$A$2:$B$1416,2,0),"")</f>
        <v>Middlesbrough</v>
      </c>
    </row>
    <row r="166" spans="1:4" x14ac:dyDescent="0.35">
      <c r="A166">
        <f>IF(ISNUMBER(SEARCH('PRP LA trend tool 2015-23'!$F$3,B166)),MAX($A$1:A165)+1,0)</f>
        <v>165</v>
      </c>
      <c r="B166" t="s">
        <v>413</v>
      </c>
      <c r="D166" t="str">
        <f>IFERROR(VLOOKUP(ROWS($D$2:D166),$A$2:$B$1416,2,0),"")</f>
        <v>Milton Keynes</v>
      </c>
    </row>
    <row r="167" spans="1:4" x14ac:dyDescent="0.35">
      <c r="A167">
        <f>IF(ISNUMBER(SEARCH('PRP LA trend tool 2015-23'!$F$3,B167)),MAX($A$1:A166)+1,0)</f>
        <v>166</v>
      </c>
      <c r="B167" t="s">
        <v>415</v>
      </c>
      <c r="D167" t="str">
        <f>IFERROR(VLOOKUP(ROWS($D$2:D167),$A$2:$B$1416,2,0),"")</f>
        <v>Mole Valley</v>
      </c>
    </row>
    <row r="168" spans="1:4" x14ac:dyDescent="0.35">
      <c r="A168">
        <f>IF(ISNUMBER(SEARCH('PRP LA trend tool 2015-23'!$F$3,B168)),MAX($A$1:A167)+1,0)</f>
        <v>167</v>
      </c>
      <c r="B168" t="s">
        <v>417</v>
      </c>
      <c r="D168" t="str">
        <f>IFERROR(VLOOKUP(ROWS($D$2:D168),$A$2:$B$1416,2,0),"")</f>
        <v>New Forest</v>
      </c>
    </row>
    <row r="169" spans="1:4" x14ac:dyDescent="0.35">
      <c r="A169">
        <f>IF(ISNUMBER(SEARCH('PRP LA trend tool 2015-23'!$F$3,B169)),MAX($A$1:A168)+1,0)</f>
        <v>168</v>
      </c>
      <c r="B169" t="s">
        <v>419</v>
      </c>
      <c r="D169" t="str">
        <f>IFERROR(VLOOKUP(ROWS($D$2:D169),$A$2:$B$1416,2,0),"")</f>
        <v>Newark and Sherwood</v>
      </c>
    </row>
    <row r="170" spans="1:4" x14ac:dyDescent="0.35">
      <c r="A170">
        <f>IF(ISNUMBER(SEARCH('PRP LA trend tool 2015-23'!$F$3,B170)),MAX($A$1:A169)+1,0)</f>
        <v>169</v>
      </c>
      <c r="B170" t="s">
        <v>421</v>
      </c>
      <c r="D170" t="str">
        <f>IFERROR(VLOOKUP(ROWS($D$2:D170),$A$2:$B$1416,2,0),"")</f>
        <v>Newcastle upon Tyne</v>
      </c>
    </row>
    <row r="171" spans="1:4" x14ac:dyDescent="0.35">
      <c r="A171">
        <f>IF(ISNUMBER(SEARCH('PRP LA trend tool 2015-23'!$F$3,B171)),MAX($A$1:A170)+1,0)</f>
        <v>170</v>
      </c>
      <c r="B171" t="s">
        <v>423</v>
      </c>
      <c r="D171" t="str">
        <f>IFERROR(VLOOKUP(ROWS($D$2:D171),$A$2:$B$1416,2,0),"")</f>
        <v>Newcastle-under-Lyme</v>
      </c>
    </row>
    <row r="172" spans="1:4" x14ac:dyDescent="0.35">
      <c r="A172">
        <f>IF(ISNUMBER(SEARCH('PRP LA trend tool 2015-23'!$F$3,B172)),MAX($A$1:A171)+1,0)</f>
        <v>171</v>
      </c>
      <c r="B172" t="s">
        <v>425</v>
      </c>
      <c r="D172" t="str">
        <f>IFERROR(VLOOKUP(ROWS($D$2:D172),$A$2:$B$1416,2,0),"")</f>
        <v>Newham</v>
      </c>
    </row>
    <row r="173" spans="1:4" x14ac:dyDescent="0.35">
      <c r="A173">
        <f>IF(ISNUMBER(SEARCH('PRP LA trend tool 2015-23'!$F$3,B173)),MAX($A$1:A172)+1,0)</f>
        <v>172</v>
      </c>
      <c r="B173" t="s">
        <v>427</v>
      </c>
      <c r="D173" t="str">
        <f>IFERROR(VLOOKUP(ROWS($D$2:D173),$A$2:$B$1416,2,0),"")</f>
        <v>North Devon</v>
      </c>
    </row>
    <row r="174" spans="1:4" x14ac:dyDescent="0.35">
      <c r="A174">
        <f>IF(ISNUMBER(SEARCH('PRP LA trend tool 2015-23'!$F$3,B174)),MAX($A$1:A173)+1,0)</f>
        <v>173</v>
      </c>
      <c r="B174" t="s">
        <v>429</v>
      </c>
      <c r="D174" t="str">
        <f>IFERROR(VLOOKUP(ROWS($D$2:D174),$A$2:$B$1416,2,0),"")</f>
        <v>North East Derbyshire</v>
      </c>
    </row>
    <row r="175" spans="1:4" x14ac:dyDescent="0.35">
      <c r="A175">
        <f>IF(ISNUMBER(SEARCH('PRP LA trend tool 2015-23'!$F$3,B175)),MAX($A$1:A174)+1,0)</f>
        <v>174</v>
      </c>
      <c r="B175" t="s">
        <v>431</v>
      </c>
      <c r="D175" t="str">
        <f>IFERROR(VLOOKUP(ROWS($D$2:D175),$A$2:$B$1416,2,0),"")</f>
        <v>North East Lincolnshire</v>
      </c>
    </row>
    <row r="176" spans="1:4" x14ac:dyDescent="0.35">
      <c r="A176">
        <f>IF(ISNUMBER(SEARCH('PRP LA trend tool 2015-23'!$F$3,B176)),MAX($A$1:A175)+1,0)</f>
        <v>175</v>
      </c>
      <c r="B176" t="s">
        <v>433</v>
      </c>
      <c r="D176" t="str">
        <f>IFERROR(VLOOKUP(ROWS($D$2:D176),$A$2:$B$1416,2,0),"")</f>
        <v>North Hertfordshire</v>
      </c>
    </row>
    <row r="177" spans="1:4" x14ac:dyDescent="0.35">
      <c r="A177">
        <f>IF(ISNUMBER(SEARCH('PRP LA trend tool 2015-23'!$F$3,B177)),MAX($A$1:A176)+1,0)</f>
        <v>176</v>
      </c>
      <c r="B177" t="s">
        <v>435</v>
      </c>
      <c r="D177" t="str">
        <f>IFERROR(VLOOKUP(ROWS($D$2:D177),$A$2:$B$1416,2,0),"")</f>
        <v>North Kesteven</v>
      </c>
    </row>
    <row r="178" spans="1:4" x14ac:dyDescent="0.35">
      <c r="A178">
        <f>IF(ISNUMBER(SEARCH('PRP LA trend tool 2015-23'!$F$3,B178)),MAX($A$1:A177)+1,0)</f>
        <v>177</v>
      </c>
      <c r="B178" t="s">
        <v>437</v>
      </c>
      <c r="D178" t="str">
        <f>IFERROR(VLOOKUP(ROWS($D$2:D178),$A$2:$B$1416,2,0),"")</f>
        <v>North Lincolnshire</v>
      </c>
    </row>
    <row r="179" spans="1:4" x14ac:dyDescent="0.35">
      <c r="A179">
        <f>IF(ISNUMBER(SEARCH('PRP LA trend tool 2015-23'!$F$3,B179)),MAX($A$1:A178)+1,0)</f>
        <v>178</v>
      </c>
      <c r="B179" t="s">
        <v>439</v>
      </c>
      <c r="D179" t="str">
        <f>IFERROR(VLOOKUP(ROWS($D$2:D179),$A$2:$B$1416,2,0),"")</f>
        <v>North Norfolk</v>
      </c>
    </row>
    <row r="180" spans="1:4" x14ac:dyDescent="0.35">
      <c r="A180">
        <f>IF(ISNUMBER(SEARCH('PRP LA trend tool 2015-23'!$F$3,B180)),MAX($A$1:A179)+1,0)</f>
        <v>179</v>
      </c>
      <c r="B180" t="s">
        <v>797</v>
      </c>
      <c r="D180" t="str">
        <f>IFERROR(VLOOKUP(ROWS($D$2:D180),$A$2:$B$1416,2,0),"")</f>
        <v>North Northamptonshire</v>
      </c>
    </row>
    <row r="181" spans="1:4" x14ac:dyDescent="0.35">
      <c r="A181">
        <f>IF(ISNUMBER(SEARCH('PRP LA trend tool 2015-23'!$F$3,B181)),MAX($A$1:A180)+1,0)</f>
        <v>180</v>
      </c>
      <c r="B181" t="s">
        <v>441</v>
      </c>
      <c r="D181" t="str">
        <f>IFERROR(VLOOKUP(ROWS($D$2:D181),$A$2:$B$1416,2,0),"")</f>
        <v>North Somerset</v>
      </c>
    </row>
    <row r="182" spans="1:4" x14ac:dyDescent="0.35">
      <c r="A182">
        <f>IF(ISNUMBER(SEARCH('PRP LA trend tool 2015-23'!$F$3,B182)),MAX($A$1:A181)+1,0)</f>
        <v>181</v>
      </c>
      <c r="B182" t="s">
        <v>443</v>
      </c>
      <c r="D182" t="str">
        <f>IFERROR(VLOOKUP(ROWS($D$2:D182),$A$2:$B$1416,2,0),"")</f>
        <v>North Tyneside</v>
      </c>
    </row>
    <row r="183" spans="1:4" x14ac:dyDescent="0.35">
      <c r="A183">
        <f>IF(ISNUMBER(SEARCH('PRP LA trend tool 2015-23'!$F$3,B183)),MAX($A$1:A182)+1,0)</f>
        <v>182</v>
      </c>
      <c r="B183" t="s">
        <v>445</v>
      </c>
      <c r="D183" t="str">
        <f>IFERROR(VLOOKUP(ROWS($D$2:D183),$A$2:$B$1416,2,0),"")</f>
        <v>North Warwickshire</v>
      </c>
    </row>
    <row r="184" spans="1:4" x14ac:dyDescent="0.35">
      <c r="A184">
        <f>IF(ISNUMBER(SEARCH('PRP LA trend tool 2015-23'!$F$3,B184)),MAX($A$1:A183)+1,0)</f>
        <v>183</v>
      </c>
      <c r="B184" t="s">
        <v>447</v>
      </c>
      <c r="D184" t="str">
        <f>IFERROR(VLOOKUP(ROWS($D$2:D184),$A$2:$B$1416,2,0),"")</f>
        <v>North West Leicestershire</v>
      </c>
    </row>
    <row r="185" spans="1:4" x14ac:dyDescent="0.35">
      <c r="A185">
        <f>IF(ISNUMBER(SEARCH('PRP LA trend tool 2015-23'!$F$3,B185)),MAX($A$1:A184)+1,0)</f>
        <v>184</v>
      </c>
      <c r="B185" t="s">
        <v>449</v>
      </c>
      <c r="D185" t="str">
        <f>IFERROR(VLOOKUP(ROWS($D$2:D185),$A$2:$B$1416,2,0),"")</f>
        <v>Northumberland</v>
      </c>
    </row>
    <row r="186" spans="1:4" x14ac:dyDescent="0.35">
      <c r="A186">
        <f>IF(ISNUMBER(SEARCH('PRP LA trend tool 2015-23'!$F$3,B186)),MAX($A$1:A185)+1,0)</f>
        <v>185</v>
      </c>
      <c r="B186" t="s">
        <v>451</v>
      </c>
      <c r="D186" t="str">
        <f>IFERROR(VLOOKUP(ROWS($D$2:D186),$A$2:$B$1416,2,0),"")</f>
        <v>Norwich</v>
      </c>
    </row>
    <row r="187" spans="1:4" x14ac:dyDescent="0.35">
      <c r="A187">
        <f>IF(ISNUMBER(SEARCH('PRP LA trend tool 2015-23'!$F$3,B187)),MAX($A$1:A186)+1,0)</f>
        <v>186</v>
      </c>
      <c r="B187" t="s">
        <v>453</v>
      </c>
      <c r="D187" t="str">
        <f>IFERROR(VLOOKUP(ROWS($D$2:D187),$A$2:$B$1416,2,0),"")</f>
        <v>Nottingham</v>
      </c>
    </row>
    <row r="188" spans="1:4" x14ac:dyDescent="0.35">
      <c r="A188">
        <f>IF(ISNUMBER(SEARCH('PRP LA trend tool 2015-23'!$F$3,B188)),MAX($A$1:A187)+1,0)</f>
        <v>187</v>
      </c>
      <c r="B188" t="s">
        <v>455</v>
      </c>
      <c r="D188" t="str">
        <f>IFERROR(VLOOKUP(ROWS($D$2:D188),$A$2:$B$1416,2,0),"")</f>
        <v>Nuneaton and Bedworth</v>
      </c>
    </row>
    <row r="189" spans="1:4" x14ac:dyDescent="0.35">
      <c r="A189">
        <f>IF(ISNUMBER(SEARCH('PRP LA trend tool 2015-23'!$F$3,B189)),MAX($A$1:A188)+1,0)</f>
        <v>188</v>
      </c>
      <c r="B189" t="s">
        <v>457</v>
      </c>
      <c r="D189" t="str">
        <f>IFERROR(VLOOKUP(ROWS($D$2:D189),$A$2:$B$1416,2,0),"")</f>
        <v>Oadby and Wigston</v>
      </c>
    </row>
    <row r="190" spans="1:4" x14ac:dyDescent="0.35">
      <c r="A190">
        <f>IF(ISNUMBER(SEARCH('PRP LA trend tool 2015-23'!$F$3,B190)),MAX($A$1:A189)+1,0)</f>
        <v>189</v>
      </c>
      <c r="B190" t="s">
        <v>459</v>
      </c>
      <c r="D190" t="str">
        <f>IFERROR(VLOOKUP(ROWS($D$2:D190),$A$2:$B$1416,2,0),"")</f>
        <v>Oldham</v>
      </c>
    </row>
    <row r="191" spans="1:4" x14ac:dyDescent="0.35">
      <c r="A191">
        <f>IF(ISNUMBER(SEARCH('PRP LA trend tool 2015-23'!$F$3,B191)),MAX($A$1:A190)+1,0)</f>
        <v>190</v>
      </c>
      <c r="B191" t="s">
        <v>461</v>
      </c>
      <c r="D191" t="str">
        <f>IFERROR(VLOOKUP(ROWS($D$2:D191),$A$2:$B$1416,2,0),"")</f>
        <v>Oxford</v>
      </c>
    </row>
    <row r="192" spans="1:4" x14ac:dyDescent="0.35">
      <c r="A192">
        <f>IF(ISNUMBER(SEARCH('PRP LA trend tool 2015-23'!$F$3,B192)),MAX($A$1:A191)+1,0)</f>
        <v>191</v>
      </c>
      <c r="B192" t="s">
        <v>463</v>
      </c>
      <c r="D192" t="str">
        <f>IFERROR(VLOOKUP(ROWS($D$2:D192),$A$2:$B$1416,2,0),"")</f>
        <v>Pendle</v>
      </c>
    </row>
    <row r="193" spans="1:4" x14ac:dyDescent="0.35">
      <c r="A193">
        <f>IF(ISNUMBER(SEARCH('PRP LA trend tool 2015-23'!$F$3,B193)),MAX($A$1:A192)+1,0)</f>
        <v>192</v>
      </c>
      <c r="B193" t="s">
        <v>465</v>
      </c>
      <c r="D193" t="str">
        <f>IFERROR(VLOOKUP(ROWS($D$2:D193),$A$2:$B$1416,2,0),"")</f>
        <v>Peterborough</v>
      </c>
    </row>
    <row r="194" spans="1:4" x14ac:dyDescent="0.35">
      <c r="A194">
        <f>IF(ISNUMBER(SEARCH('PRP LA trend tool 2015-23'!$F$3,B194)),MAX($A$1:A193)+1,0)</f>
        <v>193</v>
      </c>
      <c r="B194" t="s">
        <v>467</v>
      </c>
      <c r="D194" t="str">
        <f>IFERROR(VLOOKUP(ROWS($D$2:D194),$A$2:$B$1416,2,0),"")</f>
        <v>Plymouth</v>
      </c>
    </row>
    <row r="195" spans="1:4" x14ac:dyDescent="0.35">
      <c r="A195">
        <f>IF(ISNUMBER(SEARCH('PRP LA trend tool 2015-23'!$F$3,B195)),MAX($A$1:A194)+1,0)</f>
        <v>194</v>
      </c>
      <c r="B195" t="s">
        <v>469</v>
      </c>
      <c r="D195" t="str">
        <f>IFERROR(VLOOKUP(ROWS($D$2:D195),$A$2:$B$1416,2,0),"")</f>
        <v>Portsmouth</v>
      </c>
    </row>
    <row r="196" spans="1:4" x14ac:dyDescent="0.35">
      <c r="A196">
        <f>IF(ISNUMBER(SEARCH('PRP LA trend tool 2015-23'!$F$3,B196)),MAX($A$1:A195)+1,0)</f>
        <v>195</v>
      </c>
      <c r="B196" t="s">
        <v>471</v>
      </c>
      <c r="D196" t="str">
        <f>IFERROR(VLOOKUP(ROWS($D$2:D196),$A$2:$B$1416,2,0),"")</f>
        <v>Preston</v>
      </c>
    </row>
    <row r="197" spans="1:4" x14ac:dyDescent="0.35">
      <c r="A197">
        <f>IF(ISNUMBER(SEARCH('PRP LA trend tool 2015-23'!$F$3,B197)),MAX($A$1:A196)+1,0)</f>
        <v>196</v>
      </c>
      <c r="B197" t="s">
        <v>473</v>
      </c>
      <c r="D197" t="str">
        <f>IFERROR(VLOOKUP(ROWS($D$2:D197),$A$2:$B$1416,2,0),"")</f>
        <v>Reading</v>
      </c>
    </row>
    <row r="198" spans="1:4" x14ac:dyDescent="0.35">
      <c r="A198">
        <f>IF(ISNUMBER(SEARCH('PRP LA trend tool 2015-23'!$F$3,B198)),MAX($A$1:A197)+1,0)</f>
        <v>197</v>
      </c>
      <c r="B198" t="s">
        <v>475</v>
      </c>
      <c r="D198" t="str">
        <f>IFERROR(VLOOKUP(ROWS($D$2:D198),$A$2:$B$1416,2,0),"")</f>
        <v>Redbridge</v>
      </c>
    </row>
    <row r="199" spans="1:4" x14ac:dyDescent="0.35">
      <c r="A199">
        <f>IF(ISNUMBER(SEARCH('PRP LA trend tool 2015-23'!$F$3,B199)),MAX($A$1:A198)+1,0)</f>
        <v>198</v>
      </c>
      <c r="B199" t="s">
        <v>477</v>
      </c>
      <c r="D199" t="str">
        <f>IFERROR(VLOOKUP(ROWS($D$2:D199),$A$2:$B$1416,2,0),"")</f>
        <v>Redcar and Cleveland</v>
      </c>
    </row>
    <row r="200" spans="1:4" x14ac:dyDescent="0.35">
      <c r="A200">
        <f>IF(ISNUMBER(SEARCH('PRP LA trend tool 2015-23'!$F$3,B200)),MAX($A$1:A199)+1,0)</f>
        <v>199</v>
      </c>
      <c r="B200" t="s">
        <v>479</v>
      </c>
      <c r="D200" t="str">
        <f>IFERROR(VLOOKUP(ROWS($D$2:D200),$A$2:$B$1416,2,0),"")</f>
        <v>Redditch</v>
      </c>
    </row>
    <row r="201" spans="1:4" x14ac:dyDescent="0.35">
      <c r="A201">
        <f>IF(ISNUMBER(SEARCH('PRP LA trend tool 2015-23'!$F$3,B201)),MAX($A$1:A200)+1,0)</f>
        <v>200</v>
      </c>
      <c r="B201" t="s">
        <v>481</v>
      </c>
      <c r="D201" t="str">
        <f>IFERROR(VLOOKUP(ROWS($D$2:D201),$A$2:$B$1416,2,0),"")</f>
        <v>Reigate and Banstead</v>
      </c>
    </row>
    <row r="202" spans="1:4" x14ac:dyDescent="0.35">
      <c r="A202">
        <f>IF(ISNUMBER(SEARCH('PRP LA trend tool 2015-23'!$F$3,B202)),MAX($A$1:A201)+1,0)</f>
        <v>201</v>
      </c>
      <c r="B202" t="s">
        <v>483</v>
      </c>
      <c r="D202" t="str">
        <f>IFERROR(VLOOKUP(ROWS($D$2:D202),$A$2:$B$1416,2,0),"")</f>
        <v>Ribble Valley</v>
      </c>
    </row>
    <row r="203" spans="1:4" x14ac:dyDescent="0.35">
      <c r="A203">
        <f>IF(ISNUMBER(SEARCH('PRP LA trend tool 2015-23'!$F$3,B203)),MAX($A$1:A202)+1,0)</f>
        <v>202</v>
      </c>
      <c r="B203" t="s">
        <v>485</v>
      </c>
      <c r="D203" t="str">
        <f>IFERROR(VLOOKUP(ROWS($D$2:D203),$A$2:$B$1416,2,0),"")</f>
        <v>Richmond upon Thames</v>
      </c>
    </row>
    <row r="204" spans="1:4" x14ac:dyDescent="0.35">
      <c r="A204">
        <f>IF(ISNUMBER(SEARCH('PRP LA trend tool 2015-23'!$F$3,B204)),MAX($A$1:A203)+1,0)</f>
        <v>203</v>
      </c>
      <c r="B204" t="s">
        <v>487</v>
      </c>
      <c r="D204" t="str">
        <f>IFERROR(VLOOKUP(ROWS($D$2:D204),$A$2:$B$1416,2,0),"")</f>
        <v>Richmondshire</v>
      </c>
    </row>
    <row r="205" spans="1:4" x14ac:dyDescent="0.35">
      <c r="A205">
        <f>IF(ISNUMBER(SEARCH('PRP LA trend tool 2015-23'!$F$3,B205)),MAX($A$1:A204)+1,0)</f>
        <v>204</v>
      </c>
      <c r="B205" t="s">
        <v>489</v>
      </c>
      <c r="D205" t="str">
        <f>IFERROR(VLOOKUP(ROWS($D$2:D205),$A$2:$B$1416,2,0),"")</f>
        <v>Rochdale</v>
      </c>
    </row>
    <row r="206" spans="1:4" x14ac:dyDescent="0.35">
      <c r="A206">
        <f>IF(ISNUMBER(SEARCH('PRP LA trend tool 2015-23'!$F$3,B206)),MAX($A$1:A205)+1,0)</f>
        <v>205</v>
      </c>
      <c r="B206" t="s">
        <v>491</v>
      </c>
      <c r="D206" t="str">
        <f>IFERROR(VLOOKUP(ROWS($D$2:D206),$A$2:$B$1416,2,0),"")</f>
        <v>Rochford</v>
      </c>
    </row>
    <row r="207" spans="1:4" x14ac:dyDescent="0.35">
      <c r="A207">
        <f>IF(ISNUMBER(SEARCH('PRP LA trend tool 2015-23'!$F$3,B207)),MAX($A$1:A206)+1,0)</f>
        <v>206</v>
      </c>
      <c r="B207" t="s">
        <v>493</v>
      </c>
      <c r="D207" t="str">
        <f>IFERROR(VLOOKUP(ROWS($D$2:D207),$A$2:$B$1416,2,0),"")</f>
        <v>Rossendale</v>
      </c>
    </row>
    <row r="208" spans="1:4" x14ac:dyDescent="0.35">
      <c r="A208">
        <f>IF(ISNUMBER(SEARCH('PRP LA trend tool 2015-23'!$F$3,B208)),MAX($A$1:A207)+1,0)</f>
        <v>207</v>
      </c>
      <c r="B208" t="s">
        <v>495</v>
      </c>
      <c r="D208" t="str">
        <f>IFERROR(VLOOKUP(ROWS($D$2:D208),$A$2:$B$1416,2,0),"")</f>
        <v>Rother</v>
      </c>
    </row>
    <row r="209" spans="1:4" x14ac:dyDescent="0.35">
      <c r="A209">
        <f>IF(ISNUMBER(SEARCH('PRP LA trend tool 2015-23'!$F$3,B209)),MAX($A$1:A208)+1,0)</f>
        <v>208</v>
      </c>
      <c r="B209" t="s">
        <v>497</v>
      </c>
      <c r="D209" t="str">
        <f>IFERROR(VLOOKUP(ROWS($D$2:D209),$A$2:$B$1416,2,0),"")</f>
        <v>Rotherham</v>
      </c>
    </row>
    <row r="210" spans="1:4" x14ac:dyDescent="0.35">
      <c r="A210">
        <f>IF(ISNUMBER(SEARCH('PRP LA trend tool 2015-23'!$F$3,B210)),MAX($A$1:A209)+1,0)</f>
        <v>209</v>
      </c>
      <c r="B210" t="s">
        <v>499</v>
      </c>
      <c r="D210" t="str">
        <f>IFERROR(VLOOKUP(ROWS($D$2:D210),$A$2:$B$1416,2,0),"")</f>
        <v>Rugby</v>
      </c>
    </row>
    <row r="211" spans="1:4" x14ac:dyDescent="0.35">
      <c r="A211">
        <f>IF(ISNUMBER(SEARCH('PRP LA trend tool 2015-23'!$F$3,B211)),MAX($A$1:A210)+1,0)</f>
        <v>210</v>
      </c>
      <c r="B211" t="s">
        <v>501</v>
      </c>
      <c r="D211" t="str">
        <f>IFERROR(VLOOKUP(ROWS($D$2:D211),$A$2:$B$1416,2,0),"")</f>
        <v>Runnymede</v>
      </c>
    </row>
    <row r="212" spans="1:4" x14ac:dyDescent="0.35">
      <c r="A212">
        <f>IF(ISNUMBER(SEARCH('PRP LA trend tool 2015-23'!$F$3,B212)),MAX($A$1:A211)+1,0)</f>
        <v>211</v>
      </c>
      <c r="B212" t="s">
        <v>503</v>
      </c>
      <c r="D212" t="str">
        <f>IFERROR(VLOOKUP(ROWS($D$2:D212),$A$2:$B$1416,2,0),"")</f>
        <v>Rushcliffe</v>
      </c>
    </row>
    <row r="213" spans="1:4" x14ac:dyDescent="0.35">
      <c r="A213">
        <f>IF(ISNUMBER(SEARCH('PRP LA trend tool 2015-23'!$F$3,B213)),MAX($A$1:A212)+1,0)</f>
        <v>212</v>
      </c>
      <c r="B213" t="s">
        <v>505</v>
      </c>
      <c r="D213" t="str">
        <f>IFERROR(VLOOKUP(ROWS($D$2:D213),$A$2:$B$1416,2,0),"")</f>
        <v>Rushmoor</v>
      </c>
    </row>
    <row r="214" spans="1:4" x14ac:dyDescent="0.35">
      <c r="A214">
        <f>IF(ISNUMBER(SEARCH('PRP LA trend tool 2015-23'!$F$3,B214)),MAX($A$1:A213)+1,0)</f>
        <v>213</v>
      </c>
      <c r="B214" t="s">
        <v>507</v>
      </c>
      <c r="D214" t="str">
        <f>IFERROR(VLOOKUP(ROWS($D$2:D214),$A$2:$B$1416,2,0),"")</f>
        <v>Rutland</v>
      </c>
    </row>
    <row r="215" spans="1:4" x14ac:dyDescent="0.35">
      <c r="A215">
        <f>IF(ISNUMBER(SEARCH('PRP LA trend tool 2015-23'!$F$3,B215)),MAX($A$1:A214)+1,0)</f>
        <v>214</v>
      </c>
      <c r="B215" t="s">
        <v>509</v>
      </c>
      <c r="D215" t="str">
        <f>IFERROR(VLOOKUP(ROWS($D$2:D215),$A$2:$B$1416,2,0),"")</f>
        <v>Ryedale</v>
      </c>
    </row>
    <row r="216" spans="1:4" x14ac:dyDescent="0.35">
      <c r="A216">
        <f>IF(ISNUMBER(SEARCH('PRP LA trend tool 2015-23'!$F$3,B216)),MAX($A$1:A215)+1,0)</f>
        <v>215</v>
      </c>
      <c r="B216" t="s">
        <v>511</v>
      </c>
      <c r="D216" t="str">
        <f>IFERROR(VLOOKUP(ROWS($D$2:D216),$A$2:$B$1416,2,0),"")</f>
        <v>Salford</v>
      </c>
    </row>
    <row r="217" spans="1:4" x14ac:dyDescent="0.35">
      <c r="A217">
        <f>IF(ISNUMBER(SEARCH('PRP LA trend tool 2015-23'!$F$3,B217)),MAX($A$1:A216)+1,0)</f>
        <v>216</v>
      </c>
      <c r="B217" t="s">
        <v>513</v>
      </c>
      <c r="D217" t="str">
        <f>IFERROR(VLOOKUP(ROWS($D$2:D217),$A$2:$B$1416,2,0),"")</f>
        <v>Sandwell</v>
      </c>
    </row>
    <row r="218" spans="1:4" x14ac:dyDescent="0.35">
      <c r="A218">
        <f>IF(ISNUMBER(SEARCH('PRP LA trend tool 2015-23'!$F$3,B218)),MAX($A$1:A217)+1,0)</f>
        <v>217</v>
      </c>
      <c r="B218" t="s">
        <v>515</v>
      </c>
      <c r="D218" t="str">
        <f>IFERROR(VLOOKUP(ROWS($D$2:D218),$A$2:$B$1416,2,0),"")</f>
        <v>Scarborough</v>
      </c>
    </row>
    <row r="219" spans="1:4" x14ac:dyDescent="0.35">
      <c r="A219">
        <f>IF(ISNUMBER(SEARCH('PRP LA trend tool 2015-23'!$F$3,B219)),MAX($A$1:A218)+1,0)</f>
        <v>218</v>
      </c>
      <c r="B219" t="s">
        <v>517</v>
      </c>
      <c r="D219" t="str">
        <f>IFERROR(VLOOKUP(ROWS($D$2:D219),$A$2:$B$1416,2,0),"")</f>
        <v>Sedgemoor</v>
      </c>
    </row>
    <row r="220" spans="1:4" x14ac:dyDescent="0.35">
      <c r="A220">
        <f>IF(ISNUMBER(SEARCH('PRP LA trend tool 2015-23'!$F$3,B220)),MAX($A$1:A219)+1,0)</f>
        <v>219</v>
      </c>
      <c r="B220" t="s">
        <v>519</v>
      </c>
      <c r="D220" t="str">
        <f>IFERROR(VLOOKUP(ROWS($D$2:D220),$A$2:$B$1416,2,0),"")</f>
        <v>Sefton</v>
      </c>
    </row>
    <row r="221" spans="1:4" x14ac:dyDescent="0.35">
      <c r="A221">
        <f>IF(ISNUMBER(SEARCH('PRP LA trend tool 2015-23'!$F$3,B221)),MAX($A$1:A220)+1,0)</f>
        <v>220</v>
      </c>
      <c r="B221" t="s">
        <v>521</v>
      </c>
      <c r="D221" t="str">
        <f>IFERROR(VLOOKUP(ROWS($D$2:D221),$A$2:$B$1416,2,0),"")</f>
        <v>Selby</v>
      </c>
    </row>
    <row r="222" spans="1:4" x14ac:dyDescent="0.35">
      <c r="A222">
        <f>IF(ISNUMBER(SEARCH('PRP LA trend tool 2015-23'!$F$3,B222)),MAX($A$1:A221)+1,0)</f>
        <v>221</v>
      </c>
      <c r="B222" t="s">
        <v>523</v>
      </c>
      <c r="D222" t="str">
        <f>IFERROR(VLOOKUP(ROWS($D$2:D222),$A$2:$B$1416,2,0),"")</f>
        <v>Sevenoaks</v>
      </c>
    </row>
    <row r="223" spans="1:4" x14ac:dyDescent="0.35">
      <c r="A223">
        <f>IF(ISNUMBER(SEARCH('PRP LA trend tool 2015-23'!$F$3,B223)),MAX($A$1:A222)+1,0)</f>
        <v>222</v>
      </c>
      <c r="B223" t="s">
        <v>525</v>
      </c>
      <c r="D223" t="str">
        <f>IFERROR(VLOOKUP(ROWS($D$2:D223),$A$2:$B$1416,2,0),"")</f>
        <v>Sheffield</v>
      </c>
    </row>
    <row r="224" spans="1:4" x14ac:dyDescent="0.35">
      <c r="A224">
        <f>IF(ISNUMBER(SEARCH('PRP LA trend tool 2015-23'!$F$3,B224)),MAX($A$1:A223)+1,0)</f>
        <v>223</v>
      </c>
      <c r="B224" t="s">
        <v>527</v>
      </c>
      <c r="D224" t="str">
        <f>IFERROR(VLOOKUP(ROWS($D$2:D224),$A$2:$B$1416,2,0),"")</f>
        <v>Shropshire</v>
      </c>
    </row>
    <row r="225" spans="1:4" x14ac:dyDescent="0.35">
      <c r="A225">
        <f>IF(ISNUMBER(SEARCH('PRP LA trend tool 2015-23'!$F$3,B225)),MAX($A$1:A224)+1,0)</f>
        <v>224</v>
      </c>
      <c r="B225" t="s">
        <v>529</v>
      </c>
      <c r="D225" t="str">
        <f>IFERROR(VLOOKUP(ROWS($D$2:D225),$A$2:$B$1416,2,0),"")</f>
        <v>Slough</v>
      </c>
    </row>
    <row r="226" spans="1:4" x14ac:dyDescent="0.35">
      <c r="A226">
        <f>IF(ISNUMBER(SEARCH('PRP LA trend tool 2015-23'!$F$3,B226)),MAX($A$1:A225)+1,0)</f>
        <v>225</v>
      </c>
      <c r="B226" t="s">
        <v>531</v>
      </c>
      <c r="D226" t="str">
        <f>IFERROR(VLOOKUP(ROWS($D$2:D226),$A$2:$B$1416,2,0),"")</f>
        <v>Solihull</v>
      </c>
    </row>
    <row r="227" spans="1:4" x14ac:dyDescent="0.35">
      <c r="A227">
        <f>IF(ISNUMBER(SEARCH('PRP LA trend tool 2015-23'!$F$3,B227)),MAX($A$1:A226)+1,0)</f>
        <v>226</v>
      </c>
      <c r="B227" t="s">
        <v>533</v>
      </c>
      <c r="D227" t="str">
        <f>IFERROR(VLOOKUP(ROWS($D$2:D227),$A$2:$B$1416,2,0),"")</f>
        <v>Somerset West and Taunton</v>
      </c>
    </row>
    <row r="228" spans="1:4" x14ac:dyDescent="0.35">
      <c r="A228">
        <f>IF(ISNUMBER(SEARCH('PRP LA trend tool 2015-23'!$F$3,B228)),MAX($A$1:A227)+1,0)</f>
        <v>227</v>
      </c>
      <c r="B228" t="s">
        <v>535</v>
      </c>
      <c r="D228" t="str">
        <f>IFERROR(VLOOKUP(ROWS($D$2:D228),$A$2:$B$1416,2,0),"")</f>
        <v>South Cambridgeshire</v>
      </c>
    </row>
    <row r="229" spans="1:4" x14ac:dyDescent="0.35">
      <c r="A229">
        <f>IF(ISNUMBER(SEARCH('PRP LA trend tool 2015-23'!$F$3,B229)),MAX($A$1:A228)+1,0)</f>
        <v>228</v>
      </c>
      <c r="B229" t="s">
        <v>537</v>
      </c>
      <c r="D229" t="str">
        <f>IFERROR(VLOOKUP(ROWS($D$2:D229),$A$2:$B$1416,2,0),"")</f>
        <v>South Derbyshire</v>
      </c>
    </row>
    <row r="230" spans="1:4" x14ac:dyDescent="0.35">
      <c r="A230">
        <f>IF(ISNUMBER(SEARCH('PRP LA trend tool 2015-23'!$F$3,B230)),MAX($A$1:A229)+1,0)</f>
        <v>229</v>
      </c>
      <c r="B230" t="s">
        <v>539</v>
      </c>
      <c r="D230" t="str">
        <f>IFERROR(VLOOKUP(ROWS($D$2:D230),$A$2:$B$1416,2,0),"")</f>
        <v>South Gloucestershire</v>
      </c>
    </row>
    <row r="231" spans="1:4" x14ac:dyDescent="0.35">
      <c r="A231">
        <f>IF(ISNUMBER(SEARCH('PRP LA trend tool 2015-23'!$F$3,B231)),MAX($A$1:A230)+1,0)</f>
        <v>230</v>
      </c>
      <c r="B231" t="s">
        <v>541</v>
      </c>
      <c r="D231" t="str">
        <f>IFERROR(VLOOKUP(ROWS($D$2:D231),$A$2:$B$1416,2,0),"")</f>
        <v>South Hams</v>
      </c>
    </row>
    <row r="232" spans="1:4" x14ac:dyDescent="0.35">
      <c r="A232">
        <f>IF(ISNUMBER(SEARCH('PRP LA trend tool 2015-23'!$F$3,B232)),MAX($A$1:A231)+1,0)</f>
        <v>231</v>
      </c>
      <c r="B232" t="s">
        <v>543</v>
      </c>
      <c r="D232" t="str">
        <f>IFERROR(VLOOKUP(ROWS($D$2:D232),$A$2:$B$1416,2,0),"")</f>
        <v>South Holland</v>
      </c>
    </row>
    <row r="233" spans="1:4" x14ac:dyDescent="0.35">
      <c r="A233">
        <f>IF(ISNUMBER(SEARCH('PRP LA trend tool 2015-23'!$F$3,B233)),MAX($A$1:A232)+1,0)</f>
        <v>232</v>
      </c>
      <c r="B233" t="s">
        <v>545</v>
      </c>
      <c r="D233" t="str">
        <f>IFERROR(VLOOKUP(ROWS($D$2:D233),$A$2:$B$1416,2,0),"")</f>
        <v>South Kesteven</v>
      </c>
    </row>
    <row r="234" spans="1:4" x14ac:dyDescent="0.35">
      <c r="A234">
        <f>IF(ISNUMBER(SEARCH('PRP LA trend tool 2015-23'!$F$3,B234)),MAX($A$1:A233)+1,0)</f>
        <v>233</v>
      </c>
      <c r="B234" t="s">
        <v>547</v>
      </c>
      <c r="D234" t="str">
        <f>IFERROR(VLOOKUP(ROWS($D$2:D234),$A$2:$B$1416,2,0),"")</f>
        <v>South Lakeland</v>
      </c>
    </row>
    <row r="235" spans="1:4" x14ac:dyDescent="0.35">
      <c r="A235">
        <f>IF(ISNUMBER(SEARCH('PRP LA trend tool 2015-23'!$F$3,B235)),MAX($A$1:A234)+1,0)</f>
        <v>234</v>
      </c>
      <c r="B235" t="s">
        <v>549</v>
      </c>
      <c r="D235" t="str">
        <f>IFERROR(VLOOKUP(ROWS($D$2:D235),$A$2:$B$1416,2,0),"")</f>
        <v>South Norfolk</v>
      </c>
    </row>
    <row r="236" spans="1:4" x14ac:dyDescent="0.35">
      <c r="A236">
        <f>IF(ISNUMBER(SEARCH('PRP LA trend tool 2015-23'!$F$3,B236)),MAX($A$1:A235)+1,0)</f>
        <v>235</v>
      </c>
      <c r="B236" t="s">
        <v>551</v>
      </c>
      <c r="D236" t="str">
        <f>IFERROR(VLOOKUP(ROWS($D$2:D236),$A$2:$B$1416,2,0),"")</f>
        <v>South Oxfordshire</v>
      </c>
    </row>
    <row r="237" spans="1:4" x14ac:dyDescent="0.35">
      <c r="A237">
        <f>IF(ISNUMBER(SEARCH('PRP LA trend tool 2015-23'!$F$3,B237)),MAX($A$1:A236)+1,0)</f>
        <v>236</v>
      </c>
      <c r="B237" t="s">
        <v>553</v>
      </c>
      <c r="D237" t="str">
        <f>IFERROR(VLOOKUP(ROWS($D$2:D237),$A$2:$B$1416,2,0),"")</f>
        <v>South Ribble</v>
      </c>
    </row>
    <row r="238" spans="1:4" x14ac:dyDescent="0.35">
      <c r="A238">
        <f>IF(ISNUMBER(SEARCH('PRP LA trend tool 2015-23'!$F$3,B238)),MAX($A$1:A237)+1,0)</f>
        <v>237</v>
      </c>
      <c r="B238" t="s">
        <v>555</v>
      </c>
      <c r="D238" t="str">
        <f>IFERROR(VLOOKUP(ROWS($D$2:D238),$A$2:$B$1416,2,0),"")</f>
        <v>South Somerset</v>
      </c>
    </row>
    <row r="239" spans="1:4" x14ac:dyDescent="0.35">
      <c r="A239">
        <f>IF(ISNUMBER(SEARCH('PRP LA trend tool 2015-23'!$F$3,B239)),MAX($A$1:A238)+1,0)</f>
        <v>238</v>
      </c>
      <c r="B239" t="s">
        <v>557</v>
      </c>
      <c r="D239" t="str">
        <f>IFERROR(VLOOKUP(ROWS($D$2:D239),$A$2:$B$1416,2,0),"")</f>
        <v>South Staffordshire</v>
      </c>
    </row>
    <row r="240" spans="1:4" x14ac:dyDescent="0.35">
      <c r="A240">
        <f>IF(ISNUMBER(SEARCH('PRP LA trend tool 2015-23'!$F$3,B240)),MAX($A$1:A239)+1,0)</f>
        <v>239</v>
      </c>
      <c r="B240" t="s">
        <v>559</v>
      </c>
      <c r="D240" t="str">
        <f>IFERROR(VLOOKUP(ROWS($D$2:D240),$A$2:$B$1416,2,0),"")</f>
        <v>South Tyneside</v>
      </c>
    </row>
    <row r="241" spans="1:4" x14ac:dyDescent="0.35">
      <c r="A241">
        <f>IF(ISNUMBER(SEARCH('PRP LA trend tool 2015-23'!$F$3,B241)),MAX($A$1:A240)+1,0)</f>
        <v>240</v>
      </c>
      <c r="B241" t="s">
        <v>561</v>
      </c>
      <c r="D241" t="str">
        <f>IFERROR(VLOOKUP(ROWS($D$2:D241),$A$2:$B$1416,2,0),"")</f>
        <v>Southampton</v>
      </c>
    </row>
    <row r="242" spans="1:4" x14ac:dyDescent="0.35">
      <c r="A242">
        <f>IF(ISNUMBER(SEARCH('PRP LA trend tool 2015-23'!$F$3,B242)),MAX($A$1:A241)+1,0)</f>
        <v>241</v>
      </c>
      <c r="B242" t="s">
        <v>563</v>
      </c>
      <c r="D242" t="str">
        <f>IFERROR(VLOOKUP(ROWS($D$2:D242),$A$2:$B$1416,2,0),"")</f>
        <v>Southend-on-Sea</v>
      </c>
    </row>
    <row r="243" spans="1:4" x14ac:dyDescent="0.35">
      <c r="A243">
        <f>IF(ISNUMBER(SEARCH('PRP LA trend tool 2015-23'!$F$3,B243)),MAX($A$1:A242)+1,0)</f>
        <v>242</v>
      </c>
      <c r="B243" t="s">
        <v>565</v>
      </c>
      <c r="D243" t="str">
        <f>IFERROR(VLOOKUP(ROWS($D$2:D243),$A$2:$B$1416,2,0),"")</f>
        <v>Southwark</v>
      </c>
    </row>
    <row r="244" spans="1:4" x14ac:dyDescent="0.35">
      <c r="A244">
        <f>IF(ISNUMBER(SEARCH('PRP LA trend tool 2015-23'!$F$3,B244)),MAX($A$1:A243)+1,0)</f>
        <v>243</v>
      </c>
      <c r="B244" t="s">
        <v>567</v>
      </c>
      <c r="D244" t="str">
        <f>IFERROR(VLOOKUP(ROWS($D$2:D244),$A$2:$B$1416,2,0),"")</f>
        <v>Spelthorne</v>
      </c>
    </row>
    <row r="245" spans="1:4" x14ac:dyDescent="0.35">
      <c r="A245">
        <f>IF(ISNUMBER(SEARCH('PRP LA trend tool 2015-23'!$F$3,B245)),MAX($A$1:A244)+1,0)</f>
        <v>244</v>
      </c>
      <c r="B245" t="s">
        <v>569</v>
      </c>
      <c r="D245" t="str">
        <f>IFERROR(VLOOKUP(ROWS($D$2:D245),$A$2:$B$1416,2,0),"")</f>
        <v>St Albans</v>
      </c>
    </row>
    <row r="246" spans="1:4" x14ac:dyDescent="0.35">
      <c r="A246">
        <f>IF(ISNUMBER(SEARCH('PRP LA trend tool 2015-23'!$F$3,B246)),MAX($A$1:A245)+1,0)</f>
        <v>245</v>
      </c>
      <c r="B246" t="s">
        <v>571</v>
      </c>
      <c r="D246" t="str">
        <f>IFERROR(VLOOKUP(ROWS($D$2:D246),$A$2:$B$1416,2,0),"")</f>
        <v>St. Helens</v>
      </c>
    </row>
    <row r="247" spans="1:4" x14ac:dyDescent="0.35">
      <c r="A247">
        <f>IF(ISNUMBER(SEARCH('PRP LA trend tool 2015-23'!$F$3,B247)),MAX($A$1:A246)+1,0)</f>
        <v>246</v>
      </c>
      <c r="B247" t="s">
        <v>573</v>
      </c>
      <c r="D247" t="str">
        <f>IFERROR(VLOOKUP(ROWS($D$2:D247),$A$2:$B$1416,2,0),"")</f>
        <v>Stafford</v>
      </c>
    </row>
    <row r="248" spans="1:4" x14ac:dyDescent="0.35">
      <c r="A248">
        <f>IF(ISNUMBER(SEARCH('PRP LA trend tool 2015-23'!$F$3,B248)),MAX($A$1:A247)+1,0)</f>
        <v>247</v>
      </c>
      <c r="B248" t="s">
        <v>575</v>
      </c>
      <c r="D248" t="str">
        <f>IFERROR(VLOOKUP(ROWS($D$2:D248),$A$2:$B$1416,2,0),"")</f>
        <v>Staffordshire Moorlands</v>
      </c>
    </row>
    <row r="249" spans="1:4" x14ac:dyDescent="0.35">
      <c r="A249">
        <f>IF(ISNUMBER(SEARCH('PRP LA trend tool 2015-23'!$F$3,B249)),MAX($A$1:A248)+1,0)</f>
        <v>248</v>
      </c>
      <c r="B249" t="s">
        <v>577</v>
      </c>
      <c r="D249" t="str">
        <f>IFERROR(VLOOKUP(ROWS($D$2:D249),$A$2:$B$1416,2,0),"")</f>
        <v>Stevenage</v>
      </c>
    </row>
    <row r="250" spans="1:4" x14ac:dyDescent="0.35">
      <c r="A250">
        <f>IF(ISNUMBER(SEARCH('PRP LA trend tool 2015-23'!$F$3,B250)),MAX($A$1:A249)+1,0)</f>
        <v>249</v>
      </c>
      <c r="B250" t="s">
        <v>579</v>
      </c>
      <c r="D250" t="str">
        <f>IFERROR(VLOOKUP(ROWS($D$2:D250),$A$2:$B$1416,2,0),"")</f>
        <v>Stockport</v>
      </c>
    </row>
    <row r="251" spans="1:4" x14ac:dyDescent="0.35">
      <c r="A251">
        <f>IF(ISNUMBER(SEARCH('PRP LA trend tool 2015-23'!$F$3,B251)),MAX($A$1:A250)+1,0)</f>
        <v>250</v>
      </c>
      <c r="B251" t="s">
        <v>581</v>
      </c>
      <c r="D251" t="str">
        <f>IFERROR(VLOOKUP(ROWS($D$2:D251),$A$2:$B$1416,2,0),"")</f>
        <v>Stockton-on-Tees</v>
      </c>
    </row>
    <row r="252" spans="1:4" x14ac:dyDescent="0.35">
      <c r="A252">
        <f>IF(ISNUMBER(SEARCH('PRP LA trend tool 2015-23'!$F$3,B252)),MAX($A$1:A251)+1,0)</f>
        <v>251</v>
      </c>
      <c r="B252" t="s">
        <v>583</v>
      </c>
      <c r="D252" t="str">
        <f>IFERROR(VLOOKUP(ROWS($D$2:D252),$A$2:$B$1416,2,0),"")</f>
        <v>Stoke-on-Trent</v>
      </c>
    </row>
    <row r="253" spans="1:4" x14ac:dyDescent="0.35">
      <c r="A253">
        <f>IF(ISNUMBER(SEARCH('PRP LA trend tool 2015-23'!$F$3,B253)),MAX($A$1:A252)+1,0)</f>
        <v>252</v>
      </c>
      <c r="B253" t="s">
        <v>585</v>
      </c>
      <c r="D253" t="str">
        <f>IFERROR(VLOOKUP(ROWS($D$2:D253),$A$2:$B$1416,2,0),"")</f>
        <v>Stratford-on-Avon</v>
      </c>
    </row>
    <row r="254" spans="1:4" x14ac:dyDescent="0.35">
      <c r="A254">
        <f>IF(ISNUMBER(SEARCH('PRP LA trend tool 2015-23'!$F$3,B254)),MAX($A$1:A253)+1,0)</f>
        <v>253</v>
      </c>
      <c r="B254" t="s">
        <v>587</v>
      </c>
      <c r="D254" t="str">
        <f>IFERROR(VLOOKUP(ROWS($D$2:D254),$A$2:$B$1416,2,0),"")</f>
        <v>Stroud</v>
      </c>
    </row>
    <row r="255" spans="1:4" x14ac:dyDescent="0.35">
      <c r="A255">
        <f>IF(ISNUMBER(SEARCH('PRP LA trend tool 2015-23'!$F$3,B255)),MAX($A$1:A254)+1,0)</f>
        <v>254</v>
      </c>
      <c r="B255" t="s">
        <v>589</v>
      </c>
      <c r="D255" t="str">
        <f>IFERROR(VLOOKUP(ROWS($D$2:D255),$A$2:$B$1416,2,0),"")</f>
        <v>Sunderland</v>
      </c>
    </row>
    <row r="256" spans="1:4" x14ac:dyDescent="0.35">
      <c r="A256">
        <f>IF(ISNUMBER(SEARCH('PRP LA trend tool 2015-23'!$F$3,B256)),MAX($A$1:A255)+1,0)</f>
        <v>255</v>
      </c>
      <c r="B256" t="s">
        <v>591</v>
      </c>
      <c r="D256" t="str">
        <f>IFERROR(VLOOKUP(ROWS($D$2:D256),$A$2:$B$1416,2,0),"")</f>
        <v>Surrey Heath</v>
      </c>
    </row>
    <row r="257" spans="1:4" x14ac:dyDescent="0.35">
      <c r="A257">
        <f>IF(ISNUMBER(SEARCH('PRP LA trend tool 2015-23'!$F$3,B257)),MAX($A$1:A256)+1,0)</f>
        <v>256</v>
      </c>
      <c r="B257" t="s">
        <v>593</v>
      </c>
      <c r="D257" t="str">
        <f>IFERROR(VLOOKUP(ROWS($D$2:D257),$A$2:$B$1416,2,0),"")</f>
        <v>Sutton</v>
      </c>
    </row>
    <row r="258" spans="1:4" x14ac:dyDescent="0.35">
      <c r="A258">
        <f>IF(ISNUMBER(SEARCH('PRP LA trend tool 2015-23'!$F$3,B258)),MAX($A$1:A257)+1,0)</f>
        <v>257</v>
      </c>
      <c r="B258" t="s">
        <v>595</v>
      </c>
      <c r="D258" t="str">
        <f>IFERROR(VLOOKUP(ROWS($D$2:D258),$A$2:$B$1416,2,0),"")</f>
        <v>Swale</v>
      </c>
    </row>
    <row r="259" spans="1:4" x14ac:dyDescent="0.35">
      <c r="A259">
        <f>IF(ISNUMBER(SEARCH('PRP LA trend tool 2015-23'!$F$3,B259)),MAX($A$1:A258)+1,0)</f>
        <v>258</v>
      </c>
      <c r="B259" t="s">
        <v>597</v>
      </c>
      <c r="D259" t="str">
        <f>IFERROR(VLOOKUP(ROWS($D$2:D259),$A$2:$B$1416,2,0),"")</f>
        <v>Swindon</v>
      </c>
    </row>
    <row r="260" spans="1:4" x14ac:dyDescent="0.35">
      <c r="A260">
        <f>IF(ISNUMBER(SEARCH('PRP LA trend tool 2015-23'!$F$3,B260)),MAX($A$1:A259)+1,0)</f>
        <v>259</v>
      </c>
      <c r="B260" t="s">
        <v>599</v>
      </c>
      <c r="D260" t="str">
        <f>IFERROR(VLOOKUP(ROWS($D$2:D260),$A$2:$B$1416,2,0),"")</f>
        <v>Tameside</v>
      </c>
    </row>
    <row r="261" spans="1:4" x14ac:dyDescent="0.35">
      <c r="A261">
        <f>IF(ISNUMBER(SEARCH('PRP LA trend tool 2015-23'!$F$3,B261)),MAX($A$1:A260)+1,0)</f>
        <v>260</v>
      </c>
      <c r="B261" t="s">
        <v>601</v>
      </c>
      <c r="D261" t="str">
        <f>IFERROR(VLOOKUP(ROWS($D$2:D261),$A$2:$B$1416,2,0),"")</f>
        <v>Tamworth</v>
      </c>
    </row>
    <row r="262" spans="1:4" x14ac:dyDescent="0.35">
      <c r="A262">
        <f>IF(ISNUMBER(SEARCH('PRP LA trend tool 2015-23'!$F$3,B262)),MAX($A$1:A261)+1,0)</f>
        <v>261</v>
      </c>
      <c r="B262" t="s">
        <v>603</v>
      </c>
      <c r="D262" t="str">
        <f>IFERROR(VLOOKUP(ROWS($D$2:D262),$A$2:$B$1416,2,0),"")</f>
        <v>Tandridge</v>
      </c>
    </row>
    <row r="263" spans="1:4" x14ac:dyDescent="0.35">
      <c r="A263">
        <f>IF(ISNUMBER(SEARCH('PRP LA trend tool 2015-23'!$F$3,B263)),MAX($A$1:A262)+1,0)</f>
        <v>262</v>
      </c>
      <c r="B263" t="s">
        <v>605</v>
      </c>
      <c r="D263" t="str">
        <f>IFERROR(VLOOKUP(ROWS($D$2:D263),$A$2:$B$1416,2,0),"")</f>
        <v>Teignbridge</v>
      </c>
    </row>
    <row r="264" spans="1:4" x14ac:dyDescent="0.35">
      <c r="A264">
        <f>IF(ISNUMBER(SEARCH('PRP LA trend tool 2015-23'!$F$3,B264)),MAX($A$1:A263)+1,0)</f>
        <v>263</v>
      </c>
      <c r="B264" t="s">
        <v>607</v>
      </c>
      <c r="D264" t="str">
        <f>IFERROR(VLOOKUP(ROWS($D$2:D264),$A$2:$B$1416,2,0),"")</f>
        <v>Telford and Wrekin</v>
      </c>
    </row>
    <row r="265" spans="1:4" x14ac:dyDescent="0.35">
      <c r="A265">
        <f>IF(ISNUMBER(SEARCH('PRP LA trend tool 2015-23'!$F$3,B265)),MAX($A$1:A264)+1,0)</f>
        <v>264</v>
      </c>
      <c r="B265" t="s">
        <v>609</v>
      </c>
      <c r="D265" t="str">
        <f>IFERROR(VLOOKUP(ROWS($D$2:D265),$A$2:$B$1416,2,0),"")</f>
        <v>Tendring</v>
      </c>
    </row>
    <row r="266" spans="1:4" x14ac:dyDescent="0.35">
      <c r="A266">
        <f>IF(ISNUMBER(SEARCH('PRP LA trend tool 2015-23'!$F$3,B266)),MAX($A$1:A265)+1,0)</f>
        <v>265</v>
      </c>
      <c r="B266" t="s">
        <v>611</v>
      </c>
      <c r="D266" t="str">
        <f>IFERROR(VLOOKUP(ROWS($D$2:D266),$A$2:$B$1416,2,0),"")</f>
        <v>Test Valley</v>
      </c>
    </row>
    <row r="267" spans="1:4" x14ac:dyDescent="0.35">
      <c r="A267">
        <f>IF(ISNUMBER(SEARCH('PRP LA trend tool 2015-23'!$F$3,B267)),MAX($A$1:A266)+1,0)</f>
        <v>266</v>
      </c>
      <c r="B267" t="s">
        <v>613</v>
      </c>
      <c r="D267" t="str">
        <f>IFERROR(VLOOKUP(ROWS($D$2:D267),$A$2:$B$1416,2,0),"")</f>
        <v>Tewkesbury</v>
      </c>
    </row>
    <row r="268" spans="1:4" x14ac:dyDescent="0.35">
      <c r="A268">
        <f>IF(ISNUMBER(SEARCH('PRP LA trend tool 2015-23'!$F$3,B268)),MAX($A$1:A267)+1,0)</f>
        <v>267</v>
      </c>
      <c r="B268" t="s">
        <v>615</v>
      </c>
      <c r="D268" t="str">
        <f>IFERROR(VLOOKUP(ROWS($D$2:D268),$A$2:$B$1416,2,0),"")</f>
        <v>Thanet</v>
      </c>
    </row>
    <row r="269" spans="1:4" x14ac:dyDescent="0.35">
      <c r="A269">
        <f>IF(ISNUMBER(SEARCH('PRP LA trend tool 2015-23'!$F$3,B269)),MAX($A$1:A268)+1,0)</f>
        <v>268</v>
      </c>
      <c r="B269" t="s">
        <v>617</v>
      </c>
      <c r="D269" t="str">
        <f>IFERROR(VLOOKUP(ROWS($D$2:D269),$A$2:$B$1416,2,0),"")</f>
        <v>Three Rivers</v>
      </c>
    </row>
    <row r="270" spans="1:4" x14ac:dyDescent="0.35">
      <c r="A270">
        <f>IF(ISNUMBER(SEARCH('PRP LA trend tool 2015-23'!$F$3,B270)),MAX($A$1:A269)+1,0)</f>
        <v>269</v>
      </c>
      <c r="B270" t="s">
        <v>619</v>
      </c>
      <c r="D270" t="str">
        <f>IFERROR(VLOOKUP(ROWS($D$2:D270),$A$2:$B$1416,2,0),"")</f>
        <v>Thurrock</v>
      </c>
    </row>
    <row r="271" spans="1:4" x14ac:dyDescent="0.35">
      <c r="A271">
        <f>IF(ISNUMBER(SEARCH('PRP LA trend tool 2015-23'!$F$3,B271)),MAX($A$1:A270)+1,0)</f>
        <v>270</v>
      </c>
      <c r="B271" t="s">
        <v>621</v>
      </c>
      <c r="D271" t="str">
        <f>IFERROR(VLOOKUP(ROWS($D$2:D271),$A$2:$B$1416,2,0),"")</f>
        <v>Tonbridge and Malling</v>
      </c>
    </row>
    <row r="272" spans="1:4" x14ac:dyDescent="0.35">
      <c r="A272">
        <f>IF(ISNUMBER(SEARCH('PRP LA trend tool 2015-23'!$F$3,B272)),MAX($A$1:A271)+1,0)</f>
        <v>271</v>
      </c>
      <c r="B272" t="s">
        <v>623</v>
      </c>
      <c r="D272" t="str">
        <f>IFERROR(VLOOKUP(ROWS($D$2:D272),$A$2:$B$1416,2,0),"")</f>
        <v>Torbay</v>
      </c>
    </row>
    <row r="273" spans="1:4" x14ac:dyDescent="0.35">
      <c r="A273">
        <f>IF(ISNUMBER(SEARCH('PRP LA trend tool 2015-23'!$F$3,B273)),MAX($A$1:A272)+1,0)</f>
        <v>272</v>
      </c>
      <c r="B273" t="s">
        <v>625</v>
      </c>
      <c r="D273" t="str">
        <f>IFERROR(VLOOKUP(ROWS($D$2:D273),$A$2:$B$1416,2,0),"")</f>
        <v>Torridge</v>
      </c>
    </row>
    <row r="274" spans="1:4" x14ac:dyDescent="0.35">
      <c r="A274">
        <f>IF(ISNUMBER(SEARCH('PRP LA trend tool 2015-23'!$F$3,B274)),MAX($A$1:A273)+1,0)</f>
        <v>273</v>
      </c>
      <c r="B274" t="s">
        <v>627</v>
      </c>
      <c r="D274" t="str">
        <f>IFERROR(VLOOKUP(ROWS($D$2:D274),$A$2:$B$1416,2,0),"")</f>
        <v>Tower Hamlets</v>
      </c>
    </row>
    <row r="275" spans="1:4" x14ac:dyDescent="0.35">
      <c r="A275">
        <f>IF(ISNUMBER(SEARCH('PRP LA trend tool 2015-23'!$F$3,B275)),MAX($A$1:A274)+1,0)</f>
        <v>274</v>
      </c>
      <c r="B275" t="s">
        <v>629</v>
      </c>
      <c r="D275" t="str">
        <f>IFERROR(VLOOKUP(ROWS($D$2:D275),$A$2:$B$1416,2,0),"")</f>
        <v>Trafford</v>
      </c>
    </row>
    <row r="276" spans="1:4" x14ac:dyDescent="0.35">
      <c r="A276">
        <f>IF(ISNUMBER(SEARCH('PRP LA trend tool 2015-23'!$F$3,B276)),MAX($A$1:A275)+1,0)</f>
        <v>275</v>
      </c>
      <c r="B276" t="s">
        <v>631</v>
      </c>
      <c r="D276" t="str">
        <f>IFERROR(VLOOKUP(ROWS($D$2:D276),$A$2:$B$1416,2,0),"")</f>
        <v>Tunbridge Wells</v>
      </c>
    </row>
    <row r="277" spans="1:4" x14ac:dyDescent="0.35">
      <c r="A277">
        <f>IF(ISNUMBER(SEARCH('PRP LA trend tool 2015-23'!$F$3,B277)),MAX($A$1:A276)+1,0)</f>
        <v>276</v>
      </c>
      <c r="B277" t="s">
        <v>633</v>
      </c>
      <c r="D277" t="str">
        <f>IFERROR(VLOOKUP(ROWS($D$2:D277),$A$2:$B$1416,2,0),"")</f>
        <v>Uttlesford</v>
      </c>
    </row>
    <row r="278" spans="1:4" x14ac:dyDescent="0.35">
      <c r="A278">
        <f>IF(ISNUMBER(SEARCH('PRP LA trend tool 2015-23'!$F$3,B278)),MAX($A$1:A277)+1,0)</f>
        <v>277</v>
      </c>
      <c r="B278" t="s">
        <v>635</v>
      </c>
      <c r="D278" t="str">
        <f>IFERROR(VLOOKUP(ROWS($D$2:D278),$A$2:$B$1416,2,0),"")</f>
        <v>Vale of White Horse</v>
      </c>
    </row>
    <row r="279" spans="1:4" x14ac:dyDescent="0.35">
      <c r="A279">
        <f>IF(ISNUMBER(SEARCH('PRP LA trend tool 2015-23'!$F$3,B279)),MAX($A$1:A278)+1,0)</f>
        <v>278</v>
      </c>
      <c r="B279" t="s">
        <v>637</v>
      </c>
      <c r="D279" t="str">
        <f>IFERROR(VLOOKUP(ROWS($D$2:D279),$A$2:$B$1416,2,0),"")</f>
        <v>Wakefield</v>
      </c>
    </row>
    <row r="280" spans="1:4" x14ac:dyDescent="0.35">
      <c r="A280">
        <f>IF(ISNUMBER(SEARCH('PRP LA trend tool 2015-23'!$F$3,B280)),MAX($A$1:A279)+1,0)</f>
        <v>279</v>
      </c>
      <c r="B280" t="s">
        <v>639</v>
      </c>
      <c r="D280" t="str">
        <f>IFERROR(VLOOKUP(ROWS($D$2:D280),$A$2:$B$1416,2,0),"")</f>
        <v>Walsall</v>
      </c>
    </row>
    <row r="281" spans="1:4" x14ac:dyDescent="0.35">
      <c r="A281">
        <f>IF(ISNUMBER(SEARCH('PRP LA trend tool 2015-23'!$F$3,B281)),MAX($A$1:A280)+1,0)</f>
        <v>280</v>
      </c>
      <c r="B281" t="s">
        <v>641</v>
      </c>
      <c r="D281" t="str">
        <f>IFERROR(VLOOKUP(ROWS($D$2:D281),$A$2:$B$1416,2,0),"")</f>
        <v>Waltham Forest</v>
      </c>
    </row>
    <row r="282" spans="1:4" x14ac:dyDescent="0.35">
      <c r="A282">
        <f>IF(ISNUMBER(SEARCH('PRP LA trend tool 2015-23'!$F$3,B282)),MAX($A$1:A281)+1,0)</f>
        <v>281</v>
      </c>
      <c r="B282" t="s">
        <v>643</v>
      </c>
      <c r="D282" t="str">
        <f>IFERROR(VLOOKUP(ROWS($D$2:D282),$A$2:$B$1416,2,0),"")</f>
        <v>Wandsworth</v>
      </c>
    </row>
    <row r="283" spans="1:4" x14ac:dyDescent="0.35">
      <c r="A283">
        <f>IF(ISNUMBER(SEARCH('PRP LA trend tool 2015-23'!$F$3,B283)),MAX($A$1:A282)+1,0)</f>
        <v>282</v>
      </c>
      <c r="B283" t="s">
        <v>645</v>
      </c>
      <c r="D283" t="str">
        <f>IFERROR(VLOOKUP(ROWS($D$2:D283),$A$2:$B$1416,2,0),"")</f>
        <v>Warrington</v>
      </c>
    </row>
    <row r="284" spans="1:4" x14ac:dyDescent="0.35">
      <c r="A284">
        <f>IF(ISNUMBER(SEARCH('PRP LA trend tool 2015-23'!$F$3,B284)),MAX($A$1:A283)+1,0)</f>
        <v>283</v>
      </c>
      <c r="B284" t="s">
        <v>647</v>
      </c>
      <c r="D284" t="str">
        <f>IFERROR(VLOOKUP(ROWS($D$2:D284),$A$2:$B$1416,2,0),"")</f>
        <v>Warwick</v>
      </c>
    </row>
    <row r="285" spans="1:4" x14ac:dyDescent="0.35">
      <c r="A285">
        <f>IF(ISNUMBER(SEARCH('PRP LA trend tool 2015-23'!$F$3,B285)),MAX($A$1:A284)+1,0)</f>
        <v>284</v>
      </c>
      <c r="B285" t="s">
        <v>649</v>
      </c>
      <c r="D285" t="str">
        <f>IFERROR(VLOOKUP(ROWS($D$2:D285),$A$2:$B$1416,2,0),"")</f>
        <v>Watford</v>
      </c>
    </row>
    <row r="286" spans="1:4" x14ac:dyDescent="0.35">
      <c r="A286">
        <f>IF(ISNUMBER(SEARCH('PRP LA trend tool 2015-23'!$F$3,B286)),MAX($A$1:A285)+1,0)</f>
        <v>285</v>
      </c>
      <c r="B286" t="s">
        <v>651</v>
      </c>
      <c r="D286" t="str">
        <f>IFERROR(VLOOKUP(ROWS($D$2:D286),$A$2:$B$1416,2,0),"")</f>
        <v>Waverley</v>
      </c>
    </row>
    <row r="287" spans="1:4" x14ac:dyDescent="0.35">
      <c r="A287">
        <f>IF(ISNUMBER(SEARCH('PRP LA trend tool 2015-23'!$F$3,B287)),MAX($A$1:A286)+1,0)</f>
        <v>286</v>
      </c>
      <c r="B287" t="s">
        <v>653</v>
      </c>
      <c r="D287" t="str">
        <f>IFERROR(VLOOKUP(ROWS($D$2:D287),$A$2:$B$1416,2,0),"")</f>
        <v>Wealden</v>
      </c>
    </row>
    <row r="288" spans="1:4" x14ac:dyDescent="0.35">
      <c r="A288">
        <f>IF(ISNUMBER(SEARCH('PRP LA trend tool 2015-23'!$F$3,B288)),MAX($A$1:A287)+1,0)</f>
        <v>287</v>
      </c>
      <c r="B288" t="s">
        <v>655</v>
      </c>
      <c r="D288" t="str">
        <f>IFERROR(VLOOKUP(ROWS($D$2:D288),$A$2:$B$1416,2,0),"")</f>
        <v>Welwyn Hatfield</v>
      </c>
    </row>
    <row r="289" spans="1:4" x14ac:dyDescent="0.35">
      <c r="A289">
        <f>IF(ISNUMBER(SEARCH('PRP LA trend tool 2015-23'!$F$3,B289)),MAX($A$1:A288)+1,0)</f>
        <v>288</v>
      </c>
      <c r="B289" t="s">
        <v>657</v>
      </c>
      <c r="D289" t="str">
        <f>IFERROR(VLOOKUP(ROWS($D$2:D289),$A$2:$B$1416,2,0),"")</f>
        <v>West Berkshire</v>
      </c>
    </row>
    <row r="290" spans="1:4" x14ac:dyDescent="0.35">
      <c r="A290">
        <f>IF(ISNUMBER(SEARCH('PRP LA trend tool 2015-23'!$F$3,B290)),MAX($A$1:A289)+1,0)</f>
        <v>289</v>
      </c>
      <c r="B290" t="s">
        <v>659</v>
      </c>
      <c r="D290" t="str">
        <f>IFERROR(VLOOKUP(ROWS($D$2:D290),$A$2:$B$1416,2,0),"")</f>
        <v>West Devon</v>
      </c>
    </row>
    <row r="291" spans="1:4" x14ac:dyDescent="0.35">
      <c r="A291">
        <f>IF(ISNUMBER(SEARCH('PRP LA trend tool 2015-23'!$F$3,B291)),MAX($A$1:A290)+1,0)</f>
        <v>290</v>
      </c>
      <c r="B291" t="s">
        <v>661</v>
      </c>
      <c r="D291" t="str">
        <f>IFERROR(VLOOKUP(ROWS($D$2:D291),$A$2:$B$1416,2,0),"")</f>
        <v>West Lancashire</v>
      </c>
    </row>
    <row r="292" spans="1:4" x14ac:dyDescent="0.35">
      <c r="A292">
        <f>IF(ISNUMBER(SEARCH('PRP LA trend tool 2015-23'!$F$3,B292)),MAX($A$1:A291)+1,0)</f>
        <v>291</v>
      </c>
      <c r="B292" t="s">
        <v>663</v>
      </c>
      <c r="D292" t="str">
        <f>IFERROR(VLOOKUP(ROWS($D$2:D292),$A$2:$B$1416,2,0),"")</f>
        <v>West Lindsey</v>
      </c>
    </row>
    <row r="293" spans="1:4" x14ac:dyDescent="0.35">
      <c r="A293">
        <f>IF(ISNUMBER(SEARCH('PRP LA trend tool 2015-23'!$F$3,B293)),MAX($A$1:A292)+1,0)</f>
        <v>292</v>
      </c>
      <c r="B293" t="s">
        <v>798</v>
      </c>
      <c r="D293" t="str">
        <f>IFERROR(VLOOKUP(ROWS($D$2:D293),$A$2:$B$1416,2,0),"")</f>
        <v>West Northamptonshire</v>
      </c>
    </row>
    <row r="294" spans="1:4" x14ac:dyDescent="0.35">
      <c r="A294">
        <f>IF(ISNUMBER(SEARCH('PRP LA trend tool 2015-23'!$F$3,B294)),MAX($A$1:A293)+1,0)</f>
        <v>293</v>
      </c>
      <c r="B294" t="s">
        <v>665</v>
      </c>
      <c r="D294" t="str">
        <f>IFERROR(VLOOKUP(ROWS($D$2:D294),$A$2:$B$1416,2,0),"")</f>
        <v>West Oxfordshire</v>
      </c>
    </row>
    <row r="295" spans="1:4" x14ac:dyDescent="0.35">
      <c r="A295">
        <f>IF(ISNUMBER(SEARCH('PRP LA trend tool 2015-23'!$F$3,B295)),MAX($A$1:A294)+1,0)</f>
        <v>294</v>
      </c>
      <c r="B295" t="s">
        <v>667</v>
      </c>
      <c r="D295" t="str">
        <f>IFERROR(VLOOKUP(ROWS($D$2:D295),$A$2:$B$1416,2,0),"")</f>
        <v>West Suffolk</v>
      </c>
    </row>
    <row r="296" spans="1:4" x14ac:dyDescent="0.35">
      <c r="A296">
        <f>IF(ISNUMBER(SEARCH('PRP LA trend tool 2015-23'!$F$3,B296)),MAX($A$1:A295)+1,0)</f>
        <v>295</v>
      </c>
      <c r="B296" t="s">
        <v>669</v>
      </c>
      <c r="D296" t="str">
        <f>IFERROR(VLOOKUP(ROWS($D$2:D296),$A$2:$B$1416,2,0),"")</f>
        <v>Westminster</v>
      </c>
    </row>
    <row r="297" spans="1:4" x14ac:dyDescent="0.35">
      <c r="A297">
        <f>IF(ISNUMBER(SEARCH('PRP LA trend tool 2015-23'!$F$3,B297)),MAX($A$1:A296)+1,0)</f>
        <v>296</v>
      </c>
      <c r="B297" t="s">
        <v>671</v>
      </c>
      <c r="D297" t="str">
        <f>IFERROR(VLOOKUP(ROWS($D$2:D297),$A$2:$B$1416,2,0),"")</f>
        <v>Wigan</v>
      </c>
    </row>
    <row r="298" spans="1:4" x14ac:dyDescent="0.35">
      <c r="A298">
        <f>IF(ISNUMBER(SEARCH('PRP LA trend tool 2015-23'!$F$3,B298)),MAX($A$1:A297)+1,0)</f>
        <v>297</v>
      </c>
      <c r="B298" t="s">
        <v>673</v>
      </c>
      <c r="D298" t="str">
        <f>IFERROR(VLOOKUP(ROWS($D$2:D298),$A$2:$B$1416,2,0),"")</f>
        <v>Wiltshire</v>
      </c>
    </row>
    <row r="299" spans="1:4" x14ac:dyDescent="0.35">
      <c r="A299">
        <f>IF(ISNUMBER(SEARCH('PRP LA trend tool 2015-23'!$F$3,B299)),MAX($A$1:A298)+1,0)</f>
        <v>298</v>
      </c>
      <c r="B299" t="s">
        <v>675</v>
      </c>
      <c r="D299" t="str">
        <f>IFERROR(VLOOKUP(ROWS($D$2:D299),$A$2:$B$1416,2,0),"")</f>
        <v>Winchester</v>
      </c>
    </row>
    <row r="300" spans="1:4" x14ac:dyDescent="0.35">
      <c r="A300">
        <f>IF(ISNUMBER(SEARCH('PRP LA trend tool 2015-23'!$F$3,B300)),MAX($A$1:A299)+1,0)</f>
        <v>299</v>
      </c>
      <c r="B300" t="s">
        <v>677</v>
      </c>
      <c r="D300" t="str">
        <f>IFERROR(VLOOKUP(ROWS($D$2:D300),$A$2:$B$1416,2,0),"")</f>
        <v>Windsor and Maidenhead</v>
      </c>
    </row>
    <row r="301" spans="1:4" x14ac:dyDescent="0.35">
      <c r="A301">
        <f>IF(ISNUMBER(SEARCH('PRP LA trend tool 2015-23'!$F$3,B301)),MAX($A$1:A300)+1,0)</f>
        <v>300</v>
      </c>
      <c r="B301" t="s">
        <v>679</v>
      </c>
      <c r="D301" t="str">
        <f>IFERROR(VLOOKUP(ROWS($D$2:D301),$A$2:$B$1416,2,0),"")</f>
        <v>Wirral</v>
      </c>
    </row>
    <row r="302" spans="1:4" x14ac:dyDescent="0.35">
      <c r="A302">
        <f>IF(ISNUMBER(SEARCH('PRP LA trend tool 2015-23'!$F$3,B302)),MAX($A$1:A301)+1,0)</f>
        <v>301</v>
      </c>
      <c r="B302" t="s">
        <v>681</v>
      </c>
      <c r="D302" t="str">
        <f>IFERROR(VLOOKUP(ROWS($D$2:D302),$A$2:$B$1416,2,0),"")</f>
        <v>Woking</v>
      </c>
    </row>
    <row r="303" spans="1:4" x14ac:dyDescent="0.35">
      <c r="A303">
        <f>IF(ISNUMBER(SEARCH('PRP LA trend tool 2015-23'!$F$3,B303)),MAX($A$1:A302)+1,0)</f>
        <v>302</v>
      </c>
      <c r="B303" t="s">
        <v>683</v>
      </c>
      <c r="D303" t="str">
        <f>IFERROR(VLOOKUP(ROWS($D$2:D303),$A$2:$B$1416,2,0),"")</f>
        <v>Wokingham</v>
      </c>
    </row>
    <row r="304" spans="1:4" x14ac:dyDescent="0.35">
      <c r="A304">
        <f>IF(ISNUMBER(SEARCH('PRP LA trend tool 2015-23'!$F$3,B304)),MAX($A$1:A303)+1,0)</f>
        <v>303</v>
      </c>
      <c r="B304" t="s">
        <v>685</v>
      </c>
      <c r="D304" t="str">
        <f>IFERROR(VLOOKUP(ROWS($D$2:D304),$A$2:$B$1416,2,0),"")</f>
        <v>Wolverhampton</v>
      </c>
    </row>
    <row r="305" spans="1:4" x14ac:dyDescent="0.35">
      <c r="A305">
        <f>IF(ISNUMBER(SEARCH('PRP LA trend tool 2015-23'!$F$3,B305)),MAX($A$1:A304)+1,0)</f>
        <v>304</v>
      </c>
      <c r="B305" t="s">
        <v>687</v>
      </c>
      <c r="D305" t="str">
        <f>IFERROR(VLOOKUP(ROWS($D$2:D305),$A$2:$B$1416,2,0),"")</f>
        <v>Worcester</v>
      </c>
    </row>
    <row r="306" spans="1:4" x14ac:dyDescent="0.35">
      <c r="A306">
        <f>IF(ISNUMBER(SEARCH('PRP LA trend tool 2015-23'!$F$3,B306)),MAX($A$1:A305)+1,0)</f>
        <v>305</v>
      </c>
      <c r="B306" t="s">
        <v>689</v>
      </c>
      <c r="D306" t="str">
        <f>IFERROR(VLOOKUP(ROWS($D$2:D306),$A$2:$B$1416,2,0),"")</f>
        <v>Worthing</v>
      </c>
    </row>
    <row r="307" spans="1:4" x14ac:dyDescent="0.35">
      <c r="A307">
        <f>IF(ISNUMBER(SEARCH('PRP LA trend tool 2015-23'!$F$3,B307)),MAX($A$1:A306)+1,0)</f>
        <v>306</v>
      </c>
      <c r="B307" t="s">
        <v>691</v>
      </c>
      <c r="D307" t="str">
        <f>IFERROR(VLOOKUP(ROWS($D$2:D307),$A$2:$B$1416,2,0),"")</f>
        <v>Wychavon</v>
      </c>
    </row>
    <row r="308" spans="1:4" x14ac:dyDescent="0.35">
      <c r="A308">
        <f>IF(ISNUMBER(SEARCH('PRP LA trend tool 2015-23'!$F$3,B308)),MAX($A$1:A307)+1,0)</f>
        <v>307</v>
      </c>
      <c r="B308" t="s">
        <v>693</v>
      </c>
      <c r="D308" t="str">
        <f>IFERROR(VLOOKUP(ROWS($D$2:D308),$A$2:$B$1416,2,0),"")</f>
        <v>Wyre</v>
      </c>
    </row>
    <row r="309" spans="1:4" x14ac:dyDescent="0.35">
      <c r="A309">
        <f>IF(ISNUMBER(SEARCH('PRP LA trend tool 2015-23'!$F$3,B309)),MAX($A$1:A308)+1,0)</f>
        <v>308</v>
      </c>
      <c r="B309" t="s">
        <v>695</v>
      </c>
      <c r="D309" t="str">
        <f>IFERROR(VLOOKUP(ROWS($D$2:D309),$A$2:$B$1416,2,0),"")</f>
        <v>Wyre Forest</v>
      </c>
    </row>
    <row r="310" spans="1:4" x14ac:dyDescent="0.35">
      <c r="A310">
        <f>IF(ISNUMBER(SEARCH('PRP LA trend tool 2015-23'!$F$3,B310)),MAX($A$1:A309)+1,0)</f>
        <v>309</v>
      </c>
      <c r="B310" t="s">
        <v>697</v>
      </c>
      <c r="D310" t="str">
        <f>IFERROR(VLOOKUP(ROWS($D$2:D310),$A$2:$B$1416,2,0),"")</f>
        <v>York</v>
      </c>
    </row>
  </sheetData>
  <pageMargins left="0.7" right="0.7" top="0.75" bottom="0.75" header="0.3" footer="0.3"/>
  <pageSetup paperSize="9" orientation="portrait" r:id="rId1"/>
  <headerFooter>
    <oddFooter>&amp;C&amp;1#&amp;"Calibri"&amp;12&amp;K0078D7OFFICIAL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D9C48-35FA-431D-9C0D-86AFC225CC93}">
  <sheetPr codeName="Sheet9">
    <tabColor rgb="FF59468D"/>
  </sheetPr>
  <dimension ref="A1:D73"/>
  <sheetViews>
    <sheetView zoomScaleNormal="100" workbookViewId="0">
      <selection activeCell="B8" sqref="B8"/>
    </sheetView>
  </sheetViews>
  <sheetFormatPr defaultColWidth="0" defaultRowHeight="12.75" customHeight="1" zeroHeight="1" x14ac:dyDescent="0.35"/>
  <cols>
    <col min="1" max="1" width="9.1796875" style="169" customWidth="1"/>
    <col min="2" max="2" width="124.7265625" style="169" customWidth="1"/>
    <col min="3" max="3" width="12.1796875" style="169" customWidth="1"/>
    <col min="4" max="4" width="4.26953125" style="169" customWidth="1"/>
    <col min="5" max="16384" width="9.1796875" hidden="1"/>
  </cols>
  <sheetData>
    <row r="1" spans="1:3" ht="23.25" customHeight="1" x14ac:dyDescent="0.35"/>
    <row r="2" spans="1:3" ht="23.25" customHeight="1" x14ac:dyDescent="0.6">
      <c r="C2" s="261" t="s">
        <v>803</v>
      </c>
    </row>
    <row r="3" spans="1:3" ht="23.25" customHeight="1" x14ac:dyDescent="0.5">
      <c r="A3" s="262"/>
    </row>
    <row r="4" spans="1:3" ht="23.25" customHeight="1" x14ac:dyDescent="0.5">
      <c r="A4" s="262"/>
    </row>
    <row r="5" spans="1:3" ht="23.25" customHeight="1" x14ac:dyDescent="0.35"/>
    <row r="6" spans="1:3" ht="23" x14ac:dyDescent="0.5">
      <c r="B6" s="263" t="s">
        <v>719</v>
      </c>
    </row>
    <row r="7" spans="1:3" ht="23" x14ac:dyDescent="0.5">
      <c r="B7" s="263"/>
    </row>
    <row r="8" spans="1:3" ht="62" x14ac:dyDescent="0.35">
      <c r="B8" s="264" t="s">
        <v>812</v>
      </c>
    </row>
    <row r="9" spans="1:3" ht="14.5" x14ac:dyDescent="0.35">
      <c r="B9" s="265"/>
    </row>
    <row r="10" spans="1:3" ht="14.5" x14ac:dyDescent="0.35">
      <c r="B10" s="265"/>
    </row>
    <row r="11" spans="1:3" ht="15.5" x14ac:dyDescent="0.35">
      <c r="B11" s="266" t="s">
        <v>731</v>
      </c>
    </row>
    <row r="12" spans="1:3" ht="79.5" customHeight="1" x14ac:dyDescent="0.35">
      <c r="B12" s="267" t="s">
        <v>732</v>
      </c>
    </row>
    <row r="13" spans="1:3" ht="15.5" x14ac:dyDescent="0.35">
      <c r="B13" s="267"/>
    </row>
    <row r="14" spans="1:3" ht="15.5" x14ac:dyDescent="0.35">
      <c r="B14" s="266" t="s">
        <v>779</v>
      </c>
    </row>
    <row r="15" spans="1:3" ht="15.5" x14ac:dyDescent="0.35">
      <c r="B15" s="267" t="s">
        <v>780</v>
      </c>
    </row>
    <row r="16" spans="1:3" ht="15.5" x14ac:dyDescent="0.35">
      <c r="B16" s="267"/>
    </row>
    <row r="17" spans="2:2" ht="15.5" x14ac:dyDescent="0.35">
      <c r="B17" s="266" t="s">
        <v>784</v>
      </c>
    </row>
    <row r="18" spans="2:2" ht="31" x14ac:dyDescent="0.35">
      <c r="B18" s="267" t="s">
        <v>783</v>
      </c>
    </row>
    <row r="19" spans="2:2" ht="15.5" x14ac:dyDescent="0.35">
      <c r="B19" s="267"/>
    </row>
    <row r="20" spans="2:2" ht="15.5" x14ac:dyDescent="0.35">
      <c r="B20" s="266" t="s">
        <v>733</v>
      </c>
    </row>
    <row r="21" spans="2:2" ht="31" customHeight="1" x14ac:dyDescent="0.35">
      <c r="B21" s="267" t="s">
        <v>734</v>
      </c>
    </row>
    <row r="22" spans="2:2" ht="15.5" x14ac:dyDescent="0.35">
      <c r="B22" s="267"/>
    </row>
    <row r="23" spans="2:2" ht="15.5" x14ac:dyDescent="0.35">
      <c r="B23" s="266" t="s">
        <v>24</v>
      </c>
    </row>
    <row r="24" spans="2:2" ht="15.5" x14ac:dyDescent="0.35">
      <c r="B24" s="267" t="s">
        <v>735</v>
      </c>
    </row>
    <row r="25" spans="2:2" ht="15.5" x14ac:dyDescent="0.35">
      <c r="B25" s="267"/>
    </row>
    <row r="26" spans="2:2" ht="15.5" x14ac:dyDescent="0.35">
      <c r="B26" s="266" t="s">
        <v>736</v>
      </c>
    </row>
    <row r="27" spans="2:2" ht="15.5" x14ac:dyDescent="0.35">
      <c r="B27" s="267" t="s">
        <v>781</v>
      </c>
    </row>
    <row r="28" spans="2:2" ht="15.5" x14ac:dyDescent="0.35">
      <c r="B28" s="267"/>
    </row>
    <row r="29" spans="2:2" ht="15.5" x14ac:dyDescent="0.35">
      <c r="B29" s="266" t="s">
        <v>737</v>
      </c>
    </row>
    <row r="30" spans="2:2" ht="31" x14ac:dyDescent="0.35">
      <c r="B30" s="267" t="s">
        <v>738</v>
      </c>
    </row>
    <row r="31" spans="2:2" ht="15.5" x14ac:dyDescent="0.35">
      <c r="B31" s="267"/>
    </row>
    <row r="32" spans="2:2" ht="15.5" x14ac:dyDescent="0.35">
      <c r="B32" s="266" t="s">
        <v>739</v>
      </c>
    </row>
    <row r="33" spans="2:2" ht="62" x14ac:dyDescent="0.35">
      <c r="B33" s="267" t="s">
        <v>790</v>
      </c>
    </row>
    <row r="34" spans="2:2" ht="15.5" x14ac:dyDescent="0.35">
      <c r="B34" s="267"/>
    </row>
    <row r="35" spans="2:2" ht="15.5" x14ac:dyDescent="0.35">
      <c r="B35" s="266" t="s">
        <v>11</v>
      </c>
    </row>
    <row r="36" spans="2:2" ht="46.5" x14ac:dyDescent="0.35">
      <c r="B36" s="267" t="s">
        <v>740</v>
      </c>
    </row>
    <row r="37" spans="2:2" ht="62" x14ac:dyDescent="0.35">
      <c r="B37" s="267" t="s">
        <v>741</v>
      </c>
    </row>
    <row r="38" spans="2:2" ht="31" x14ac:dyDescent="0.35">
      <c r="B38" s="267" t="s">
        <v>742</v>
      </c>
    </row>
    <row r="39" spans="2:2" ht="15.5" x14ac:dyDescent="0.35">
      <c r="B39" s="267"/>
    </row>
    <row r="40" spans="2:2" ht="15.5" x14ac:dyDescent="0.35">
      <c r="B40" s="266" t="s">
        <v>7</v>
      </c>
    </row>
    <row r="41" spans="2:2" ht="62" x14ac:dyDescent="0.35">
      <c r="B41" s="267" t="s">
        <v>743</v>
      </c>
    </row>
    <row r="42" spans="2:2" ht="15.5" x14ac:dyDescent="0.35">
      <c r="B42" s="267"/>
    </row>
    <row r="43" spans="2:2" ht="15.5" x14ac:dyDescent="0.35">
      <c r="B43" s="266" t="s">
        <v>18</v>
      </c>
    </row>
    <row r="44" spans="2:2" ht="15.5" x14ac:dyDescent="0.35">
      <c r="B44" s="267" t="s">
        <v>744</v>
      </c>
    </row>
    <row r="45" spans="2:2" ht="15.5" x14ac:dyDescent="0.35">
      <c r="B45" s="267"/>
    </row>
    <row r="46" spans="2:2" ht="15.5" x14ac:dyDescent="0.35">
      <c r="B46" s="266" t="s">
        <v>745</v>
      </c>
    </row>
    <row r="47" spans="2:2" ht="46.5" x14ac:dyDescent="0.35">
      <c r="B47" s="267" t="s">
        <v>746</v>
      </c>
    </row>
    <row r="48" spans="2:2" ht="15.5" x14ac:dyDescent="0.35">
      <c r="B48" s="267"/>
    </row>
    <row r="49" spans="2:2" ht="15.5" x14ac:dyDescent="0.35">
      <c r="B49" s="266" t="s">
        <v>747</v>
      </c>
    </row>
    <row r="50" spans="2:2" ht="31" x14ac:dyDescent="0.35">
      <c r="B50" s="267" t="s">
        <v>748</v>
      </c>
    </row>
    <row r="51" spans="2:2" ht="15.5" x14ac:dyDescent="0.35">
      <c r="B51" s="267"/>
    </row>
    <row r="52" spans="2:2" ht="15.5" x14ac:dyDescent="0.35">
      <c r="B52" s="266" t="s">
        <v>749</v>
      </c>
    </row>
    <row r="53" spans="2:2" ht="31" x14ac:dyDescent="0.35">
      <c r="B53" s="267" t="s">
        <v>787</v>
      </c>
    </row>
    <row r="54" spans="2:2" ht="15.5" x14ac:dyDescent="0.35">
      <c r="B54" s="267"/>
    </row>
    <row r="55" spans="2:2" ht="15.5" x14ac:dyDescent="0.35">
      <c r="B55" s="266" t="s">
        <v>750</v>
      </c>
    </row>
    <row r="56" spans="2:2" ht="77.5" x14ac:dyDescent="0.35">
      <c r="B56" s="267" t="s">
        <v>751</v>
      </c>
    </row>
    <row r="57" spans="2:2" ht="15.5" x14ac:dyDescent="0.35">
      <c r="B57" s="267"/>
    </row>
    <row r="58" spans="2:2" ht="15.5" x14ac:dyDescent="0.35">
      <c r="B58" s="266" t="s">
        <v>752</v>
      </c>
    </row>
    <row r="59" spans="2:2" ht="60.75" customHeight="1" x14ac:dyDescent="0.35">
      <c r="B59" s="267" t="s">
        <v>753</v>
      </c>
    </row>
    <row r="60" spans="2:2" ht="15.5" x14ac:dyDescent="0.35">
      <c r="B60" s="267"/>
    </row>
    <row r="61" spans="2:2" ht="15.5" x14ac:dyDescent="0.35">
      <c r="B61" s="266" t="s">
        <v>754</v>
      </c>
    </row>
    <row r="62" spans="2:2" ht="15.5" x14ac:dyDescent="0.35">
      <c r="B62" s="267" t="s">
        <v>755</v>
      </c>
    </row>
    <row r="63" spans="2:2" ht="15.5" x14ac:dyDescent="0.35">
      <c r="B63" s="267"/>
    </row>
    <row r="64" spans="2:2" ht="15.5" x14ac:dyDescent="0.35">
      <c r="B64" s="266" t="s">
        <v>756</v>
      </c>
    </row>
    <row r="65" spans="2:2" ht="31" x14ac:dyDescent="0.35">
      <c r="B65" s="267" t="s">
        <v>757</v>
      </c>
    </row>
    <row r="66" spans="2:2" ht="15.5" x14ac:dyDescent="0.35">
      <c r="B66" s="267"/>
    </row>
    <row r="67" spans="2:2" ht="15.5" x14ac:dyDescent="0.35">
      <c r="B67" s="266" t="s">
        <v>758</v>
      </c>
    </row>
    <row r="68" spans="2:2" ht="46.5" x14ac:dyDescent="0.35">
      <c r="B68" s="267" t="s">
        <v>759</v>
      </c>
    </row>
    <row r="69" spans="2:2" ht="15.5" x14ac:dyDescent="0.35">
      <c r="B69" s="267"/>
    </row>
    <row r="70" spans="2:2" ht="15.5" x14ac:dyDescent="0.35">
      <c r="B70" s="266" t="s">
        <v>9</v>
      </c>
    </row>
    <row r="71" spans="2:2" ht="34.5" customHeight="1" x14ac:dyDescent="0.35">
      <c r="B71" s="267" t="s">
        <v>782</v>
      </c>
    </row>
    <row r="72" spans="2:2" ht="15.5" x14ac:dyDescent="0.35">
      <c r="B72" s="267"/>
    </row>
    <row r="73" spans="2:2" ht="14.5" hidden="1" x14ac:dyDescent="0.35"/>
  </sheetData>
  <sheetProtection algorithmName="SHA-512" hashValue="54TGsH8eTGkDgj7BdeRuYPYOKve8Bt/DAwiX9D/BLkn+56dIIz9saHcp9RDlxKWfarMvXZ/Fj/wdeRH0glPj2A==" saltValue="lDh8DuAALoueRI80Jbw2yw==" spinCount="100000" sheet="1" formatColumns="0" formatRows="0"/>
  <hyperlinks>
    <hyperlink ref="B33" r:id="rId1" display="https://www.london.gov.uk/what-we-do/housing-and-land/homes-londoners-affordable-homes-programmes/homes-londoners-affordable-homes-programme-2016-2023" xr:uid="{D292F584-AD15-4C72-9699-093481857E1B}"/>
  </hyperlinks>
  <pageMargins left="0.70866141732283472" right="0.70866141732283472" top="0.74803149606299213" bottom="0.74803149606299213" header="0.31496062992125984" footer="0.31496062992125984"/>
  <pageSetup paperSize="9" scale="59" fitToHeight="2" orientation="portrait" r:id="rId2"/>
  <headerFooter>
    <oddFooter>&amp;C&amp;1#&amp;"Calibri"&amp;12&amp;K0078D7OFFICIAL</oddFooter>
  </headerFooter>
  <rowBreaks count="1" manualBreakCount="1">
    <brk id="51"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970D8-B3EA-4CBA-AEBC-AFC4A0313915}">
  <sheetPr codeName="Sheet10">
    <tabColor rgb="FF59468D"/>
    <pageSetUpPr fitToPage="1"/>
  </sheetPr>
  <dimension ref="A1:V28"/>
  <sheetViews>
    <sheetView workbookViewId="0">
      <selection activeCell="C9" sqref="C9"/>
    </sheetView>
  </sheetViews>
  <sheetFormatPr defaultColWidth="0" defaultRowHeight="14.5" x14ac:dyDescent="0.35"/>
  <cols>
    <col min="1" max="1" width="1.54296875" style="169" customWidth="1"/>
    <col min="2" max="2" width="11" style="282" customWidth="1"/>
    <col min="3" max="3" width="24.54296875" style="279" customWidth="1"/>
    <col min="4" max="4" width="113.81640625" style="279" customWidth="1"/>
    <col min="5" max="5" width="4.54296875" style="279" customWidth="1"/>
    <col min="6" max="22" width="0" style="279" hidden="1" customWidth="1"/>
    <col min="23" max="16384" width="9.1796875" style="279" hidden="1"/>
  </cols>
  <sheetData>
    <row r="1" spans="1:21" s="268" customFormat="1" ht="23" x14ac:dyDescent="0.5">
      <c r="B1" s="406"/>
      <c r="C1" s="406"/>
      <c r="D1" s="406"/>
      <c r="E1" s="269"/>
      <c r="F1" s="269"/>
      <c r="G1" s="269"/>
      <c r="H1" s="269"/>
      <c r="I1" s="269"/>
      <c r="J1" s="269"/>
      <c r="K1" s="269"/>
      <c r="L1" s="269"/>
      <c r="M1" s="269"/>
      <c r="N1" s="269"/>
      <c r="O1" s="269"/>
      <c r="P1" s="269"/>
      <c r="Q1" s="269"/>
      <c r="R1" s="269"/>
      <c r="S1" s="269"/>
      <c r="T1" s="269"/>
    </row>
    <row r="2" spans="1:21" s="268" customFormat="1" ht="30" x14ac:dyDescent="0.6">
      <c r="B2" s="270"/>
      <c r="C2" s="270"/>
      <c r="D2" s="261" t="s">
        <v>803</v>
      </c>
      <c r="E2" s="169"/>
      <c r="F2" s="169"/>
      <c r="G2" s="169"/>
      <c r="H2" s="169"/>
      <c r="I2" s="169"/>
      <c r="J2" s="169"/>
      <c r="K2" s="169"/>
      <c r="L2" s="169"/>
      <c r="M2" s="169"/>
      <c r="N2" s="169"/>
      <c r="O2" s="169"/>
      <c r="P2" s="169"/>
      <c r="Q2" s="169"/>
      <c r="R2" s="169"/>
      <c r="S2" s="169"/>
      <c r="T2" s="169"/>
    </row>
    <row r="3" spans="1:21" s="268" customFormat="1" ht="30" x14ac:dyDescent="0.6">
      <c r="B3" s="270"/>
      <c r="C3" s="270"/>
      <c r="D3" s="261"/>
      <c r="E3" s="169"/>
      <c r="F3" s="169"/>
      <c r="G3" s="169"/>
      <c r="H3" s="169"/>
      <c r="I3" s="169"/>
      <c r="J3" s="169"/>
      <c r="K3" s="169"/>
      <c r="L3" s="169"/>
      <c r="M3" s="169"/>
      <c r="N3" s="169"/>
      <c r="O3" s="169"/>
      <c r="P3" s="169"/>
      <c r="Q3" s="169"/>
      <c r="R3" s="169"/>
      <c r="S3" s="169"/>
      <c r="T3" s="169"/>
    </row>
    <row r="4" spans="1:21" s="268" customFormat="1" ht="23" x14ac:dyDescent="0.5">
      <c r="B4" s="270"/>
      <c r="C4" s="270"/>
      <c r="D4" s="270"/>
      <c r="E4" s="169"/>
      <c r="F4" s="169"/>
      <c r="G4" s="169"/>
      <c r="H4" s="169"/>
      <c r="I4" s="169"/>
      <c r="J4" s="169"/>
      <c r="K4" s="169"/>
      <c r="L4" s="169"/>
      <c r="M4" s="169"/>
      <c r="N4" s="169"/>
      <c r="O4" s="169"/>
      <c r="P4" s="169"/>
      <c r="Q4" s="169"/>
      <c r="R4" s="169"/>
      <c r="S4" s="169"/>
      <c r="T4" s="169"/>
    </row>
    <row r="5" spans="1:21" s="268" customFormat="1" ht="23" x14ac:dyDescent="0.5">
      <c r="B5" s="270"/>
      <c r="C5" s="270"/>
      <c r="D5" s="270"/>
      <c r="E5" s="169"/>
      <c r="F5" s="169"/>
      <c r="G5" s="169"/>
      <c r="H5" s="169"/>
      <c r="I5" s="169"/>
      <c r="J5" s="169"/>
      <c r="K5" s="169"/>
      <c r="L5" s="169"/>
      <c r="M5" s="169"/>
      <c r="N5" s="169"/>
      <c r="O5" s="169"/>
      <c r="P5" s="169"/>
      <c r="Q5" s="169"/>
      <c r="R5" s="169"/>
      <c r="S5" s="169"/>
      <c r="T5" s="169"/>
    </row>
    <row r="6" spans="1:21" s="271" customFormat="1" ht="15.5" x14ac:dyDescent="0.35">
      <c r="B6" s="272"/>
      <c r="C6" s="273"/>
      <c r="D6" s="273"/>
      <c r="E6" s="274"/>
      <c r="F6" s="274"/>
      <c r="G6" s="274"/>
      <c r="H6" s="274"/>
      <c r="I6" s="275"/>
      <c r="J6" s="275"/>
      <c r="K6" s="276"/>
      <c r="L6" s="274"/>
      <c r="M6" s="274"/>
      <c r="N6" s="275"/>
      <c r="O6" s="276"/>
      <c r="P6" s="274"/>
      <c r="Q6" s="275"/>
      <c r="R6" s="276"/>
      <c r="S6" s="274"/>
      <c r="T6" s="277"/>
      <c r="U6" s="278"/>
    </row>
    <row r="7" spans="1:21" ht="15.5" x14ac:dyDescent="0.35">
      <c r="A7" s="319"/>
      <c r="B7" s="320" t="s">
        <v>760</v>
      </c>
      <c r="C7" s="280" t="s">
        <v>761</v>
      </c>
      <c r="D7" s="281" t="s">
        <v>762</v>
      </c>
      <c r="E7" s="282"/>
    </row>
    <row r="8" spans="1:21" ht="15.5" x14ac:dyDescent="0.35">
      <c r="A8" s="279"/>
      <c r="B8" s="283">
        <v>1</v>
      </c>
      <c r="C8" s="284" t="s">
        <v>811</v>
      </c>
      <c r="D8" s="285" t="s">
        <v>763</v>
      </c>
      <c r="E8" s="282"/>
    </row>
    <row r="9" spans="1:21" ht="15.5" x14ac:dyDescent="0.35">
      <c r="A9" s="279"/>
      <c r="B9" s="286">
        <v>1.1000000000000001</v>
      </c>
      <c r="C9" s="284" t="s">
        <v>821</v>
      </c>
      <c r="D9" s="285" t="s">
        <v>824</v>
      </c>
      <c r="E9" s="282"/>
    </row>
    <row r="10" spans="1:21" ht="15.5" x14ac:dyDescent="0.35">
      <c r="A10" s="279"/>
      <c r="B10" s="286"/>
      <c r="C10" s="287"/>
      <c r="D10" s="288"/>
      <c r="E10" s="282"/>
    </row>
    <row r="11" spans="1:21" ht="15.5" x14ac:dyDescent="0.35">
      <c r="A11" s="279"/>
      <c r="B11" s="286"/>
      <c r="C11" s="289"/>
      <c r="D11" s="290"/>
      <c r="E11" s="282"/>
    </row>
    <row r="12" spans="1:21" ht="15.5" x14ac:dyDescent="0.35">
      <c r="A12" s="279"/>
      <c r="B12" s="291"/>
      <c r="C12" s="292"/>
      <c r="D12" s="293"/>
      <c r="E12" s="282"/>
    </row>
    <row r="13" spans="1:21" ht="15.5" x14ac:dyDescent="0.35">
      <c r="A13" s="279"/>
      <c r="B13" s="294"/>
      <c r="C13" s="292"/>
      <c r="D13" s="290"/>
      <c r="E13" s="282"/>
    </row>
    <row r="14" spans="1:21" ht="15.5" x14ac:dyDescent="0.35">
      <c r="A14" s="279"/>
      <c r="B14" s="295"/>
      <c r="C14" s="296"/>
      <c r="D14" s="297"/>
      <c r="E14" s="282"/>
    </row>
    <row r="15" spans="1:21" ht="15.5" x14ac:dyDescent="0.35">
      <c r="A15" s="279"/>
      <c r="B15" s="298"/>
      <c r="C15" s="292"/>
      <c r="D15" s="292"/>
    </row>
    <row r="16" spans="1:21" ht="15.5" x14ac:dyDescent="0.35">
      <c r="A16" s="279"/>
      <c r="B16" s="298"/>
      <c r="C16" s="292"/>
      <c r="D16" s="292"/>
    </row>
    <row r="17" spans="1:4" ht="15.5" x14ac:dyDescent="0.35">
      <c r="B17" s="298"/>
      <c r="C17" s="292"/>
      <c r="D17" s="292"/>
    </row>
    <row r="18" spans="1:4" ht="15.5" x14ac:dyDescent="0.35">
      <c r="B18" s="298"/>
      <c r="C18" s="292"/>
      <c r="D18" s="292"/>
    </row>
    <row r="19" spans="1:4" ht="15.5" x14ac:dyDescent="0.35">
      <c r="B19" s="299" t="s">
        <v>764</v>
      </c>
      <c r="C19" s="292"/>
      <c r="D19" s="292"/>
    </row>
    <row r="20" spans="1:4" s="302" customFormat="1" ht="15.5" x14ac:dyDescent="0.35">
      <c r="A20" s="169"/>
      <c r="B20" s="300" t="s">
        <v>765</v>
      </c>
      <c r="C20" s="301"/>
      <c r="D20" s="301"/>
    </row>
    <row r="21" spans="1:4" s="302" customFormat="1" ht="15.5" x14ac:dyDescent="0.35">
      <c r="A21" s="169"/>
      <c r="B21" s="187" t="s">
        <v>730</v>
      </c>
      <c r="C21" s="301"/>
      <c r="D21" s="301"/>
    </row>
    <row r="22" spans="1:4" s="302" customFormat="1" ht="15.5" x14ac:dyDescent="0.35">
      <c r="A22" s="169"/>
      <c r="B22" s="300"/>
      <c r="C22" s="301"/>
      <c r="D22" s="301"/>
    </row>
    <row r="23" spans="1:4" s="302" customFormat="1" ht="15.5" x14ac:dyDescent="0.35">
      <c r="A23" s="169"/>
      <c r="B23" s="303" t="s">
        <v>822</v>
      </c>
      <c r="C23" s="301"/>
      <c r="D23" s="301"/>
    </row>
    <row r="24" spans="1:4" ht="15.5" x14ac:dyDescent="0.35">
      <c r="B24" s="304" t="s">
        <v>766</v>
      </c>
      <c r="C24" s="292"/>
      <c r="D24" s="292"/>
    </row>
    <row r="25" spans="1:4" ht="15.5" x14ac:dyDescent="0.35">
      <c r="B25" s="185"/>
      <c r="C25" s="292"/>
      <c r="D25" s="292"/>
    </row>
    <row r="26" spans="1:4" ht="15.5" x14ac:dyDescent="0.35">
      <c r="B26" s="298"/>
      <c r="C26" s="292"/>
      <c r="D26" s="292"/>
    </row>
    <row r="27" spans="1:4" ht="15.5" x14ac:dyDescent="0.35">
      <c r="B27" s="298"/>
      <c r="C27" s="292"/>
      <c r="D27" s="292"/>
    </row>
    <row r="28" spans="1:4" ht="15.5" x14ac:dyDescent="0.35">
      <c r="B28" s="298"/>
      <c r="C28" s="292"/>
      <c r="D28" s="292"/>
    </row>
  </sheetData>
  <sheetProtection algorithmName="SHA-512" hashValue="8iPopU0yd1WRjW8Cm2AbFf58yL0cEEorkFF/f7dTW6+UXTwEDbFdQdd2QH7UQ2s8U7oMIMTodBTrHNVNJHnSRQ==" saltValue="Km7z9dGrVPTODlb77I41Cw==" spinCount="100000" sheet="1" objects="1" scenarios="1"/>
  <mergeCells count="1">
    <mergeCell ref="B1:D1"/>
  </mergeCells>
  <hyperlinks>
    <hyperlink ref="B21" r:id="rId1" xr:uid="{E037EC53-BDA5-4A04-A946-55541148C434}"/>
  </hyperlinks>
  <pageMargins left="0.70866141732283472" right="0.70866141732283472" top="0.74803149606299213" bottom="0.74803149606299213" header="0.31496062992125984" footer="0.31496062992125984"/>
  <pageSetup paperSize="9" scale="84" orientation="landscape" r:id="rId2"/>
  <headerFooter>
    <oddFooter>&amp;C&amp;1#&amp;"Calibri"&amp;12&amp;K0078D7OFFICIAL</oddFooter>
  </headerFooter>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D4704-AE0F-4707-8E38-D014C09AECC6}">
  <sheetPr codeName="Sheet1">
    <tabColor rgb="FFAECFE6"/>
  </sheetPr>
  <dimension ref="A1:BD371"/>
  <sheetViews>
    <sheetView showGridLines="0" zoomScaleNormal="100" workbookViewId="0">
      <pane ySplit="5" topLeftCell="A6" activePane="bottomLeft" state="frozen"/>
      <selection pane="bottomLeft" activeCell="B147" sqref="B147"/>
    </sheetView>
  </sheetViews>
  <sheetFormatPr defaultColWidth="0" defaultRowHeight="14.5" zeroHeight="1" x14ac:dyDescent="0.35"/>
  <cols>
    <col min="1" max="1" width="11.54296875" style="316" customWidth="1"/>
    <col min="2" max="13" width="11.54296875" style="1" customWidth="1"/>
    <col min="14" max="14" width="11.54296875" style="366" customWidth="1"/>
    <col min="15" max="15" width="12.54296875" style="1" hidden="1" customWidth="1"/>
    <col min="16" max="20" width="8.81640625" style="1" hidden="1" customWidth="1"/>
    <col min="21" max="21" width="6.81640625" style="1" hidden="1" customWidth="1"/>
    <col min="22" max="27" width="8.81640625" style="1" hidden="1" customWidth="1"/>
    <col min="28" max="39" width="8.81640625" style="158" hidden="1" customWidth="1"/>
    <col min="40" max="49" width="8.81640625" hidden="1" customWidth="1"/>
    <col min="50" max="50" width="9.54296875" hidden="1" customWidth="1"/>
    <col min="51" max="56" width="8.81640625" hidden="1" customWidth="1"/>
    <col min="57" max="16384" width="8.81640625" style="1" hidden="1"/>
  </cols>
  <sheetData>
    <row r="1" spans="1:49" ht="35" x14ac:dyDescent="0.7">
      <c r="B1" s="426" t="s">
        <v>803</v>
      </c>
      <c r="C1" s="426"/>
      <c r="D1" s="426"/>
      <c r="E1" s="426"/>
      <c r="F1" s="426"/>
      <c r="G1" s="426"/>
      <c r="H1" s="426"/>
      <c r="I1" s="426"/>
      <c r="J1" s="426"/>
      <c r="K1" s="426"/>
      <c r="L1" s="426"/>
      <c r="M1" s="426"/>
      <c r="N1" s="379"/>
      <c r="O1" s="358"/>
      <c r="P1" s="358"/>
      <c r="Q1" s="358"/>
      <c r="R1" s="358"/>
      <c r="S1" s="358"/>
      <c r="T1" s="358"/>
      <c r="U1" s="358"/>
      <c r="V1" s="358"/>
      <c r="W1" s="358"/>
      <c r="X1" s="358"/>
      <c r="Y1" s="2"/>
    </row>
    <row r="2" spans="1:49" ht="15" thickBot="1" x14ac:dyDescent="0.4">
      <c r="AF2" s="401"/>
      <c r="AG2" s="401"/>
      <c r="AH2" s="401"/>
      <c r="AI2" s="401"/>
      <c r="AJ2" s="401"/>
      <c r="AK2" s="401"/>
      <c r="AL2" s="401"/>
      <c r="AM2" s="401"/>
    </row>
    <row r="3" spans="1:49" ht="15" thickBot="1" x14ac:dyDescent="0.4">
      <c r="B3" s="318"/>
      <c r="C3" s="318"/>
      <c r="D3" s="318"/>
      <c r="E3" s="318" t="s">
        <v>769</v>
      </c>
      <c r="F3" s="428"/>
      <c r="G3" s="429"/>
      <c r="H3" s="430"/>
      <c r="I3" s="3"/>
      <c r="J3" s="432" t="s">
        <v>777</v>
      </c>
      <c r="K3" s="432"/>
      <c r="L3" s="432"/>
      <c r="R3" s="193"/>
      <c r="AF3" s="396"/>
      <c r="AG3" s="396"/>
      <c r="AH3" s="396"/>
      <c r="AI3" s="396"/>
      <c r="AJ3" s="396"/>
      <c r="AK3" s="396"/>
      <c r="AL3" s="396"/>
      <c r="AM3" s="396"/>
    </row>
    <row r="4" spans="1:49" x14ac:dyDescent="0.35">
      <c r="B4" s="4"/>
      <c r="C4" s="4"/>
      <c r="D4" s="431" t="s">
        <v>1</v>
      </c>
      <c r="E4" s="431"/>
      <c r="F4" s="307" t="str">
        <f>IF($F$3="","Please select an LA area in the box above",IFERROR(VLOOKUP($F$3,PRP_Counts!$B$5:$C$313,2,0),""))</f>
        <v>Please select an LA area in the box above</v>
      </c>
      <c r="G4" s="308"/>
      <c r="H4" s="309"/>
      <c r="I4" s="5"/>
      <c r="R4" s="193"/>
      <c r="AB4" s="144"/>
      <c r="AC4" s="144"/>
      <c r="AF4" s="144"/>
      <c r="AG4" s="144"/>
      <c r="AH4" s="144"/>
      <c r="AI4" s="144"/>
      <c r="AJ4" s="144"/>
      <c r="AK4" s="397"/>
      <c r="AL4" s="397"/>
      <c r="AM4" s="397"/>
    </row>
    <row r="5" spans="1:49" x14ac:dyDescent="0.35">
      <c r="R5" s="193"/>
      <c r="AB5" s="398"/>
      <c r="AC5"/>
      <c r="AD5" s="144"/>
      <c r="AE5" s="144"/>
      <c r="AF5" s="399"/>
      <c r="AG5" s="399"/>
      <c r="AH5" s="400"/>
      <c r="AI5" s="400"/>
      <c r="AJ5" s="400"/>
      <c r="AK5" s="399"/>
      <c r="AL5" s="399"/>
      <c r="AM5" s="399"/>
      <c r="AW5" s="144"/>
    </row>
    <row r="6" spans="1:49" x14ac:dyDescent="0.35">
      <c r="AB6"/>
      <c r="AC6"/>
      <c r="AF6" s="399"/>
      <c r="AG6" s="399"/>
      <c r="AH6" s="399"/>
      <c r="AI6" s="399"/>
      <c r="AJ6" s="399"/>
      <c r="AK6" s="399"/>
      <c r="AL6" s="399"/>
      <c r="AM6" s="399"/>
    </row>
    <row r="7" spans="1:49" x14ac:dyDescent="0.35">
      <c r="B7" s="191"/>
      <c r="C7" s="192"/>
      <c r="D7" s="192"/>
      <c r="E7" s="167">
        <v>2015</v>
      </c>
      <c r="F7" s="167">
        <v>2023</v>
      </c>
      <c r="G7" s="168" t="s">
        <v>0</v>
      </c>
      <c r="I7" s="191"/>
      <c r="J7" s="192"/>
      <c r="K7" s="167">
        <v>2015</v>
      </c>
      <c r="L7" s="167">
        <v>2023</v>
      </c>
      <c r="M7" s="168" t="s">
        <v>0</v>
      </c>
      <c r="AB7"/>
      <c r="AC7"/>
      <c r="AF7" s="399"/>
      <c r="AG7" s="399"/>
      <c r="AH7" s="399"/>
      <c r="AI7" s="399"/>
      <c r="AJ7" s="399"/>
      <c r="AK7" s="399"/>
      <c r="AL7" s="399"/>
      <c r="AM7" s="399"/>
    </row>
    <row r="8" spans="1:49" x14ac:dyDescent="0.35">
      <c r="B8" s="188" t="s">
        <v>2</v>
      </c>
      <c r="C8" s="194"/>
      <c r="D8" s="194"/>
      <c r="E8" s="195" t="str">
        <f>IFERROR(VLOOKUP($F$3,PRPcounts,4,0),"")</f>
        <v/>
      </c>
      <c r="F8" s="195" t="str">
        <f>IFERROR(VLOOKUP($F$3,PRPcounts,7,0),"")</f>
        <v/>
      </c>
      <c r="G8" s="196" t="str">
        <f>IFERROR(F8-E8,"-")</f>
        <v>-</v>
      </c>
      <c r="I8" s="190" t="s">
        <v>3</v>
      </c>
      <c r="J8" s="197"/>
      <c r="K8" s="197" t="str">
        <f>IFERROR(VLOOKUP($F$3,PRPcounts,3,0),"")</f>
        <v/>
      </c>
      <c r="L8" s="197" t="str">
        <f>IFERROR(VLOOKUP($F$3,PRPcounts,6,0),"")</f>
        <v/>
      </c>
      <c r="M8" s="198" t="str">
        <f>IFERROR(L8-K8,"-")</f>
        <v>-</v>
      </c>
      <c r="AB8"/>
      <c r="AC8"/>
      <c r="AF8" s="399"/>
      <c r="AG8" s="399"/>
      <c r="AH8" s="399"/>
      <c r="AI8" s="399"/>
      <c r="AJ8" s="399"/>
      <c r="AK8" s="399"/>
      <c r="AL8" s="399"/>
      <c r="AM8" s="399"/>
    </row>
    <row r="9" spans="1:49" x14ac:dyDescent="0.35">
      <c r="B9" s="189" t="s">
        <v>4</v>
      </c>
      <c r="C9" s="199"/>
      <c r="D9" s="199"/>
      <c r="E9" s="200" t="str">
        <f>IFERROR(VLOOKUP($F$4,PRPcounts,4,0),"")</f>
        <v/>
      </c>
      <c r="F9" s="200" t="str">
        <f>IFERROR(VLOOKUP($F$4,PRPcounts,7,0),"")</f>
        <v/>
      </c>
      <c r="G9" s="201" t="str">
        <f>IFERROR(F9-E9,"-")</f>
        <v>-</v>
      </c>
      <c r="I9" s="189" t="s">
        <v>5</v>
      </c>
      <c r="J9" s="199"/>
      <c r="K9" s="199" t="str">
        <f>IFERROR(VLOOKUP($F$3,PRPcounts,2,0),"")</f>
        <v/>
      </c>
      <c r="L9" s="199" t="str">
        <f>IFERROR(VLOOKUP($F$3,PRPcounts,5,0),"")</f>
        <v/>
      </c>
      <c r="M9" s="202" t="str">
        <f>IFERROR(L9-K9,"-")</f>
        <v>-</v>
      </c>
      <c r="AB9"/>
      <c r="AC9"/>
      <c r="AF9" s="399"/>
      <c r="AG9" s="399"/>
      <c r="AH9" s="399"/>
      <c r="AI9" s="399"/>
      <c r="AJ9" s="399"/>
      <c r="AK9" s="399"/>
      <c r="AL9" s="399"/>
      <c r="AM9" s="399"/>
    </row>
    <row r="10" spans="1:49" x14ac:dyDescent="0.35">
      <c r="AB10"/>
      <c r="AC10"/>
      <c r="AF10" s="399"/>
      <c r="AG10" s="399"/>
      <c r="AH10" s="399"/>
      <c r="AI10" s="399"/>
      <c r="AJ10" s="399"/>
      <c r="AK10" s="399"/>
      <c r="AL10" s="399"/>
      <c r="AM10" s="399"/>
    </row>
    <row r="11" spans="1:49" x14ac:dyDescent="0.35">
      <c r="A11" s="407">
        <v>1</v>
      </c>
      <c r="AB11"/>
      <c r="AC11"/>
      <c r="AF11" s="399"/>
      <c r="AG11" s="399"/>
      <c r="AH11" s="399"/>
      <c r="AI11" s="399"/>
      <c r="AJ11" s="399"/>
      <c r="AK11" s="399"/>
      <c r="AL11" s="399"/>
      <c r="AM11" s="399"/>
    </row>
    <row r="12" spans="1:49" x14ac:dyDescent="0.35">
      <c r="A12" s="408"/>
      <c r="AB12"/>
      <c r="AC12"/>
      <c r="AF12" s="400"/>
      <c r="AG12" s="400"/>
      <c r="AH12" s="400"/>
      <c r="AI12" s="400"/>
      <c r="AJ12" s="400"/>
      <c r="AK12" s="400"/>
      <c r="AL12" s="400"/>
      <c r="AM12" s="400"/>
    </row>
    <row r="13" spans="1:49" x14ac:dyDescent="0.35">
      <c r="AB13"/>
      <c r="AC13"/>
      <c r="AF13" s="400"/>
      <c r="AG13" s="400"/>
      <c r="AH13" s="400"/>
      <c r="AI13" s="400"/>
      <c r="AJ13" s="400"/>
      <c r="AK13" s="400"/>
      <c r="AL13" s="400"/>
      <c r="AM13" s="400"/>
    </row>
    <row r="14" spans="1:49" x14ac:dyDescent="0.35">
      <c r="AB14"/>
      <c r="AC14"/>
      <c r="AF14" s="400"/>
      <c r="AG14" s="400"/>
      <c r="AH14" s="400"/>
      <c r="AI14" s="400"/>
      <c r="AJ14" s="400"/>
      <c r="AK14" s="400"/>
      <c r="AL14" s="400"/>
      <c r="AM14" s="400"/>
    </row>
    <row r="15" spans="1:49" x14ac:dyDescent="0.35">
      <c r="AB15"/>
      <c r="AC15"/>
      <c r="AF15" s="400"/>
      <c r="AG15" s="400"/>
      <c r="AH15" s="400"/>
      <c r="AI15" s="400"/>
      <c r="AJ15" s="400"/>
      <c r="AK15" s="400"/>
      <c r="AL15" s="400"/>
      <c r="AM15" s="400"/>
    </row>
    <row r="16" spans="1:49" x14ac:dyDescent="0.35">
      <c r="AB16"/>
      <c r="AC16"/>
      <c r="AF16" s="400"/>
      <c r="AG16" s="400"/>
      <c r="AH16" s="400"/>
      <c r="AI16" s="400"/>
      <c r="AJ16" s="400"/>
      <c r="AK16" s="400"/>
      <c r="AL16" s="400"/>
      <c r="AM16" s="400"/>
    </row>
    <row r="17" spans="28:39" x14ac:dyDescent="0.35">
      <c r="AB17"/>
      <c r="AC17"/>
      <c r="AF17" s="400"/>
      <c r="AG17" s="400"/>
      <c r="AH17" s="400"/>
      <c r="AI17" s="400"/>
      <c r="AJ17" s="400"/>
      <c r="AK17" s="400"/>
      <c r="AL17" s="400"/>
      <c r="AM17" s="400"/>
    </row>
    <row r="18" spans="28:39" x14ac:dyDescent="0.35">
      <c r="AB18"/>
      <c r="AC18"/>
      <c r="AF18" s="400"/>
      <c r="AG18" s="400"/>
      <c r="AH18" s="400"/>
      <c r="AI18" s="400"/>
      <c r="AJ18" s="400"/>
      <c r="AK18" s="400"/>
      <c r="AL18" s="400"/>
      <c r="AM18" s="400"/>
    </row>
    <row r="19" spans="28:39" x14ac:dyDescent="0.35">
      <c r="AB19"/>
      <c r="AC19"/>
      <c r="AF19" s="400"/>
      <c r="AG19" s="400"/>
      <c r="AH19" s="400"/>
      <c r="AI19" s="400"/>
      <c r="AJ19" s="400"/>
      <c r="AK19" s="400"/>
      <c r="AL19" s="400"/>
      <c r="AM19" s="400"/>
    </row>
    <row r="20" spans="28:39" x14ac:dyDescent="0.35">
      <c r="AB20"/>
      <c r="AC20"/>
      <c r="AF20" s="400"/>
      <c r="AG20" s="400"/>
      <c r="AH20" s="400"/>
      <c r="AI20" s="400"/>
      <c r="AJ20" s="400"/>
      <c r="AK20" s="400"/>
      <c r="AL20" s="400"/>
      <c r="AM20" s="400"/>
    </row>
    <row r="21" spans="28:39" x14ac:dyDescent="0.35">
      <c r="AB21"/>
      <c r="AC21"/>
      <c r="AF21" s="400"/>
      <c r="AG21" s="400"/>
      <c r="AH21" s="400"/>
      <c r="AI21" s="400"/>
      <c r="AJ21" s="400"/>
      <c r="AK21" s="400"/>
      <c r="AL21" s="400"/>
      <c r="AM21" s="400"/>
    </row>
    <row r="22" spans="28:39" x14ac:dyDescent="0.35">
      <c r="AB22"/>
      <c r="AC22"/>
      <c r="AF22" s="400"/>
      <c r="AG22" s="400"/>
      <c r="AH22" s="400"/>
      <c r="AI22" s="400"/>
      <c r="AJ22" s="400"/>
      <c r="AK22" s="400"/>
      <c r="AL22" s="400"/>
      <c r="AM22" s="400"/>
    </row>
    <row r="23" spans="28:39" x14ac:dyDescent="0.35">
      <c r="AB23"/>
      <c r="AC23"/>
      <c r="AF23" s="400"/>
      <c r="AG23" s="400"/>
      <c r="AH23" s="400"/>
      <c r="AI23" s="400"/>
      <c r="AJ23" s="400"/>
      <c r="AK23" s="400"/>
      <c r="AL23" s="400"/>
      <c r="AM23" s="400"/>
    </row>
    <row r="24" spans="28:39" x14ac:dyDescent="0.35">
      <c r="AB24"/>
      <c r="AC24"/>
      <c r="AF24" s="400"/>
      <c r="AG24" s="400"/>
      <c r="AH24" s="400"/>
      <c r="AI24" s="400"/>
      <c r="AJ24" s="400"/>
      <c r="AK24" s="400"/>
      <c r="AL24" s="400"/>
      <c r="AM24" s="400"/>
    </row>
    <row r="25" spans="28:39" x14ac:dyDescent="0.35">
      <c r="AB25"/>
      <c r="AC25"/>
      <c r="AF25" s="400"/>
      <c r="AG25" s="400"/>
      <c r="AH25" s="400"/>
      <c r="AI25" s="400"/>
      <c r="AJ25" s="400"/>
      <c r="AK25" s="400"/>
      <c r="AL25" s="400"/>
      <c r="AM25" s="400"/>
    </row>
    <row r="26" spans="28:39" x14ac:dyDescent="0.35">
      <c r="AB26"/>
      <c r="AC26"/>
      <c r="AF26" s="400"/>
      <c r="AG26" s="400"/>
      <c r="AH26" s="400"/>
      <c r="AI26" s="400"/>
      <c r="AJ26" s="400"/>
      <c r="AK26" s="400"/>
      <c r="AL26" s="400"/>
      <c r="AM26" s="400"/>
    </row>
    <row r="27" spans="28:39" x14ac:dyDescent="0.35">
      <c r="AB27"/>
      <c r="AC27"/>
      <c r="AF27" s="400"/>
      <c r="AG27" s="400"/>
      <c r="AH27" s="400"/>
      <c r="AI27" s="400"/>
      <c r="AJ27" s="400"/>
      <c r="AK27" s="400"/>
      <c r="AL27" s="400"/>
      <c r="AM27" s="400"/>
    </row>
    <row r="28" spans="28:39" x14ac:dyDescent="0.35">
      <c r="AB28"/>
      <c r="AC28"/>
      <c r="AF28" s="400"/>
      <c r="AG28" s="400"/>
      <c r="AH28" s="400"/>
      <c r="AI28" s="400"/>
      <c r="AJ28" s="400"/>
      <c r="AK28" s="400"/>
      <c r="AL28" s="400"/>
      <c r="AM28" s="400"/>
    </row>
    <row r="29" spans="28:39" x14ac:dyDescent="0.35">
      <c r="AB29"/>
      <c r="AC29"/>
      <c r="AF29" s="400"/>
      <c r="AG29" s="400"/>
      <c r="AH29" s="400"/>
      <c r="AI29" s="400"/>
      <c r="AJ29" s="400"/>
      <c r="AK29" s="400"/>
      <c r="AL29" s="400"/>
      <c r="AM29" s="400"/>
    </row>
    <row r="30" spans="28:39" x14ac:dyDescent="0.35">
      <c r="AB30"/>
      <c r="AC30"/>
      <c r="AF30" s="400"/>
      <c r="AG30" s="400"/>
      <c r="AH30" s="400"/>
      <c r="AI30" s="400"/>
      <c r="AJ30" s="400"/>
      <c r="AK30" s="400"/>
      <c r="AL30" s="400"/>
      <c r="AM30" s="400"/>
    </row>
    <row r="31" spans="28:39" x14ac:dyDescent="0.35">
      <c r="AB31"/>
      <c r="AC31"/>
      <c r="AF31" s="400"/>
      <c r="AG31" s="400"/>
      <c r="AH31" s="400"/>
      <c r="AI31" s="400"/>
      <c r="AJ31" s="400"/>
      <c r="AK31" s="400"/>
      <c r="AL31" s="400"/>
      <c r="AM31" s="400"/>
    </row>
    <row r="32" spans="28:39" x14ac:dyDescent="0.35">
      <c r="AB32"/>
      <c r="AC32"/>
      <c r="AF32" s="400"/>
      <c r="AG32" s="400"/>
      <c r="AH32" s="400"/>
      <c r="AI32" s="400"/>
      <c r="AJ32" s="400"/>
      <c r="AK32" s="400"/>
      <c r="AL32" s="400"/>
      <c r="AM32" s="400"/>
    </row>
    <row r="33" spans="1:39" x14ac:dyDescent="0.35">
      <c r="AB33"/>
      <c r="AC33"/>
      <c r="AF33" s="400"/>
      <c r="AG33" s="400"/>
      <c r="AH33" s="400"/>
      <c r="AI33" s="400"/>
      <c r="AJ33" s="400"/>
      <c r="AK33" s="400"/>
      <c r="AL33" s="400"/>
      <c r="AM33" s="400"/>
    </row>
    <row r="34" spans="1:39" x14ac:dyDescent="0.35">
      <c r="AB34"/>
      <c r="AC34"/>
      <c r="AF34" s="400"/>
      <c r="AG34" s="400"/>
      <c r="AH34" s="400"/>
      <c r="AI34" s="400"/>
      <c r="AJ34" s="400"/>
      <c r="AK34" s="400"/>
      <c r="AL34" s="400"/>
      <c r="AM34" s="400"/>
    </row>
    <row r="35" spans="1:39" x14ac:dyDescent="0.35">
      <c r="AB35"/>
      <c r="AC35"/>
      <c r="AF35" s="400"/>
      <c r="AG35" s="400"/>
      <c r="AH35" s="400"/>
      <c r="AI35" s="400"/>
      <c r="AJ35" s="400"/>
      <c r="AK35" s="400"/>
      <c r="AL35" s="400"/>
      <c r="AM35" s="400"/>
    </row>
    <row r="36" spans="1:39" x14ac:dyDescent="0.35">
      <c r="AB36"/>
      <c r="AC36"/>
      <c r="AF36" s="400"/>
      <c r="AG36" s="400"/>
      <c r="AH36" s="400"/>
      <c r="AI36" s="400"/>
      <c r="AJ36" s="400"/>
      <c r="AK36" s="400"/>
      <c r="AL36" s="400"/>
      <c r="AM36" s="400"/>
    </row>
    <row r="37" spans="1:39" x14ac:dyDescent="0.35">
      <c r="AB37"/>
      <c r="AC37"/>
      <c r="AF37" s="400"/>
      <c r="AG37" s="400"/>
      <c r="AH37" s="400"/>
      <c r="AI37" s="400"/>
      <c r="AJ37" s="400"/>
      <c r="AK37" s="400"/>
      <c r="AL37" s="400"/>
      <c r="AM37" s="400"/>
    </row>
    <row r="38" spans="1:39" ht="15.5" x14ac:dyDescent="0.35">
      <c r="A38" s="416">
        <v>1</v>
      </c>
      <c r="B38" s="6" t="str">
        <f>IF(F3="", "Total social units by provision type","Total social units by provision type in "&amp;$F$3)</f>
        <v>Total social units by provision type</v>
      </c>
      <c r="C38" s="7"/>
      <c r="D38" s="7"/>
      <c r="E38" s="7"/>
      <c r="F38" s="8"/>
      <c r="G38" s="9"/>
      <c r="H38" s="9"/>
      <c r="I38" s="9"/>
      <c r="J38" s="9"/>
      <c r="K38" s="9"/>
      <c r="L38" s="9"/>
      <c r="M38" s="10"/>
      <c r="N38" s="380"/>
      <c r="AB38"/>
      <c r="AC38"/>
      <c r="AF38" s="400"/>
      <c r="AG38" s="400"/>
      <c r="AH38" s="400"/>
      <c r="AI38" s="400"/>
      <c r="AJ38" s="400"/>
      <c r="AK38" s="400"/>
      <c r="AL38" s="400"/>
      <c r="AM38" s="400"/>
    </row>
    <row r="39" spans="1:39" ht="15.5" x14ac:dyDescent="0.35">
      <c r="A39" s="417"/>
      <c r="B39" s="14" t="s">
        <v>6</v>
      </c>
      <c r="C39" s="359"/>
      <c r="D39" s="11"/>
      <c r="E39" s="11"/>
      <c r="F39" s="12"/>
      <c r="G39" s="12"/>
      <c r="H39" s="12"/>
      <c r="I39" s="12"/>
      <c r="J39" s="12"/>
      <c r="K39" s="12"/>
      <c r="L39" s="12"/>
      <c r="M39" s="13"/>
      <c r="AB39"/>
      <c r="AC39"/>
      <c r="AF39" s="400"/>
      <c r="AG39" s="400"/>
      <c r="AH39" s="400"/>
      <c r="AI39" s="400"/>
      <c r="AJ39" s="400"/>
      <c r="AK39" s="400"/>
      <c r="AL39" s="400"/>
      <c r="AM39" s="400"/>
    </row>
    <row r="40" spans="1:39" ht="32.15" customHeight="1" x14ac:dyDescent="0.35">
      <c r="B40" s="14"/>
      <c r="C40" s="359"/>
      <c r="D40" s="324" t="s">
        <v>801</v>
      </c>
      <c r="E40" s="87">
        <v>2015</v>
      </c>
      <c r="F40" s="87">
        <v>2016</v>
      </c>
      <c r="G40" s="87">
        <v>2017</v>
      </c>
      <c r="H40" s="87">
        <v>2018</v>
      </c>
      <c r="I40" s="87">
        <v>2019</v>
      </c>
      <c r="J40" s="87">
        <v>2020</v>
      </c>
      <c r="K40" s="87">
        <v>2021</v>
      </c>
      <c r="L40" s="87">
        <v>2022</v>
      </c>
      <c r="M40" s="382">
        <v>2023</v>
      </c>
      <c r="AB40"/>
      <c r="AC40"/>
      <c r="AF40" s="400"/>
      <c r="AG40" s="400"/>
      <c r="AH40" s="400"/>
      <c r="AI40" s="400"/>
      <c r="AJ40" s="400"/>
      <c r="AK40" s="400"/>
      <c r="AL40" s="400"/>
      <c r="AM40" s="400"/>
    </row>
    <row r="41" spans="1:39" x14ac:dyDescent="0.35">
      <c r="B41" s="433" t="s">
        <v>7</v>
      </c>
      <c r="C41" s="212" t="s">
        <v>8</v>
      </c>
      <c r="D41" s="211"/>
      <c r="E41" s="203">
        <f>SUM($E$42:$E$43)</f>
        <v>0</v>
      </c>
      <c r="F41" s="203">
        <f>SUM($F$42:$F$43)</f>
        <v>0</v>
      </c>
      <c r="G41" s="203">
        <f>SUM($G$42:$G$43)</f>
        <v>0</v>
      </c>
      <c r="H41" s="203">
        <f>SUM($H$42:$H$43)</f>
        <v>0</v>
      </c>
      <c r="I41" s="203">
        <f>SUM($I$42:$I$43)</f>
        <v>0</v>
      </c>
      <c r="J41" s="203">
        <f>SUM($J$42:$J$43)</f>
        <v>0</v>
      </c>
      <c r="K41" s="203">
        <f>SUM($K$42:$K$43)</f>
        <v>0</v>
      </c>
      <c r="L41" s="203">
        <f>SUM($L$42:$L$43)</f>
        <v>0</v>
      </c>
      <c r="M41" s="204">
        <f>SUM($M$42:$M$43)</f>
        <v>0</v>
      </c>
      <c r="O41" s="15"/>
      <c r="P41" s="15"/>
      <c r="Q41" s="15"/>
      <c r="R41" s="15"/>
      <c r="AB41"/>
      <c r="AC41"/>
      <c r="AF41" s="400"/>
      <c r="AG41" s="400"/>
      <c r="AH41" s="400"/>
      <c r="AI41" s="400"/>
      <c r="AJ41" s="400"/>
      <c r="AK41" s="400"/>
      <c r="AL41" s="400"/>
      <c r="AM41" s="400"/>
    </row>
    <row r="42" spans="1:39" x14ac:dyDescent="0.35">
      <c r="B42" s="434"/>
      <c r="C42" s="409" t="s">
        <v>820</v>
      </c>
      <c r="D42" s="409"/>
      <c r="E42" s="384" t="str">
        <f>IFERROR(VLOOKUP($F$3,Y_1,2,0),"")</f>
        <v/>
      </c>
      <c r="F42" s="385" t="str">
        <f>IFERROR(VLOOKUP($F$3,Y_2,2,0),"")</f>
        <v/>
      </c>
      <c r="G42" s="385" t="str">
        <f>IFERROR(VLOOKUP($F$3,Y_3,2,0),"")</f>
        <v/>
      </c>
      <c r="H42" s="385" t="str">
        <f>IFERROR(VLOOKUP($F$3,Y_4,2,0),"")</f>
        <v/>
      </c>
      <c r="I42" s="385" t="str">
        <f>IFERROR(VLOOKUP($F$3,Y_5,2,0),"")</f>
        <v/>
      </c>
      <c r="J42" s="385" t="str">
        <f>IFERROR(VLOOKUP($F$3,Y_6,2,0),"")</f>
        <v/>
      </c>
      <c r="K42" s="385" t="str">
        <f>IFERROR(VLOOKUP($F$3,Y_7,2,0),"")</f>
        <v/>
      </c>
      <c r="L42" s="385" t="str">
        <f>IFERROR(VLOOKUP($F$3,Y_8,2,0),"")</f>
        <v/>
      </c>
      <c r="M42" s="386" t="str">
        <f>IFERROR(VLOOKUP($F$3,Y_9,2,0),"")</f>
        <v/>
      </c>
      <c r="O42" s="15"/>
      <c r="P42" s="15"/>
      <c r="Q42" s="15"/>
      <c r="R42" s="15"/>
      <c r="AB42"/>
      <c r="AC42"/>
      <c r="AF42" s="400"/>
      <c r="AG42" s="400"/>
      <c r="AH42" s="400"/>
      <c r="AI42" s="400"/>
      <c r="AJ42" s="400"/>
      <c r="AK42" s="400"/>
      <c r="AL42" s="400"/>
      <c r="AM42" s="400"/>
    </row>
    <row r="43" spans="1:39" ht="28" customHeight="1" x14ac:dyDescent="0.35">
      <c r="B43" s="434"/>
      <c r="C43" s="410" t="s">
        <v>819</v>
      </c>
      <c r="D43" s="411"/>
      <c r="E43" s="387" t="str">
        <f>IFERROR(VLOOKUP($F$3,Y_1,3,0),"")</f>
        <v/>
      </c>
      <c r="F43" s="387" t="str">
        <f>IFERROR(VLOOKUP($F$3,Y_2,3,0),"")</f>
        <v/>
      </c>
      <c r="G43" s="387" t="str">
        <f>IFERROR(VLOOKUP($F$3,Y_3,3,0),"")</f>
        <v/>
      </c>
      <c r="H43" s="387" t="str">
        <f>IFERROR(VLOOKUP($F$3,Y_4,3,0),"")</f>
        <v/>
      </c>
      <c r="I43" s="387" t="str">
        <f>IFERROR(VLOOKUP($F$3,Y_5,3,0),"")</f>
        <v/>
      </c>
      <c r="J43" s="387" t="str">
        <f>IFERROR(VLOOKUP($F$3,Y_6,3,0),"")</f>
        <v/>
      </c>
      <c r="K43" s="387" t="str">
        <f>IFERROR(VLOOKUP($F$3,Y_7,3,0),"")</f>
        <v/>
      </c>
      <c r="L43" s="387" t="str">
        <f>IFERROR(VLOOKUP($F$3,Y_8,3,0),"")</f>
        <v/>
      </c>
      <c r="M43" s="388" t="str">
        <f>IFERROR(VLOOKUP($F$3,Y_9,3,0),"")</f>
        <v/>
      </c>
      <c r="O43" s="15"/>
      <c r="P43" s="15"/>
      <c r="Q43" s="15"/>
      <c r="R43" s="15"/>
      <c r="AB43"/>
      <c r="AC43"/>
      <c r="AF43" s="400"/>
      <c r="AG43" s="400"/>
      <c r="AH43" s="400"/>
      <c r="AI43" s="400"/>
      <c r="AJ43" s="400"/>
      <c r="AK43" s="400"/>
      <c r="AL43" s="400"/>
      <c r="AM43" s="400"/>
    </row>
    <row r="44" spans="1:39" x14ac:dyDescent="0.35">
      <c r="B44" s="434"/>
      <c r="C44" s="383" t="s">
        <v>9</v>
      </c>
      <c r="E44" s="205" t="str">
        <f>IFERROR(VLOOKUP($F$3,Y_1,4,0),"")</f>
        <v/>
      </c>
      <c r="F44" s="205" t="str">
        <f>IFERROR(VLOOKUP($F$3,Y_2,4,0),"")</f>
        <v/>
      </c>
      <c r="G44" s="205" t="str">
        <f>IFERROR(VLOOKUP($F$3,Y_3,4,0),"")</f>
        <v/>
      </c>
      <c r="H44" s="205" t="str">
        <f>IFERROR(VLOOKUP($F$3,Y_4,4,0),"")</f>
        <v/>
      </c>
      <c r="I44" s="205" t="str">
        <f>IFERROR(VLOOKUP($F$3,Y_5,4,0),"")</f>
        <v/>
      </c>
      <c r="J44" s="205" t="str">
        <f>IFERROR(VLOOKUP($F$3,Y_6,4,0),"")</f>
        <v/>
      </c>
      <c r="K44" s="205" t="str">
        <f>IFERROR(VLOOKUP($F$3,Y_7,4,0),"")</f>
        <v/>
      </c>
      <c r="L44" s="205" t="str">
        <f>IFERROR(VLOOKUP($F$3,Y_8,4,0),"")</f>
        <v/>
      </c>
      <c r="M44" s="206" t="str">
        <f>IFERROR(VLOOKUP($F$3,Y_9,4,0),"")</f>
        <v/>
      </c>
      <c r="O44" s="15"/>
      <c r="P44" s="15"/>
      <c r="Q44" s="15"/>
      <c r="R44" s="15"/>
      <c r="AB44"/>
      <c r="AC44"/>
      <c r="AF44" s="400"/>
      <c r="AG44" s="400"/>
      <c r="AH44" s="400"/>
      <c r="AI44" s="400"/>
      <c r="AJ44" s="400"/>
      <c r="AK44" s="400"/>
      <c r="AL44" s="400"/>
      <c r="AM44" s="400"/>
    </row>
    <row r="45" spans="1:39" x14ac:dyDescent="0.35">
      <c r="B45" s="435"/>
      <c r="C45" s="383" t="s">
        <v>10</v>
      </c>
      <c r="E45" s="207" t="str">
        <f>IFERROR(VLOOKUP($F$3,Y_1,5,0),"")</f>
        <v/>
      </c>
      <c r="F45" s="207" t="str">
        <f>IFERROR(VLOOKUP($F$3,Y_2,5,0),"")</f>
        <v/>
      </c>
      <c r="G45" s="207" t="str">
        <f>IFERROR(VLOOKUP($F$3,Y_3,5,0),"")</f>
        <v/>
      </c>
      <c r="H45" s="207" t="str">
        <f>IFERROR(VLOOKUP($F$3,Y_4,5,0),"")</f>
        <v/>
      </c>
      <c r="I45" s="207" t="str">
        <f>IFERROR(VLOOKUP($F$3,Y_5,5,0),"")</f>
        <v/>
      </c>
      <c r="J45" s="207" t="str">
        <f>IFERROR(VLOOKUP($F$3,Y_6,5,0),"")</f>
        <v/>
      </c>
      <c r="K45" s="207" t="str">
        <f>IFERROR(VLOOKUP($F$3,Y_7,5,0),"")</f>
        <v/>
      </c>
      <c r="L45" s="207" t="str">
        <f>IFERROR(VLOOKUP($F$3,Y_8,5,0),"")</f>
        <v/>
      </c>
      <c r="M45" s="208" t="str">
        <f>IFERROR(VLOOKUP($F$3,Y_9,5,0),"")</f>
        <v/>
      </c>
      <c r="O45" s="15"/>
      <c r="P45" s="15"/>
      <c r="Q45" s="15"/>
      <c r="R45" s="15"/>
      <c r="AB45"/>
      <c r="AC45"/>
      <c r="AF45" s="400"/>
      <c r="AG45" s="400"/>
      <c r="AH45" s="400"/>
      <c r="AI45" s="400"/>
      <c r="AJ45" s="400"/>
      <c r="AK45" s="400"/>
      <c r="AL45" s="400"/>
      <c r="AM45" s="400"/>
    </row>
    <row r="46" spans="1:39" x14ac:dyDescent="0.35">
      <c r="B46" s="357" t="s">
        <v>11</v>
      </c>
      <c r="C46" s="212"/>
      <c r="D46" s="212"/>
      <c r="E46" s="203" t="str">
        <f>IFERROR(VLOOKUP($F$3,Y_1,6,0),"")</f>
        <v/>
      </c>
      <c r="F46" s="203" t="str">
        <f>IFERROR(VLOOKUP($F$3,Y_2,6,0),"")</f>
        <v/>
      </c>
      <c r="G46" s="203" t="str">
        <f>IFERROR(VLOOKUP($F$3,Y_3,6,0),"")</f>
        <v/>
      </c>
      <c r="H46" s="203" t="str">
        <f>IFERROR(VLOOKUP($F$3,Y_4,6,0),"")</f>
        <v/>
      </c>
      <c r="I46" s="203" t="str">
        <f>IFERROR(VLOOKUP($F$3,Y_5,6,0),"")</f>
        <v/>
      </c>
      <c r="J46" s="203" t="str">
        <f>IFERROR(VLOOKUP($F$3,Y_6,6,0),"")</f>
        <v/>
      </c>
      <c r="K46" s="203" t="str">
        <f>IFERROR(VLOOKUP($F$3,Y_7,6,0),"")</f>
        <v/>
      </c>
      <c r="L46" s="203" t="str">
        <f>IFERROR(VLOOKUP($F$3,Y_8,6,0),"")</f>
        <v/>
      </c>
      <c r="M46" s="204" t="str">
        <f>IFERROR(VLOOKUP($F$3,Y_9,6,0),"")</f>
        <v/>
      </c>
      <c r="O46" s="15"/>
      <c r="P46" s="15"/>
      <c r="Q46" s="15"/>
      <c r="R46" s="15"/>
      <c r="AB46"/>
      <c r="AC46"/>
      <c r="AF46" s="400"/>
      <c r="AG46" s="400"/>
      <c r="AH46" s="400"/>
      <c r="AI46" s="400"/>
      <c r="AJ46" s="400"/>
      <c r="AK46" s="400"/>
      <c r="AL46" s="400"/>
      <c r="AM46" s="400"/>
    </row>
    <row r="47" spans="1:39" x14ac:dyDescent="0.35">
      <c r="B47" s="16" t="s">
        <v>12</v>
      </c>
      <c r="C47" s="17"/>
      <c r="D47" s="17"/>
      <c r="E47" s="354" t="str">
        <f>IFERROR(VLOOKUP($F$3,Y_1,7,0),"")</f>
        <v/>
      </c>
      <c r="F47" s="354" t="str">
        <f>IFERROR(VLOOKUP($F$3,Y_2,7,0),"")</f>
        <v/>
      </c>
      <c r="G47" s="354" t="str">
        <f>IFERROR(VLOOKUP($F$3,Y_3,7,0),"")</f>
        <v/>
      </c>
      <c r="H47" s="354" t="str">
        <f>IFERROR(VLOOKUP($F$3,Y_4,7,0),"")</f>
        <v/>
      </c>
      <c r="I47" s="354" t="str">
        <f>IFERROR(VLOOKUP($F$3,Y_5,7,0),"")</f>
        <v/>
      </c>
      <c r="J47" s="354" t="str">
        <f>IFERROR(VLOOKUP($F$3,Y_6,7,0),"")</f>
        <v/>
      </c>
      <c r="K47" s="354" t="str">
        <f>IFERROR(VLOOKUP($F$3,Y_7,7,0),"")</f>
        <v/>
      </c>
      <c r="L47" s="354" t="str">
        <f>IFERROR(VLOOKUP($F$3,Y_8,7,0),"")</f>
        <v/>
      </c>
      <c r="M47" s="355" t="str">
        <f>IFERROR(VLOOKUP($F$3,Y_9,7,0),"")</f>
        <v/>
      </c>
      <c r="O47" s="15"/>
      <c r="P47" s="15"/>
      <c r="Q47" s="15"/>
      <c r="R47" s="15"/>
      <c r="AB47"/>
      <c r="AC47"/>
      <c r="AF47" s="400"/>
      <c r="AG47" s="400"/>
      <c r="AH47" s="400"/>
      <c r="AI47" s="400"/>
      <c r="AJ47" s="400"/>
      <c r="AK47" s="400"/>
      <c r="AL47" s="400"/>
      <c r="AM47" s="400"/>
    </row>
    <row r="48" spans="1:39" x14ac:dyDescent="0.35">
      <c r="B48" s="357" t="str">
        <f>IF($F$4="Please select an LA area in the box above","",$F$4)</f>
        <v/>
      </c>
      <c r="C48" s="360"/>
      <c r="D48" s="17"/>
      <c r="E48" s="209" t="str">
        <f>IFERROR(VLOOKUP($F$4,Y_1,7,0),"")</f>
        <v/>
      </c>
      <c r="F48" s="209" t="str">
        <f>IFERROR(VLOOKUP($F$4,Y_2,7,0),"")</f>
        <v/>
      </c>
      <c r="G48" s="209" t="str">
        <f>IFERROR(VLOOKUP($F$4,Y_3,7,0),"")</f>
        <v/>
      </c>
      <c r="H48" s="209" t="str">
        <f>IFERROR(VLOOKUP($F$4,Y_4,7,0),"")</f>
        <v/>
      </c>
      <c r="I48" s="209" t="str">
        <f>IFERROR(VLOOKUP($F$4,Y_5,7,0),"")</f>
        <v/>
      </c>
      <c r="J48" s="209" t="str">
        <f>IFERROR(VLOOKUP($F$4,Y_6,7,0),"")</f>
        <v/>
      </c>
      <c r="K48" s="209" t="str">
        <f>IFERROR(VLOOKUP($F$4,Y_7,7,0),"")</f>
        <v/>
      </c>
      <c r="L48" s="209" t="str">
        <f>IFERROR(VLOOKUP($F$4,Y_8,7,0),"")</f>
        <v/>
      </c>
      <c r="M48" s="210" t="str">
        <f>IFERROR(VLOOKUP($F$4,Y_9,7,0),"")</f>
        <v/>
      </c>
      <c r="O48" s="15"/>
      <c r="P48" s="15"/>
      <c r="Q48" s="15"/>
      <c r="R48" s="15"/>
      <c r="AB48"/>
      <c r="AC48"/>
      <c r="AF48" s="400"/>
      <c r="AG48" s="400"/>
      <c r="AH48" s="400"/>
      <c r="AI48" s="400"/>
      <c r="AJ48" s="400"/>
      <c r="AK48" s="400"/>
      <c r="AL48" s="400"/>
      <c r="AM48" s="400"/>
    </row>
    <row r="49" spans="1:39" x14ac:dyDescent="0.35">
      <c r="B49" s="211" t="s">
        <v>13</v>
      </c>
      <c r="C49" s="212"/>
      <c r="D49" s="18"/>
      <c r="E49" s="209">
        <f>IFERROR(VLOOKUP($B$49,Y_1,7,0),"")</f>
        <v>2608767</v>
      </c>
      <c r="F49" s="209">
        <f>IFERROR(VLOOKUP($B$49,Y_2,7,0),"")</f>
        <v>2655501</v>
      </c>
      <c r="G49" s="209">
        <f>IFERROR(VLOOKUP($B$49,Y_3,7,0),"")</f>
        <v>2672026</v>
      </c>
      <c r="H49" s="209">
        <f>IFERROR(VLOOKUP($B$49,Y_4,7,0),"")</f>
        <v>2708355</v>
      </c>
      <c r="I49" s="209">
        <f>IFERROR(VLOOKUP($B$49,Y_5,7,0),"")</f>
        <v>2741601</v>
      </c>
      <c r="J49" s="209">
        <f>IFERROR(VLOOKUP($B$49,Y_6,7,0),"")</f>
        <v>2777878</v>
      </c>
      <c r="K49" s="209">
        <f>IFERROR(VLOOKUP($B$49,Y_7,7,0),"")</f>
        <v>2804350</v>
      </c>
      <c r="L49" s="209">
        <f>IFERROR(VLOOKUP($B$49,Y_8,7,0),"")</f>
        <v>2842600</v>
      </c>
      <c r="M49" s="210">
        <f>IFERROR(VLOOKUP($B$49,Y_9,7,0),"")</f>
        <v>2882687</v>
      </c>
      <c r="AB49"/>
      <c r="AC49"/>
      <c r="AF49" s="400"/>
      <c r="AG49" s="400"/>
      <c r="AH49" s="400"/>
      <c r="AI49" s="400"/>
      <c r="AJ49" s="400"/>
      <c r="AK49" s="400"/>
      <c r="AL49" s="400"/>
      <c r="AM49" s="400"/>
    </row>
    <row r="50" spans="1:39" x14ac:dyDescent="0.35">
      <c r="AB50"/>
      <c r="AC50"/>
      <c r="AF50" s="400"/>
      <c r="AG50" s="400"/>
      <c r="AH50" s="400"/>
      <c r="AI50" s="400"/>
      <c r="AJ50" s="400"/>
      <c r="AK50" s="400"/>
      <c r="AL50" s="400"/>
      <c r="AM50" s="400"/>
    </row>
    <row r="51" spans="1:39" ht="15.5" x14ac:dyDescent="0.35">
      <c r="A51" s="416">
        <v>2</v>
      </c>
      <c r="B51" s="6" t="s">
        <v>14</v>
      </c>
      <c r="C51" s="7"/>
      <c r="D51" s="7"/>
      <c r="E51" s="7"/>
      <c r="F51" s="19"/>
      <c r="G51" s="19"/>
      <c r="H51" s="20"/>
      <c r="I51" s="20"/>
      <c r="J51" s="20"/>
      <c r="K51" s="20"/>
      <c r="L51" s="20"/>
      <c r="M51" s="21"/>
      <c r="AB51"/>
      <c r="AC51"/>
      <c r="AF51" s="400"/>
      <c r="AG51" s="400"/>
      <c r="AH51" s="400"/>
      <c r="AI51" s="400"/>
      <c r="AJ51" s="400"/>
      <c r="AK51" s="400"/>
      <c r="AL51" s="400"/>
      <c r="AM51" s="400"/>
    </row>
    <row r="52" spans="1:39" ht="32.15" customHeight="1" x14ac:dyDescent="0.35">
      <c r="A52" s="417"/>
      <c r="B52" s="213"/>
      <c r="C52" s="22"/>
      <c r="D52" s="22"/>
      <c r="E52" s="23">
        <v>2015</v>
      </c>
      <c r="F52" s="23">
        <v>2016</v>
      </c>
      <c r="G52" s="23">
        <v>2017</v>
      </c>
      <c r="H52" s="23">
        <v>2018</v>
      </c>
      <c r="I52" s="23">
        <v>2019</v>
      </c>
      <c r="J52" s="23">
        <v>2020</v>
      </c>
      <c r="K52" s="23">
        <v>2021</v>
      </c>
      <c r="L52" s="23">
        <v>2022</v>
      </c>
      <c r="M52" s="24">
        <v>2023</v>
      </c>
      <c r="AB52"/>
      <c r="AC52"/>
      <c r="AF52" s="400"/>
      <c r="AG52" s="400"/>
      <c r="AH52" s="400"/>
      <c r="AI52" s="400"/>
      <c r="AJ52" s="400"/>
      <c r="AK52" s="400"/>
      <c r="AL52" s="400"/>
      <c r="AM52" s="400"/>
    </row>
    <row r="53" spans="1:39" x14ac:dyDescent="0.35">
      <c r="B53" s="25">
        <f>$F$3</f>
        <v>0</v>
      </c>
      <c r="C53" s="26"/>
      <c r="D53" s="26"/>
      <c r="E53" s="214"/>
      <c r="F53" s="214"/>
      <c r="G53" s="214"/>
      <c r="H53" s="214"/>
      <c r="I53" s="214"/>
      <c r="J53" s="214"/>
      <c r="K53" s="214"/>
      <c r="L53" s="214"/>
      <c r="M53" s="215"/>
      <c r="AB53"/>
      <c r="AC53"/>
      <c r="AF53" s="400"/>
      <c r="AG53" s="400"/>
      <c r="AH53" s="400"/>
      <c r="AI53" s="400"/>
      <c r="AJ53" s="400"/>
      <c r="AK53" s="400"/>
      <c r="AL53" s="400"/>
      <c r="AM53" s="400"/>
    </row>
    <row r="54" spans="1:39" ht="29.15" customHeight="1" x14ac:dyDescent="0.35">
      <c r="B54" s="412" t="s">
        <v>15</v>
      </c>
      <c r="C54" s="413"/>
      <c r="D54" s="413"/>
      <c r="E54" s="389" t="str">
        <f>IFERROR(VLOOKUP($F$3,Y_1,8,0),"")</f>
        <v/>
      </c>
      <c r="F54" s="389" t="str">
        <f>IFERROR(VLOOKUP($F$3,Y_2,8,0),"")</f>
        <v/>
      </c>
      <c r="G54" s="389" t="str">
        <f>IFERROR(VLOOKUP($F$3,Y_3,8,0),"")</f>
        <v/>
      </c>
      <c r="H54" s="389" t="str">
        <f>IFERROR(VLOOKUP($F$3,Y_4,8,0),"")</f>
        <v/>
      </c>
      <c r="I54" s="389" t="str">
        <f>IFERROR(VLOOKUP($F$3,Y_5,8,0),"")</f>
        <v/>
      </c>
      <c r="J54" s="389" t="str">
        <f>IFERROR(VLOOKUP($F$3,Y_6,8,0),"")</f>
        <v/>
      </c>
      <c r="K54" s="389" t="str">
        <f>IFERROR(VLOOKUP($F$3,Y_7,8,0),"")</f>
        <v/>
      </c>
      <c r="L54" s="389" t="str">
        <f>IFERROR(VLOOKUP($F$3,Y_8,8,0),"")</f>
        <v/>
      </c>
      <c r="M54" s="390" t="str">
        <f>IFERROR(VLOOKUP($F$3,Y_9,8,0),"")</f>
        <v/>
      </c>
      <c r="AB54"/>
      <c r="AC54"/>
      <c r="AF54" s="400"/>
      <c r="AG54" s="400"/>
      <c r="AH54" s="400"/>
      <c r="AI54" s="400"/>
      <c r="AJ54" s="400"/>
      <c r="AK54" s="400"/>
      <c r="AL54" s="400"/>
      <c r="AM54" s="400"/>
    </row>
    <row r="55" spans="1:39" ht="29.15" customHeight="1" x14ac:dyDescent="0.35">
      <c r="B55" s="412" t="s">
        <v>16</v>
      </c>
      <c r="C55" s="413"/>
      <c r="D55" s="413"/>
      <c r="E55" s="389" t="str">
        <f>IFERROR(VLOOKUP($F$3,Y_1,9,0),"")</f>
        <v/>
      </c>
      <c r="F55" s="389" t="str">
        <f>IFERROR(VLOOKUP($F$3,Y_2,9,0),"")</f>
        <v/>
      </c>
      <c r="G55" s="389" t="str">
        <f>IFERROR(VLOOKUP($F$3,Y_3,9,0),"")</f>
        <v/>
      </c>
      <c r="H55" s="389" t="str">
        <f>IFERROR(VLOOKUP($F$3,Y_4,9,0),"")</f>
        <v/>
      </c>
      <c r="I55" s="389" t="str">
        <f>IFERROR(VLOOKUP($F$3,Y_5,9,0),"")</f>
        <v/>
      </c>
      <c r="J55" s="389" t="str">
        <f>IFERROR(VLOOKUP($F$3,Y_6,9,0),"")</f>
        <v/>
      </c>
      <c r="K55" s="389" t="str">
        <f>IFERROR(VLOOKUP($F$3,Y_7,9,0),"")</f>
        <v/>
      </c>
      <c r="L55" s="389" t="str">
        <f>IFERROR(VLOOKUP($F$3,Y_8,9,0),"")</f>
        <v/>
      </c>
      <c r="M55" s="390" t="str">
        <f>IFERROR(VLOOKUP($F$3,Y_9,9,0),"")</f>
        <v/>
      </c>
      <c r="AB55"/>
      <c r="AC55"/>
      <c r="AF55" s="400"/>
      <c r="AG55" s="400"/>
      <c r="AH55" s="400"/>
      <c r="AI55" s="400"/>
      <c r="AJ55" s="400"/>
      <c r="AK55" s="400"/>
      <c r="AL55" s="400"/>
      <c r="AM55" s="400"/>
    </row>
    <row r="56" spans="1:39" ht="29.15" customHeight="1" x14ac:dyDescent="0.35">
      <c r="B56" s="414" t="s">
        <v>17</v>
      </c>
      <c r="C56" s="415"/>
      <c r="D56" s="415"/>
      <c r="E56" s="27" t="str">
        <f>IFERROR(E55/E54,"-")</f>
        <v>-</v>
      </c>
      <c r="F56" s="27" t="str">
        <f t="shared" ref="F56:J56" si="0">IFERROR(F55/F54,"-")</f>
        <v>-</v>
      </c>
      <c r="G56" s="27" t="str">
        <f t="shared" si="0"/>
        <v>-</v>
      </c>
      <c r="H56" s="27" t="str">
        <f t="shared" si="0"/>
        <v>-</v>
      </c>
      <c r="I56" s="27" t="str">
        <f t="shared" si="0"/>
        <v>-</v>
      </c>
      <c r="J56" s="27" t="str">
        <f t="shared" si="0"/>
        <v>-</v>
      </c>
      <c r="K56" s="27" t="str">
        <f t="shared" ref="K56" si="1">IFERROR(K55/K54,"-")</f>
        <v>-</v>
      </c>
      <c r="L56" s="27" t="str">
        <f t="shared" ref="L56" si="2">IFERROR(L55/L54,"-")</f>
        <v>-</v>
      </c>
      <c r="M56" s="28" t="str">
        <f t="shared" ref="M56" si="3">IFERROR(M55/M54,"-")</f>
        <v>-</v>
      </c>
      <c r="AB56"/>
      <c r="AC56"/>
      <c r="AF56" s="400"/>
      <c r="AG56" s="400"/>
      <c r="AH56" s="400"/>
      <c r="AI56" s="400"/>
      <c r="AJ56" s="400"/>
      <c r="AK56" s="400"/>
      <c r="AL56" s="400"/>
      <c r="AM56" s="400"/>
    </row>
    <row r="57" spans="1:39" x14ac:dyDescent="0.35">
      <c r="B57" s="29" t="str">
        <f>$B$48</f>
        <v/>
      </c>
      <c r="C57" s="30"/>
      <c r="D57" s="30"/>
      <c r="E57" s="216"/>
      <c r="F57" s="216"/>
      <c r="G57" s="216"/>
      <c r="H57" s="216"/>
      <c r="I57" s="216"/>
      <c r="J57" s="216"/>
      <c r="K57" s="216"/>
      <c r="L57" s="216"/>
      <c r="M57" s="217"/>
      <c r="AB57"/>
      <c r="AC57"/>
      <c r="AF57" s="400"/>
      <c r="AG57" s="400"/>
      <c r="AH57" s="400"/>
      <c r="AI57" s="400"/>
      <c r="AJ57" s="400"/>
      <c r="AK57" s="400"/>
      <c r="AL57" s="400"/>
      <c r="AM57" s="400"/>
    </row>
    <row r="58" spans="1:39" ht="29.15" customHeight="1" x14ac:dyDescent="0.35">
      <c r="B58" s="412" t="s">
        <v>15</v>
      </c>
      <c r="C58" s="413"/>
      <c r="D58" s="413"/>
      <c r="E58" s="389" t="str">
        <f>IFERROR(VLOOKUP($F$4,Y_1,8,0),"")</f>
        <v/>
      </c>
      <c r="F58" s="389" t="str">
        <f>IFERROR(VLOOKUP($F$4,Y_2,8,0),"")</f>
        <v/>
      </c>
      <c r="G58" s="389" t="str">
        <f>IFERROR(VLOOKUP($F$4,Y_3,8,0),"")</f>
        <v/>
      </c>
      <c r="H58" s="389" t="str">
        <f>IFERROR(VLOOKUP($F$4,Y_4,8,0),"")</f>
        <v/>
      </c>
      <c r="I58" s="389" t="str">
        <f>IFERROR(VLOOKUP($F$4,Y_5,8,0),"")</f>
        <v/>
      </c>
      <c r="J58" s="389" t="str">
        <f>IFERROR(VLOOKUP($F$4,Y_6,8,0),"")</f>
        <v/>
      </c>
      <c r="K58" s="389" t="str">
        <f>IFERROR(VLOOKUP($F$4,Y_7,8,0),"")</f>
        <v/>
      </c>
      <c r="L58" s="389" t="str">
        <f>IFERROR(VLOOKUP($F$4,Y_8,8,0),"")</f>
        <v/>
      </c>
      <c r="M58" s="390" t="str">
        <f>IFERROR(VLOOKUP($F$4,Y_9,8,0),"")</f>
        <v/>
      </c>
      <c r="AB58"/>
      <c r="AC58"/>
      <c r="AF58" s="400"/>
      <c r="AG58" s="400"/>
      <c r="AH58" s="400"/>
      <c r="AI58" s="400"/>
      <c r="AJ58" s="400"/>
      <c r="AK58" s="400"/>
      <c r="AL58" s="400"/>
      <c r="AM58" s="400"/>
    </row>
    <row r="59" spans="1:39" ht="29.15" customHeight="1" x14ac:dyDescent="0.35">
      <c r="B59" s="412" t="s">
        <v>16</v>
      </c>
      <c r="C59" s="413"/>
      <c r="D59" s="413"/>
      <c r="E59" s="389" t="str">
        <f>IFERROR(VLOOKUP($F$4,Y_1,9,0),"")</f>
        <v/>
      </c>
      <c r="F59" s="389" t="str">
        <f>IFERROR(VLOOKUP($F$4,Y_2,9,0),"")</f>
        <v/>
      </c>
      <c r="G59" s="389" t="str">
        <f>IFERROR(VLOOKUP($F$4,Y_3,9,0),"")</f>
        <v/>
      </c>
      <c r="H59" s="389" t="str">
        <f>IFERROR(VLOOKUP($F$4,Y_4,9,0),"")</f>
        <v/>
      </c>
      <c r="I59" s="389" t="str">
        <f>IFERROR(VLOOKUP($F$4,Y_5,9,0),"")</f>
        <v/>
      </c>
      <c r="J59" s="389" t="str">
        <f>IFERROR(VLOOKUP($F$4,Y_6,9,0),"")</f>
        <v/>
      </c>
      <c r="K59" s="389" t="str">
        <f>IFERROR(VLOOKUP($F$4,Y_7,9,0),"")</f>
        <v/>
      </c>
      <c r="L59" s="389" t="str">
        <f>IFERROR(VLOOKUP($F$4,Y_8,9,0),"")</f>
        <v/>
      </c>
      <c r="M59" s="390" t="str">
        <f>IFERROR(VLOOKUP($F$4,Y_9,9,0),"")</f>
        <v/>
      </c>
      <c r="AB59"/>
      <c r="AC59"/>
      <c r="AF59" s="400"/>
      <c r="AG59" s="400"/>
      <c r="AH59" s="400"/>
      <c r="AI59" s="400"/>
      <c r="AJ59" s="400"/>
      <c r="AK59" s="400"/>
      <c r="AL59" s="400"/>
      <c r="AM59" s="400"/>
    </row>
    <row r="60" spans="1:39" ht="29.15" customHeight="1" x14ac:dyDescent="0.35">
      <c r="B60" s="412" t="s">
        <v>17</v>
      </c>
      <c r="C60" s="413"/>
      <c r="D60" s="413"/>
      <c r="E60" s="223" t="str">
        <f>IFERROR(E59/E58,"-")</f>
        <v>-</v>
      </c>
      <c r="F60" s="223" t="str">
        <f t="shared" ref="F60:J60" si="4">IFERROR(F59/F58,"-")</f>
        <v>-</v>
      </c>
      <c r="G60" s="223" t="str">
        <f t="shared" si="4"/>
        <v>-</v>
      </c>
      <c r="H60" s="223" t="str">
        <f t="shared" si="4"/>
        <v>-</v>
      </c>
      <c r="I60" s="223" t="str">
        <f t="shared" si="4"/>
        <v>-</v>
      </c>
      <c r="J60" s="223" t="str">
        <f t="shared" si="4"/>
        <v>-</v>
      </c>
      <c r="K60" s="223" t="str">
        <f t="shared" ref="K60" si="5">IFERROR(K59/K58,"-")</f>
        <v>-</v>
      </c>
      <c r="L60" s="223" t="str">
        <f t="shared" ref="L60" si="6">IFERROR(L59/L58,"-")</f>
        <v>-</v>
      </c>
      <c r="M60" s="224" t="str">
        <f t="shared" ref="M60" si="7">IFERROR(M59/M58,"-")</f>
        <v>-</v>
      </c>
      <c r="AB60"/>
      <c r="AC60"/>
      <c r="AF60" s="400"/>
      <c r="AG60" s="400"/>
      <c r="AH60" s="400"/>
      <c r="AI60" s="400"/>
      <c r="AJ60" s="400"/>
      <c r="AK60" s="400"/>
      <c r="AL60" s="400"/>
      <c r="AM60" s="400"/>
    </row>
    <row r="61" spans="1:39" x14ac:dyDescent="0.35">
      <c r="B61" s="29" t="s">
        <v>13</v>
      </c>
      <c r="C61" s="30"/>
      <c r="D61" s="30"/>
      <c r="E61" s="216"/>
      <c r="F61" s="216"/>
      <c r="G61" s="216"/>
      <c r="H61" s="216"/>
      <c r="I61" s="216"/>
      <c r="J61" s="216"/>
      <c r="K61" s="216"/>
      <c r="L61" s="216"/>
      <c r="M61" s="217"/>
      <c r="AB61"/>
      <c r="AC61"/>
      <c r="AF61" s="400"/>
      <c r="AG61" s="400"/>
      <c r="AH61" s="400"/>
      <c r="AI61" s="400"/>
      <c r="AJ61" s="400"/>
      <c r="AK61" s="400"/>
      <c r="AL61" s="400"/>
      <c r="AM61" s="400"/>
    </row>
    <row r="62" spans="1:39" ht="29.15" customHeight="1" x14ac:dyDescent="0.35">
      <c r="B62" s="412" t="s">
        <v>15</v>
      </c>
      <c r="C62" s="413"/>
      <c r="D62" s="413"/>
      <c r="E62" s="389">
        <f>IF($F$4&lt;&gt;"",VLOOKUP($B$49,Y_1,8,0),"")</f>
        <v>2451983</v>
      </c>
      <c r="F62" s="389">
        <f>IF($F$4&lt;&gt;"",VLOOKUP($B$49,Y_2,8,0),"")</f>
        <v>2493952</v>
      </c>
      <c r="G62" s="389">
        <f>IF($F$4&lt;&gt;"",VLOOKUP($B$49,Y_3,8,0),"")</f>
        <v>2511258</v>
      </c>
      <c r="H62" s="389">
        <f>IF($F$4&lt;&gt;"",VLOOKUP($B$49,Y_4,8,0),"")</f>
        <v>2539112</v>
      </c>
      <c r="I62" s="389">
        <f>IF($F$4&lt;&gt;"",VLOOKUP($B$49,Y_5,8,0),"")</f>
        <v>2560993</v>
      </c>
      <c r="J62" s="389">
        <f>IF($F$4&lt;&gt;"",VLOOKUP($B$49,Y_6,8,0),"")</f>
        <v>2583208</v>
      </c>
      <c r="K62" s="389">
        <f>IF($F$4&lt;&gt;"",VLOOKUP($B$49,Y_7,8,0),"")</f>
        <v>2598546</v>
      </c>
      <c r="L62" s="389">
        <f>IF($F$4&lt;&gt;"",VLOOKUP($B$49,Y_8,8,0),"")</f>
        <v>2619054</v>
      </c>
      <c r="M62" s="390">
        <f>IF($F$4&lt;&gt;"",VLOOKUP($B$49,Y_9,8,0),"")</f>
        <v>2645328</v>
      </c>
      <c r="AB62"/>
      <c r="AC62"/>
      <c r="AF62" s="400"/>
      <c r="AG62" s="400"/>
      <c r="AH62" s="400"/>
      <c r="AI62" s="400"/>
      <c r="AJ62" s="400"/>
      <c r="AK62" s="400"/>
      <c r="AL62" s="400"/>
      <c r="AM62" s="400"/>
    </row>
    <row r="63" spans="1:39" ht="29.15" customHeight="1" x14ac:dyDescent="0.35">
      <c r="B63" s="412" t="s">
        <v>16</v>
      </c>
      <c r="C63" s="413"/>
      <c r="D63" s="413"/>
      <c r="E63" s="389">
        <f>IF($F$4&lt;&gt;"",VLOOKUP($B$49,Y_1,9,0),"")</f>
        <v>16474</v>
      </c>
      <c r="F63" s="389">
        <f>IF($F$4&lt;&gt;"",VLOOKUP($B$49,Y_2,9,0),"")</f>
        <v>8053</v>
      </c>
      <c r="G63" s="389">
        <f>IF($F$4&lt;&gt;"",VLOOKUP($B$49,Y_3,9,0),"")</f>
        <v>11479</v>
      </c>
      <c r="H63" s="389">
        <f>IF($F$4&lt;&gt;"",VLOOKUP($B$49,Y_4,9,0),"")</f>
        <v>9610</v>
      </c>
      <c r="I63" s="389">
        <f>IF($F$4&lt;&gt;"",VLOOKUP($B$49,Y_5,9,0),"")</f>
        <v>8896</v>
      </c>
      <c r="J63" s="389">
        <f>IF($F$4&lt;&gt;"",VLOOKUP($B$49,Y_6,9,0),"")</f>
        <v>7788</v>
      </c>
      <c r="K63" s="389">
        <f>IF($F$4&lt;&gt;"",VLOOKUP($B$49,Y_7,9,0),"")</f>
        <v>10772</v>
      </c>
      <c r="L63" s="389">
        <f>IF($F$4&lt;&gt;"",VLOOKUP($B$49,Y_8,9,0),"")</f>
        <v>6692</v>
      </c>
      <c r="M63" s="390">
        <f>IF($F$4&lt;&gt;"",VLOOKUP($B$49,Y_9,9,0),"")</f>
        <v>15497</v>
      </c>
      <c r="AB63"/>
      <c r="AC63"/>
      <c r="AF63" s="400"/>
      <c r="AG63" s="400"/>
      <c r="AH63" s="400"/>
      <c r="AI63" s="400"/>
      <c r="AJ63" s="400"/>
      <c r="AK63" s="400"/>
      <c r="AL63" s="400"/>
      <c r="AM63" s="400"/>
    </row>
    <row r="64" spans="1:39" ht="29.15" customHeight="1" x14ac:dyDescent="0.35">
      <c r="B64" s="412" t="s">
        <v>17</v>
      </c>
      <c r="C64" s="413"/>
      <c r="D64" s="413"/>
      <c r="E64" s="223">
        <f>IFERROR(E63/E62,"-")</f>
        <v>6.7186436447561016E-3</v>
      </c>
      <c r="F64" s="223">
        <f t="shared" ref="F64:J64" si="8">IFERROR(F63/F62,"-")</f>
        <v>3.2290116249230139E-3</v>
      </c>
      <c r="G64" s="223">
        <f t="shared" si="8"/>
        <v>4.5710158016420456E-3</v>
      </c>
      <c r="H64" s="223">
        <f t="shared" si="8"/>
        <v>3.7847877525686146E-3</v>
      </c>
      <c r="I64" s="223">
        <f t="shared" si="8"/>
        <v>3.4736526027208977E-3</v>
      </c>
      <c r="J64" s="223">
        <f t="shared" si="8"/>
        <v>3.0148559465594717E-3</v>
      </c>
      <c r="K64" s="223">
        <f t="shared" ref="K64" si="9">IFERROR(K63/K62,"-")</f>
        <v>4.1453951555985536E-3</v>
      </c>
      <c r="L64" s="223">
        <f t="shared" ref="L64" si="10">IFERROR(L63/L62,"-")</f>
        <v>2.5551210475232662E-3</v>
      </c>
      <c r="M64" s="224">
        <f t="shared" ref="M64" si="11">IFERROR(M63/M62,"-")</f>
        <v>5.8582527384127793E-3</v>
      </c>
      <c r="AB64"/>
      <c r="AC64"/>
      <c r="AF64" s="400"/>
      <c r="AG64" s="400"/>
      <c r="AH64" s="400"/>
      <c r="AI64" s="400"/>
      <c r="AJ64" s="400"/>
      <c r="AK64" s="400"/>
      <c r="AL64" s="400"/>
      <c r="AM64" s="400"/>
    </row>
    <row r="65" spans="1:56" x14ac:dyDescent="0.35">
      <c r="B65" s="193"/>
      <c r="C65" s="193"/>
      <c r="D65" s="193"/>
      <c r="E65" s="165"/>
      <c r="F65" s="165"/>
      <c r="G65" s="165"/>
      <c r="H65" s="165"/>
      <c r="I65" s="165"/>
      <c r="J65" s="165"/>
      <c r="K65" s="165"/>
      <c r="L65" s="165"/>
      <c r="M65" s="165"/>
      <c r="AB65"/>
      <c r="AC65"/>
      <c r="AF65" s="400"/>
      <c r="AG65" s="400"/>
      <c r="AH65" s="400"/>
      <c r="AI65" s="400"/>
      <c r="AJ65" s="400"/>
      <c r="AK65" s="400"/>
      <c r="AL65" s="400"/>
      <c r="AM65" s="400"/>
    </row>
    <row r="66" spans="1:56" s="316" customFormat="1" x14ac:dyDescent="0.35">
      <c r="A66" s="416">
        <v>3</v>
      </c>
      <c r="B66" s="364"/>
      <c r="C66" s="364"/>
      <c r="D66" s="364"/>
      <c r="E66" s="365"/>
      <c r="F66" s="365"/>
      <c r="G66" s="365"/>
      <c r="H66" s="365"/>
      <c r="I66" s="365"/>
      <c r="J66" s="365"/>
      <c r="K66" s="365"/>
      <c r="L66" s="365"/>
      <c r="M66" s="365"/>
      <c r="N66" s="366"/>
      <c r="AB66"/>
      <c r="AC66"/>
      <c r="AD66" s="158"/>
      <c r="AE66" s="158"/>
      <c r="AF66" s="400"/>
      <c r="AG66" s="400"/>
      <c r="AH66" s="400"/>
      <c r="AI66" s="400"/>
      <c r="AJ66" s="400"/>
      <c r="AK66" s="400"/>
      <c r="AL66" s="400"/>
      <c r="AM66" s="400"/>
      <c r="AN66"/>
      <c r="AO66"/>
      <c r="AP66"/>
      <c r="AQ66"/>
      <c r="AR66"/>
      <c r="AS66"/>
      <c r="AT66"/>
      <c r="AU66"/>
      <c r="AV66"/>
      <c r="AW66"/>
      <c r="AX66"/>
      <c r="AY66"/>
      <c r="AZ66"/>
      <c r="BA66"/>
      <c r="BB66"/>
      <c r="BC66"/>
      <c r="BD66"/>
    </row>
    <row r="67" spans="1:56" s="316" customFormat="1" x14ac:dyDescent="0.35">
      <c r="A67" s="417"/>
      <c r="B67" s="364"/>
      <c r="C67" s="364"/>
      <c r="D67" s="364"/>
      <c r="E67" s="365"/>
      <c r="F67" s="365"/>
      <c r="G67" s="365"/>
      <c r="H67" s="365"/>
      <c r="I67" s="365"/>
      <c r="J67" s="365"/>
      <c r="K67" s="365"/>
      <c r="L67" s="365"/>
      <c r="M67" s="365"/>
      <c r="N67" s="366"/>
      <c r="AB67"/>
      <c r="AC67"/>
      <c r="AD67" s="158"/>
      <c r="AE67" s="158"/>
      <c r="AF67" s="400"/>
      <c r="AG67" s="400"/>
      <c r="AH67" s="400"/>
      <c r="AI67" s="400"/>
      <c r="AJ67" s="400"/>
      <c r="AK67" s="400"/>
      <c r="AL67" s="400"/>
      <c r="AM67" s="400"/>
      <c r="AN67"/>
      <c r="AO67"/>
      <c r="AP67"/>
      <c r="AQ67"/>
      <c r="AR67"/>
      <c r="AS67"/>
      <c r="AT67"/>
      <c r="AU67"/>
      <c r="AV67"/>
      <c r="AW67"/>
      <c r="AX67"/>
      <c r="AY67"/>
      <c r="AZ67"/>
      <c r="BA67"/>
      <c r="BB67"/>
      <c r="BC67"/>
      <c r="BD67"/>
    </row>
    <row r="68" spans="1:56" s="316" customFormat="1" x14ac:dyDescent="0.35">
      <c r="B68" s="364"/>
      <c r="C68" s="364"/>
      <c r="D68" s="364"/>
      <c r="E68" s="365"/>
      <c r="F68" s="365"/>
      <c r="G68" s="365"/>
      <c r="H68" s="365"/>
      <c r="I68" s="365"/>
      <c r="J68" s="365"/>
      <c r="K68" s="365"/>
      <c r="L68" s="365"/>
      <c r="M68" s="365"/>
      <c r="N68" s="366"/>
      <c r="AB68"/>
      <c r="AC68"/>
      <c r="AD68" s="158"/>
      <c r="AE68" s="158"/>
      <c r="AF68" s="400"/>
      <c r="AG68" s="400"/>
      <c r="AH68" s="400"/>
      <c r="AI68" s="400"/>
      <c r="AJ68" s="400"/>
      <c r="AK68" s="400"/>
      <c r="AL68" s="400"/>
      <c r="AM68" s="400"/>
      <c r="AN68"/>
      <c r="AO68"/>
      <c r="AP68"/>
      <c r="AQ68"/>
      <c r="AR68"/>
      <c r="AS68"/>
      <c r="AT68"/>
      <c r="AU68"/>
      <c r="AV68"/>
      <c r="AW68"/>
      <c r="AX68"/>
      <c r="AY68"/>
      <c r="AZ68"/>
      <c r="BA68"/>
      <c r="BB68"/>
      <c r="BC68"/>
      <c r="BD68"/>
    </row>
    <row r="69" spans="1:56" s="316" customFormat="1" x14ac:dyDescent="0.35">
      <c r="B69" s="364"/>
      <c r="C69" s="364"/>
      <c r="D69" s="364"/>
      <c r="E69" s="365"/>
      <c r="F69" s="365"/>
      <c r="G69" s="365"/>
      <c r="H69" s="365"/>
      <c r="I69" s="365"/>
      <c r="J69" s="365"/>
      <c r="K69" s="365"/>
      <c r="L69" s="365"/>
      <c r="M69" s="365"/>
      <c r="N69" s="366"/>
      <c r="AB69"/>
      <c r="AC69"/>
      <c r="AD69" s="158"/>
      <c r="AE69" s="158"/>
      <c r="AF69" s="400"/>
      <c r="AG69" s="400"/>
      <c r="AH69" s="400"/>
      <c r="AI69" s="400"/>
      <c r="AJ69" s="400"/>
      <c r="AK69" s="400"/>
      <c r="AL69" s="400"/>
      <c r="AM69" s="400"/>
      <c r="AN69"/>
      <c r="AO69"/>
      <c r="AP69"/>
      <c r="AQ69"/>
      <c r="AR69"/>
      <c r="AS69"/>
      <c r="AT69"/>
      <c r="AU69"/>
      <c r="AV69"/>
      <c r="AW69"/>
      <c r="AX69"/>
      <c r="AY69"/>
      <c r="AZ69"/>
      <c r="BA69"/>
      <c r="BB69"/>
      <c r="BC69"/>
      <c r="BD69"/>
    </row>
    <row r="70" spans="1:56" s="316" customFormat="1" x14ac:dyDescent="0.35">
      <c r="B70" s="364"/>
      <c r="C70" s="364"/>
      <c r="D70" s="364"/>
      <c r="E70" s="365"/>
      <c r="F70" s="365"/>
      <c r="G70" s="365"/>
      <c r="H70" s="365"/>
      <c r="I70" s="365"/>
      <c r="J70" s="365"/>
      <c r="K70" s="365"/>
      <c r="L70" s="365"/>
      <c r="M70" s="365"/>
      <c r="N70" s="366"/>
      <c r="AB70"/>
      <c r="AC70"/>
      <c r="AD70" s="158"/>
      <c r="AE70" s="158"/>
      <c r="AF70" s="400"/>
      <c r="AG70" s="400"/>
      <c r="AH70" s="400"/>
      <c r="AI70" s="400"/>
      <c r="AJ70" s="400"/>
      <c r="AK70" s="400"/>
      <c r="AL70" s="400"/>
      <c r="AM70" s="400"/>
      <c r="AN70"/>
      <c r="AO70"/>
      <c r="AP70"/>
      <c r="AQ70"/>
      <c r="AR70"/>
      <c r="AS70"/>
      <c r="AT70"/>
      <c r="AU70"/>
      <c r="AV70"/>
      <c r="AW70"/>
      <c r="AX70"/>
      <c r="AY70"/>
      <c r="AZ70"/>
      <c r="BA70"/>
      <c r="BB70"/>
      <c r="BC70"/>
      <c r="BD70"/>
    </row>
    <row r="71" spans="1:56" s="316" customFormat="1" x14ac:dyDescent="0.35">
      <c r="B71" s="364"/>
      <c r="C71" s="364"/>
      <c r="D71" s="364"/>
      <c r="E71" s="365"/>
      <c r="F71" s="365"/>
      <c r="G71" s="365"/>
      <c r="H71" s="365"/>
      <c r="I71" s="365"/>
      <c r="J71" s="365"/>
      <c r="K71" s="365"/>
      <c r="L71" s="365"/>
      <c r="M71" s="365"/>
      <c r="N71" s="366"/>
      <c r="AB71"/>
      <c r="AC71"/>
      <c r="AD71" s="158"/>
      <c r="AE71" s="158"/>
      <c r="AF71" s="400"/>
      <c r="AG71" s="400"/>
      <c r="AH71" s="400"/>
      <c r="AI71" s="400"/>
      <c r="AJ71" s="400"/>
      <c r="AK71" s="400"/>
      <c r="AL71" s="400"/>
      <c r="AM71" s="400"/>
      <c r="AN71"/>
      <c r="AO71"/>
      <c r="AP71"/>
      <c r="AQ71"/>
      <c r="AR71"/>
      <c r="AS71"/>
      <c r="AT71"/>
      <c r="AU71"/>
      <c r="AV71"/>
      <c r="AW71"/>
      <c r="AX71"/>
      <c r="AY71"/>
      <c r="AZ71"/>
      <c r="BA71"/>
      <c r="BB71"/>
      <c r="BC71"/>
      <c r="BD71"/>
    </row>
    <row r="72" spans="1:56" s="316" customFormat="1" x14ac:dyDescent="0.35">
      <c r="B72" s="364"/>
      <c r="C72" s="364"/>
      <c r="D72" s="364"/>
      <c r="E72" s="365"/>
      <c r="F72" s="365"/>
      <c r="G72" s="365"/>
      <c r="H72" s="365"/>
      <c r="I72" s="365"/>
      <c r="J72" s="365"/>
      <c r="K72" s="365"/>
      <c r="L72" s="365"/>
      <c r="M72" s="365"/>
      <c r="N72" s="366"/>
      <c r="AB72"/>
      <c r="AC72"/>
      <c r="AD72" s="158"/>
      <c r="AE72" s="158"/>
      <c r="AF72" s="400"/>
      <c r="AG72" s="400"/>
      <c r="AH72" s="400"/>
      <c r="AI72" s="400"/>
      <c r="AJ72" s="400"/>
      <c r="AK72" s="400"/>
      <c r="AL72" s="400"/>
      <c r="AM72" s="400"/>
      <c r="AN72"/>
      <c r="AO72"/>
      <c r="AP72"/>
      <c r="AQ72"/>
      <c r="AR72"/>
      <c r="AS72"/>
      <c r="AT72"/>
      <c r="AU72"/>
      <c r="AV72"/>
      <c r="AW72"/>
      <c r="AX72"/>
      <c r="AY72"/>
      <c r="AZ72"/>
      <c r="BA72"/>
      <c r="BB72"/>
      <c r="BC72"/>
      <c r="BD72"/>
    </row>
    <row r="73" spans="1:56" s="316" customFormat="1" x14ac:dyDescent="0.35">
      <c r="B73" s="364"/>
      <c r="C73" s="364"/>
      <c r="D73" s="364"/>
      <c r="E73" s="365"/>
      <c r="F73" s="365"/>
      <c r="G73" s="365"/>
      <c r="H73" s="365"/>
      <c r="I73" s="365"/>
      <c r="J73" s="365"/>
      <c r="K73" s="365"/>
      <c r="L73" s="365"/>
      <c r="M73" s="365"/>
      <c r="N73" s="366"/>
      <c r="AB73"/>
      <c r="AC73"/>
      <c r="AD73" s="158"/>
      <c r="AE73" s="158"/>
      <c r="AF73" s="400"/>
      <c r="AG73" s="400"/>
      <c r="AH73" s="400"/>
      <c r="AI73" s="400"/>
      <c r="AJ73" s="400"/>
      <c r="AK73" s="400"/>
      <c r="AL73" s="400"/>
      <c r="AM73" s="400"/>
      <c r="AN73"/>
      <c r="AO73"/>
      <c r="AP73"/>
      <c r="AQ73"/>
      <c r="AR73"/>
      <c r="AS73"/>
      <c r="AT73"/>
      <c r="AU73"/>
      <c r="AV73"/>
      <c r="AW73"/>
      <c r="AX73"/>
      <c r="AY73"/>
      <c r="AZ73"/>
      <c r="BA73"/>
      <c r="BB73"/>
      <c r="BC73"/>
      <c r="BD73"/>
    </row>
    <row r="74" spans="1:56" s="316" customFormat="1" x14ac:dyDescent="0.35">
      <c r="B74" s="364"/>
      <c r="C74" s="364"/>
      <c r="D74" s="364"/>
      <c r="E74" s="365"/>
      <c r="F74" s="365"/>
      <c r="G74" s="365"/>
      <c r="H74" s="365"/>
      <c r="I74" s="365"/>
      <c r="J74" s="365"/>
      <c r="K74" s="365"/>
      <c r="L74" s="365"/>
      <c r="M74" s="365"/>
      <c r="N74" s="366"/>
      <c r="AB74"/>
      <c r="AC74"/>
      <c r="AD74" s="158"/>
      <c r="AE74" s="158"/>
      <c r="AF74" s="400"/>
      <c r="AG74" s="400"/>
      <c r="AH74" s="400"/>
      <c r="AI74" s="400"/>
      <c r="AJ74" s="400"/>
      <c r="AK74" s="400"/>
      <c r="AL74" s="400"/>
      <c r="AM74" s="400"/>
      <c r="AN74"/>
      <c r="AO74"/>
      <c r="AP74"/>
      <c r="AQ74"/>
      <c r="AR74"/>
      <c r="AS74"/>
      <c r="AT74"/>
      <c r="AU74"/>
      <c r="AV74"/>
      <c r="AW74"/>
      <c r="AX74"/>
      <c r="AY74"/>
      <c r="AZ74"/>
      <c r="BA74"/>
      <c r="BB74"/>
      <c r="BC74"/>
      <c r="BD74"/>
    </row>
    <row r="75" spans="1:56" s="316" customFormat="1" x14ac:dyDescent="0.35">
      <c r="B75" s="364"/>
      <c r="C75" s="364"/>
      <c r="D75" s="364"/>
      <c r="E75" s="365"/>
      <c r="F75" s="365"/>
      <c r="G75" s="365"/>
      <c r="H75" s="365"/>
      <c r="I75" s="365"/>
      <c r="J75" s="365"/>
      <c r="K75" s="365"/>
      <c r="L75" s="365"/>
      <c r="M75" s="365"/>
      <c r="N75" s="366"/>
      <c r="AB75"/>
      <c r="AC75"/>
      <c r="AD75" s="158"/>
      <c r="AE75" s="158"/>
      <c r="AF75" s="400"/>
      <c r="AG75" s="400"/>
      <c r="AH75" s="400"/>
      <c r="AI75" s="400"/>
      <c r="AJ75" s="400"/>
      <c r="AK75" s="400"/>
      <c r="AL75" s="400"/>
      <c r="AM75" s="400"/>
      <c r="AN75"/>
      <c r="AO75"/>
      <c r="AP75"/>
      <c r="AQ75"/>
      <c r="AR75"/>
      <c r="AS75"/>
      <c r="AT75"/>
      <c r="AU75"/>
      <c r="AV75"/>
      <c r="AW75"/>
      <c r="AX75"/>
      <c r="AY75"/>
      <c r="AZ75"/>
      <c r="BA75"/>
      <c r="BB75"/>
      <c r="BC75"/>
      <c r="BD75"/>
    </row>
    <row r="76" spans="1:56" s="316" customFormat="1" x14ac:dyDescent="0.35">
      <c r="B76" s="364"/>
      <c r="C76" s="364"/>
      <c r="D76" s="364"/>
      <c r="E76" s="365"/>
      <c r="F76" s="365"/>
      <c r="G76" s="365"/>
      <c r="H76" s="365"/>
      <c r="I76" s="365"/>
      <c r="J76" s="365"/>
      <c r="K76" s="365"/>
      <c r="L76" s="365"/>
      <c r="M76" s="365"/>
      <c r="N76" s="366"/>
      <c r="AB76"/>
      <c r="AC76"/>
      <c r="AD76" s="158"/>
      <c r="AE76" s="158"/>
      <c r="AF76" s="400"/>
      <c r="AG76" s="400"/>
      <c r="AH76" s="400"/>
      <c r="AI76" s="400"/>
      <c r="AJ76" s="400"/>
      <c r="AK76" s="400"/>
      <c r="AL76" s="400"/>
      <c r="AM76" s="400"/>
      <c r="AN76"/>
      <c r="AO76"/>
      <c r="AP76"/>
      <c r="AQ76"/>
      <c r="AR76"/>
      <c r="AS76"/>
      <c r="AT76"/>
      <c r="AU76"/>
      <c r="AV76"/>
      <c r="AW76"/>
      <c r="AX76"/>
      <c r="AY76"/>
      <c r="AZ76"/>
      <c r="BA76"/>
      <c r="BB76"/>
      <c r="BC76"/>
      <c r="BD76"/>
    </row>
    <row r="77" spans="1:56" s="316" customFormat="1" x14ac:dyDescent="0.35">
      <c r="B77" s="364"/>
      <c r="C77" s="364"/>
      <c r="D77" s="364"/>
      <c r="E77" s="365"/>
      <c r="F77" s="365"/>
      <c r="G77" s="365"/>
      <c r="H77" s="365"/>
      <c r="I77" s="365"/>
      <c r="J77" s="365"/>
      <c r="K77" s="365"/>
      <c r="L77" s="365"/>
      <c r="M77" s="365"/>
      <c r="N77" s="366"/>
      <c r="AB77"/>
      <c r="AC77"/>
      <c r="AD77" s="158"/>
      <c r="AE77" s="158"/>
      <c r="AF77" s="400"/>
      <c r="AG77" s="400"/>
      <c r="AH77" s="400"/>
      <c r="AI77" s="400"/>
      <c r="AJ77" s="400"/>
      <c r="AK77" s="400"/>
      <c r="AL77" s="400"/>
      <c r="AM77" s="400"/>
      <c r="AN77"/>
      <c r="AO77"/>
      <c r="AP77"/>
      <c r="AQ77"/>
      <c r="AR77"/>
      <c r="AS77"/>
      <c r="AT77"/>
      <c r="AU77"/>
      <c r="AV77"/>
      <c r="AW77"/>
      <c r="AX77"/>
      <c r="AY77"/>
      <c r="AZ77"/>
      <c r="BA77"/>
      <c r="BB77"/>
      <c r="BC77"/>
      <c r="BD77"/>
    </row>
    <row r="78" spans="1:56" s="316" customFormat="1" x14ac:dyDescent="0.35">
      <c r="B78" s="364"/>
      <c r="C78" s="364"/>
      <c r="D78" s="364"/>
      <c r="E78" s="365"/>
      <c r="F78" s="365"/>
      <c r="G78" s="365"/>
      <c r="H78" s="365"/>
      <c r="I78" s="365"/>
      <c r="J78" s="365"/>
      <c r="K78" s="365"/>
      <c r="L78" s="365"/>
      <c r="M78" s="365"/>
      <c r="N78" s="366"/>
      <c r="AB78"/>
      <c r="AC78"/>
      <c r="AD78" s="158"/>
      <c r="AE78" s="158"/>
      <c r="AF78" s="400"/>
      <c r="AG78" s="400"/>
      <c r="AH78" s="400"/>
      <c r="AI78" s="400"/>
      <c r="AJ78" s="400"/>
      <c r="AK78" s="400"/>
      <c r="AL78" s="400"/>
      <c r="AM78" s="400"/>
      <c r="AN78"/>
      <c r="AO78"/>
      <c r="AP78"/>
      <c r="AQ78"/>
      <c r="AR78"/>
      <c r="AS78"/>
      <c r="AT78"/>
      <c r="AU78"/>
      <c r="AV78"/>
      <c r="AW78"/>
      <c r="AX78"/>
      <c r="AY78"/>
      <c r="AZ78"/>
      <c r="BA78"/>
      <c r="BB78"/>
      <c r="BC78"/>
      <c r="BD78"/>
    </row>
    <row r="79" spans="1:56" s="316" customFormat="1" x14ac:dyDescent="0.35">
      <c r="B79" s="364"/>
      <c r="C79" s="364"/>
      <c r="D79" s="364"/>
      <c r="E79" s="365"/>
      <c r="F79" s="365"/>
      <c r="G79" s="365"/>
      <c r="H79" s="365"/>
      <c r="I79" s="365"/>
      <c r="J79" s="365"/>
      <c r="K79" s="365"/>
      <c r="L79" s="365"/>
      <c r="M79" s="365"/>
      <c r="N79" s="366"/>
      <c r="AB79"/>
      <c r="AC79"/>
      <c r="AD79" s="158"/>
      <c r="AE79" s="158"/>
      <c r="AF79" s="400"/>
      <c r="AG79" s="400"/>
      <c r="AH79" s="400"/>
      <c r="AI79" s="400"/>
      <c r="AJ79" s="400"/>
      <c r="AK79" s="400"/>
      <c r="AL79" s="400"/>
      <c r="AM79" s="400"/>
      <c r="AN79"/>
      <c r="AO79"/>
      <c r="AP79"/>
      <c r="AQ79"/>
      <c r="AR79"/>
      <c r="AS79"/>
      <c r="AT79"/>
      <c r="AU79"/>
      <c r="AV79"/>
      <c r="AW79"/>
      <c r="AX79"/>
      <c r="AY79"/>
      <c r="AZ79"/>
      <c r="BA79"/>
      <c r="BB79"/>
      <c r="BC79"/>
      <c r="BD79"/>
    </row>
    <row r="80" spans="1:56" s="316" customFormat="1" x14ac:dyDescent="0.35">
      <c r="B80" s="364"/>
      <c r="C80" s="364"/>
      <c r="D80" s="364"/>
      <c r="E80" s="365"/>
      <c r="F80" s="365"/>
      <c r="G80" s="365"/>
      <c r="H80" s="365"/>
      <c r="I80" s="365"/>
      <c r="J80" s="365"/>
      <c r="K80" s="365"/>
      <c r="L80" s="365"/>
      <c r="M80" s="365"/>
      <c r="N80" s="366"/>
      <c r="AB80"/>
      <c r="AC80"/>
      <c r="AD80" s="158"/>
      <c r="AE80" s="158"/>
      <c r="AF80" s="400"/>
      <c r="AG80" s="400"/>
      <c r="AH80" s="400"/>
      <c r="AI80" s="400"/>
      <c r="AJ80" s="400"/>
      <c r="AK80" s="400"/>
      <c r="AL80" s="400"/>
      <c r="AM80" s="400"/>
      <c r="AN80"/>
      <c r="AO80"/>
      <c r="AP80"/>
      <c r="AQ80"/>
      <c r="AR80"/>
      <c r="AS80"/>
      <c r="AT80"/>
      <c r="AU80"/>
      <c r="AV80"/>
      <c r="AW80"/>
      <c r="AX80"/>
      <c r="AY80"/>
      <c r="AZ80"/>
      <c r="BA80"/>
      <c r="BB80"/>
      <c r="BC80"/>
      <c r="BD80"/>
    </row>
    <row r="81" spans="1:56" s="316" customFormat="1" x14ac:dyDescent="0.35">
      <c r="B81" s="364"/>
      <c r="C81" s="364"/>
      <c r="D81" s="364"/>
      <c r="E81" s="365"/>
      <c r="F81" s="365"/>
      <c r="G81" s="365"/>
      <c r="H81" s="365"/>
      <c r="I81" s="365"/>
      <c r="J81" s="365"/>
      <c r="K81" s="365"/>
      <c r="L81" s="365"/>
      <c r="M81" s="365"/>
      <c r="N81" s="366"/>
      <c r="AB81"/>
      <c r="AC81"/>
      <c r="AD81" s="158"/>
      <c r="AE81" s="158"/>
      <c r="AF81" s="400"/>
      <c r="AG81" s="400"/>
      <c r="AH81" s="400"/>
      <c r="AI81" s="400"/>
      <c r="AJ81" s="400"/>
      <c r="AK81" s="400"/>
      <c r="AL81" s="400"/>
      <c r="AM81" s="400"/>
      <c r="AN81"/>
      <c r="AO81"/>
      <c r="AP81"/>
      <c r="AQ81"/>
      <c r="AR81"/>
      <c r="AS81"/>
      <c r="AT81"/>
      <c r="AU81"/>
      <c r="AV81"/>
      <c r="AW81"/>
      <c r="AX81"/>
      <c r="AY81"/>
      <c r="AZ81"/>
      <c r="BA81"/>
      <c r="BB81"/>
      <c r="BC81"/>
      <c r="BD81"/>
    </row>
    <row r="82" spans="1:56" s="316" customFormat="1" x14ac:dyDescent="0.35">
      <c r="B82" s="364"/>
      <c r="C82" s="364"/>
      <c r="D82" s="364"/>
      <c r="E82" s="365"/>
      <c r="F82" s="365"/>
      <c r="G82" s="365"/>
      <c r="H82" s="365"/>
      <c r="I82" s="365"/>
      <c r="J82" s="365"/>
      <c r="K82" s="365"/>
      <c r="L82" s="365"/>
      <c r="M82" s="365"/>
      <c r="N82" s="366"/>
      <c r="AB82"/>
      <c r="AC82"/>
      <c r="AD82" s="158"/>
      <c r="AE82" s="158"/>
      <c r="AF82" s="400"/>
      <c r="AG82" s="400"/>
      <c r="AH82" s="400"/>
      <c r="AI82" s="400"/>
      <c r="AJ82" s="400"/>
      <c r="AK82" s="400"/>
      <c r="AL82" s="400"/>
      <c r="AM82" s="400"/>
      <c r="AN82"/>
      <c r="AO82"/>
      <c r="AP82"/>
      <c r="AQ82"/>
      <c r="AR82"/>
      <c r="AS82"/>
      <c r="AT82"/>
      <c r="AU82"/>
      <c r="AV82"/>
      <c r="AW82"/>
      <c r="AX82"/>
      <c r="AY82"/>
      <c r="AZ82"/>
      <c r="BA82"/>
      <c r="BB82"/>
      <c r="BC82"/>
      <c r="BD82"/>
    </row>
    <row r="83" spans="1:56" s="316" customFormat="1" x14ac:dyDescent="0.35">
      <c r="B83" s="364"/>
      <c r="C83" s="364"/>
      <c r="D83" s="364"/>
      <c r="E83" s="365"/>
      <c r="F83" s="365"/>
      <c r="G83" s="365"/>
      <c r="H83" s="365"/>
      <c r="I83" s="365"/>
      <c r="J83" s="365"/>
      <c r="K83" s="365"/>
      <c r="L83" s="365"/>
      <c r="M83" s="365"/>
      <c r="N83" s="366"/>
      <c r="AB83"/>
      <c r="AC83"/>
      <c r="AD83" s="158"/>
      <c r="AE83" s="158"/>
      <c r="AF83" s="400"/>
      <c r="AG83" s="400"/>
      <c r="AH83" s="400"/>
      <c r="AI83" s="400"/>
      <c r="AJ83" s="400"/>
      <c r="AK83" s="400"/>
      <c r="AL83" s="400"/>
      <c r="AM83" s="400"/>
      <c r="AN83"/>
      <c r="AO83"/>
      <c r="AP83"/>
      <c r="AQ83"/>
      <c r="AR83"/>
      <c r="AS83"/>
      <c r="AT83"/>
      <c r="AU83"/>
      <c r="AV83"/>
      <c r="AW83"/>
      <c r="AX83"/>
      <c r="AY83"/>
      <c r="AZ83"/>
      <c r="BA83"/>
      <c r="BB83"/>
      <c r="BC83"/>
      <c r="BD83"/>
    </row>
    <row r="84" spans="1:56" s="316" customFormat="1" x14ac:dyDescent="0.35">
      <c r="B84" s="364"/>
      <c r="C84" s="364"/>
      <c r="D84" s="364"/>
      <c r="E84" s="365"/>
      <c r="F84" s="365"/>
      <c r="G84" s="365"/>
      <c r="H84" s="365"/>
      <c r="I84" s="365"/>
      <c r="J84" s="365"/>
      <c r="K84" s="365"/>
      <c r="L84" s="365"/>
      <c r="M84" s="365"/>
      <c r="N84" s="366"/>
      <c r="AB84"/>
      <c r="AC84"/>
      <c r="AD84" s="158"/>
      <c r="AE84" s="158"/>
      <c r="AF84" s="400"/>
      <c r="AG84" s="400"/>
      <c r="AH84" s="400"/>
      <c r="AI84" s="400"/>
      <c r="AJ84" s="400"/>
      <c r="AK84" s="400"/>
      <c r="AL84" s="400"/>
      <c r="AM84" s="400"/>
      <c r="AN84"/>
      <c r="AO84"/>
      <c r="AP84"/>
      <c r="AQ84"/>
      <c r="AR84"/>
      <c r="AS84"/>
      <c r="AT84"/>
      <c r="AU84"/>
      <c r="AV84"/>
      <c r="AW84"/>
      <c r="AX84"/>
      <c r="AY84"/>
      <c r="AZ84"/>
      <c r="BA84"/>
      <c r="BB84"/>
      <c r="BC84"/>
      <c r="BD84"/>
    </row>
    <row r="85" spans="1:56" s="316" customFormat="1" x14ac:dyDescent="0.35">
      <c r="B85" s="364"/>
      <c r="C85" s="364"/>
      <c r="D85" s="364"/>
      <c r="E85" s="365"/>
      <c r="F85" s="365"/>
      <c r="G85" s="365"/>
      <c r="H85" s="365"/>
      <c r="I85" s="365"/>
      <c r="J85" s="365"/>
      <c r="K85" s="365"/>
      <c r="L85" s="365"/>
      <c r="M85" s="365"/>
      <c r="N85" s="366"/>
      <c r="AB85"/>
      <c r="AC85"/>
      <c r="AD85" s="158"/>
      <c r="AE85" s="158"/>
      <c r="AF85" s="400"/>
      <c r="AG85" s="400"/>
      <c r="AH85" s="400"/>
      <c r="AI85" s="400"/>
      <c r="AJ85" s="400"/>
      <c r="AK85" s="400"/>
      <c r="AL85" s="400"/>
      <c r="AM85" s="400"/>
      <c r="AN85"/>
      <c r="AO85"/>
      <c r="AP85"/>
      <c r="AQ85"/>
      <c r="AR85"/>
      <c r="AS85"/>
      <c r="AT85"/>
      <c r="AU85"/>
      <c r="AV85"/>
      <c r="AW85"/>
      <c r="AX85"/>
      <c r="AY85"/>
      <c r="AZ85"/>
      <c r="BA85"/>
      <c r="BB85"/>
      <c r="BC85"/>
      <c r="BD85"/>
    </row>
    <row r="86" spans="1:56" s="316" customFormat="1" x14ac:dyDescent="0.35">
      <c r="B86" s="364"/>
      <c r="C86" s="364"/>
      <c r="D86" s="364"/>
      <c r="E86" s="365"/>
      <c r="F86" s="365"/>
      <c r="G86" s="365"/>
      <c r="H86" s="365"/>
      <c r="I86" s="365"/>
      <c r="J86" s="365"/>
      <c r="K86" s="365"/>
      <c r="L86" s="365"/>
      <c r="M86" s="365"/>
      <c r="N86" s="366"/>
      <c r="AB86"/>
      <c r="AC86"/>
      <c r="AD86" s="158"/>
      <c r="AE86" s="158"/>
      <c r="AF86" s="400"/>
      <c r="AG86" s="400"/>
      <c r="AH86" s="400"/>
      <c r="AI86" s="400"/>
      <c r="AJ86" s="400"/>
      <c r="AK86" s="400"/>
      <c r="AL86" s="400"/>
      <c r="AM86" s="400"/>
      <c r="AN86"/>
      <c r="AO86"/>
      <c r="AP86"/>
      <c r="AQ86"/>
      <c r="AR86"/>
      <c r="AS86"/>
      <c r="AT86"/>
      <c r="AU86"/>
      <c r="AV86"/>
      <c r="AW86"/>
      <c r="AX86"/>
      <c r="AY86"/>
      <c r="AZ86"/>
      <c r="BA86"/>
      <c r="BB86"/>
      <c r="BC86"/>
      <c r="BD86"/>
    </row>
    <row r="87" spans="1:56" s="316" customFormat="1" x14ac:dyDescent="0.35">
      <c r="B87" s="364"/>
      <c r="C87" s="364"/>
      <c r="D87" s="364"/>
      <c r="E87" s="365"/>
      <c r="F87" s="365"/>
      <c r="G87" s="365"/>
      <c r="H87" s="365"/>
      <c r="I87" s="365"/>
      <c r="J87" s="365"/>
      <c r="K87" s="365"/>
      <c r="L87" s="365"/>
      <c r="M87" s="365"/>
      <c r="N87" s="366"/>
      <c r="AB87"/>
      <c r="AC87"/>
      <c r="AD87" s="158"/>
      <c r="AE87" s="158"/>
      <c r="AF87" s="400"/>
      <c r="AG87" s="400"/>
      <c r="AH87" s="400"/>
      <c r="AI87" s="400"/>
      <c r="AJ87" s="400"/>
      <c r="AK87" s="400"/>
      <c r="AL87" s="400"/>
      <c r="AM87" s="400"/>
      <c r="AN87"/>
      <c r="AO87"/>
      <c r="AP87"/>
      <c r="AQ87"/>
      <c r="AR87"/>
      <c r="AS87"/>
      <c r="AT87"/>
      <c r="AU87"/>
      <c r="AV87"/>
      <c r="AW87"/>
      <c r="AX87"/>
      <c r="AY87"/>
      <c r="AZ87"/>
      <c r="BA87"/>
      <c r="BB87"/>
      <c r="BC87"/>
      <c r="BD87"/>
    </row>
    <row r="88" spans="1:56" s="316" customFormat="1" x14ac:dyDescent="0.35">
      <c r="B88" s="364"/>
      <c r="C88" s="364"/>
      <c r="D88" s="364"/>
      <c r="E88" s="365"/>
      <c r="F88" s="365"/>
      <c r="G88" s="365"/>
      <c r="H88" s="365"/>
      <c r="I88" s="365"/>
      <c r="J88" s="365"/>
      <c r="K88" s="365"/>
      <c r="L88" s="365"/>
      <c r="M88" s="365"/>
      <c r="N88" s="366"/>
      <c r="AB88"/>
      <c r="AC88"/>
      <c r="AD88" s="158"/>
      <c r="AE88" s="158"/>
      <c r="AF88" s="400"/>
      <c r="AG88" s="400"/>
      <c r="AH88" s="400"/>
      <c r="AI88" s="400"/>
      <c r="AJ88" s="400"/>
      <c r="AK88" s="400"/>
      <c r="AL88" s="400"/>
      <c r="AM88" s="400"/>
      <c r="AN88"/>
      <c r="AO88"/>
      <c r="AP88"/>
      <c r="AQ88"/>
      <c r="AR88"/>
      <c r="AS88"/>
      <c r="AT88"/>
      <c r="AU88"/>
      <c r="AV88"/>
      <c r="AW88"/>
      <c r="AX88"/>
      <c r="AY88"/>
      <c r="AZ88"/>
      <c r="BA88"/>
      <c r="BB88"/>
      <c r="BC88"/>
      <c r="BD88"/>
    </row>
    <row r="89" spans="1:56" s="316" customFormat="1" x14ac:dyDescent="0.35">
      <c r="B89" s="364"/>
      <c r="C89" s="364"/>
      <c r="D89" s="364"/>
      <c r="E89" s="365"/>
      <c r="F89" s="365"/>
      <c r="G89" s="365"/>
      <c r="H89" s="365"/>
      <c r="I89" s="365"/>
      <c r="J89" s="365"/>
      <c r="K89" s="365"/>
      <c r="L89" s="365"/>
      <c r="M89" s="365"/>
      <c r="N89" s="366"/>
      <c r="AB89"/>
      <c r="AC89"/>
      <c r="AD89" s="158"/>
      <c r="AE89" s="158"/>
      <c r="AF89" s="400"/>
      <c r="AG89" s="400"/>
      <c r="AH89" s="400"/>
      <c r="AI89" s="400"/>
      <c r="AJ89" s="400"/>
      <c r="AK89" s="400"/>
      <c r="AL89" s="400"/>
      <c r="AM89" s="400"/>
      <c r="AN89"/>
      <c r="AO89"/>
      <c r="AP89"/>
      <c r="AQ89"/>
      <c r="AR89"/>
      <c r="AS89"/>
      <c r="AT89"/>
      <c r="AU89"/>
      <c r="AV89"/>
      <c r="AW89"/>
      <c r="AX89"/>
      <c r="AY89"/>
      <c r="AZ89"/>
      <c r="BA89"/>
      <c r="BB89"/>
      <c r="BC89"/>
      <c r="BD89"/>
    </row>
    <row r="90" spans="1:56" s="316" customFormat="1" x14ac:dyDescent="0.35">
      <c r="B90" s="364"/>
      <c r="C90" s="364"/>
      <c r="D90" s="364"/>
      <c r="E90" s="365"/>
      <c r="F90" s="365"/>
      <c r="G90" s="365"/>
      <c r="H90" s="365"/>
      <c r="I90" s="365"/>
      <c r="J90" s="365"/>
      <c r="K90" s="365"/>
      <c r="L90" s="365"/>
      <c r="M90" s="365"/>
      <c r="N90" s="366"/>
      <c r="AB90"/>
      <c r="AC90"/>
      <c r="AD90" s="158"/>
      <c r="AE90" s="158"/>
      <c r="AF90" s="400"/>
      <c r="AG90" s="400"/>
      <c r="AH90" s="400"/>
      <c r="AI90" s="400"/>
      <c r="AJ90" s="400"/>
      <c r="AK90" s="400"/>
      <c r="AL90" s="400"/>
      <c r="AM90" s="400"/>
      <c r="AN90"/>
      <c r="AO90"/>
      <c r="AP90"/>
      <c r="AQ90"/>
      <c r="AR90"/>
      <c r="AS90"/>
      <c r="AT90"/>
      <c r="AU90"/>
      <c r="AV90"/>
      <c r="AW90"/>
      <c r="AX90"/>
      <c r="AY90"/>
      <c r="AZ90"/>
      <c r="BA90"/>
      <c r="BB90"/>
      <c r="BC90"/>
      <c r="BD90"/>
    </row>
    <row r="91" spans="1:56" s="316" customFormat="1" x14ac:dyDescent="0.35">
      <c r="B91" s="364"/>
      <c r="C91" s="364"/>
      <c r="D91" s="364"/>
      <c r="E91" s="365"/>
      <c r="F91" s="365"/>
      <c r="G91" s="365"/>
      <c r="H91" s="365"/>
      <c r="I91" s="365"/>
      <c r="J91" s="365"/>
      <c r="K91" s="365"/>
      <c r="L91" s="365"/>
      <c r="M91" s="365"/>
      <c r="N91" s="366"/>
      <c r="AB91"/>
      <c r="AC91"/>
      <c r="AD91" s="158"/>
      <c r="AE91" s="158"/>
      <c r="AF91" s="400"/>
      <c r="AG91" s="400"/>
      <c r="AH91" s="400"/>
      <c r="AI91" s="400"/>
      <c r="AJ91" s="400"/>
      <c r="AK91" s="400"/>
      <c r="AL91" s="400"/>
      <c r="AM91" s="400"/>
      <c r="AN91"/>
      <c r="AO91"/>
      <c r="AP91"/>
      <c r="AQ91"/>
      <c r="AR91"/>
      <c r="AS91"/>
      <c r="AT91"/>
      <c r="AU91"/>
      <c r="AV91"/>
      <c r="AW91"/>
      <c r="AX91"/>
      <c r="AY91"/>
      <c r="AZ91"/>
      <c r="BA91"/>
      <c r="BB91"/>
      <c r="BC91"/>
      <c r="BD91"/>
    </row>
    <row r="92" spans="1:56" x14ac:dyDescent="0.35">
      <c r="AB92"/>
      <c r="AC92"/>
      <c r="AF92" s="400"/>
      <c r="AG92" s="400"/>
      <c r="AH92" s="400"/>
      <c r="AI92" s="400"/>
      <c r="AJ92" s="400"/>
      <c r="AK92" s="400"/>
      <c r="AL92" s="400"/>
      <c r="AM92" s="400"/>
      <c r="AW92" s="169"/>
      <c r="AX92" s="169"/>
      <c r="AY92" s="169"/>
      <c r="AZ92" s="169"/>
      <c r="BA92" s="169"/>
      <c r="BB92" s="169"/>
      <c r="BC92" s="169"/>
      <c r="BD92" s="169"/>
    </row>
    <row r="93" spans="1:56" ht="15.5" x14ac:dyDescent="0.35">
      <c r="A93" s="416">
        <v>3</v>
      </c>
      <c r="B93" s="35" t="s">
        <v>792</v>
      </c>
      <c r="C93" s="36"/>
      <c r="D93" s="36"/>
      <c r="E93" s="37"/>
      <c r="F93" s="8"/>
      <c r="G93" s="8"/>
      <c r="H93" s="8"/>
      <c r="I93" s="8"/>
      <c r="J93" s="8"/>
      <c r="K93" s="8"/>
      <c r="L93" s="8"/>
      <c r="M93" s="38"/>
      <c r="N93" s="380"/>
      <c r="AB93"/>
      <c r="AC93"/>
      <c r="AF93" s="400"/>
      <c r="AG93" s="400"/>
      <c r="AH93" s="400"/>
      <c r="AI93" s="400"/>
      <c r="AJ93" s="400"/>
      <c r="AK93" s="400"/>
      <c r="AL93" s="400"/>
      <c r="AM93" s="400"/>
    </row>
    <row r="94" spans="1:56" ht="32.15" customHeight="1" x14ac:dyDescent="0.35">
      <c r="A94" s="417"/>
      <c r="B94" s="420" t="str">
        <f>IF(F3="", "Average weekly rent (£ per week) and units","Average weekly general needs rent (£ per week) and units in "&amp;$F$3&amp;", "&amp;$B$48&amp;" and England")</f>
        <v>Average weekly rent (£ per week) and units</v>
      </c>
      <c r="C94" s="421"/>
      <c r="D94" s="421"/>
      <c r="E94" s="421"/>
      <c r="F94" s="421"/>
      <c r="G94" s="421"/>
      <c r="H94" s="421"/>
      <c r="I94" s="421"/>
      <c r="J94" s="421"/>
      <c r="K94" s="52"/>
      <c r="L94" s="52"/>
      <c r="M94" s="39"/>
      <c r="AB94"/>
      <c r="AC94"/>
      <c r="AF94" s="400"/>
      <c r="AG94" s="400"/>
      <c r="AH94" s="400"/>
      <c r="AI94" s="400"/>
      <c r="AJ94" s="400"/>
      <c r="AK94" s="400"/>
      <c r="AL94" s="400"/>
      <c r="AM94" s="400"/>
    </row>
    <row r="95" spans="1:56" x14ac:dyDescent="0.35">
      <c r="B95" s="40"/>
      <c r="C95" s="361"/>
      <c r="D95" s="324" t="s">
        <v>801</v>
      </c>
      <c r="E95" s="41">
        <v>2015</v>
      </c>
      <c r="F95" s="42">
        <v>2016</v>
      </c>
      <c r="G95" s="42">
        <v>2017</v>
      </c>
      <c r="H95" s="41">
        <v>2018</v>
      </c>
      <c r="I95" s="41">
        <v>2019</v>
      </c>
      <c r="J95" s="41">
        <v>2020</v>
      </c>
      <c r="K95" s="41">
        <v>2021</v>
      </c>
      <c r="L95" s="41">
        <v>2022</v>
      </c>
      <c r="M95" s="43">
        <v>2023</v>
      </c>
      <c r="AB95"/>
      <c r="AC95"/>
      <c r="AF95" s="400"/>
      <c r="AG95" s="400"/>
      <c r="AH95" s="400"/>
      <c r="AI95" s="400"/>
      <c r="AJ95" s="400"/>
      <c r="AK95" s="400"/>
      <c r="AL95" s="400"/>
      <c r="AM95" s="400"/>
    </row>
    <row r="96" spans="1:56" x14ac:dyDescent="0.35">
      <c r="B96" s="25">
        <f>$F$3</f>
        <v>0</v>
      </c>
      <c r="C96" s="26"/>
      <c r="D96" s="26"/>
      <c r="E96" s="214"/>
      <c r="F96" s="214"/>
      <c r="G96" s="214"/>
      <c r="H96" s="214"/>
      <c r="I96" s="229"/>
      <c r="J96" s="229"/>
      <c r="K96" s="229"/>
      <c r="L96" s="229"/>
      <c r="M96" s="230"/>
      <c r="AB96"/>
      <c r="AC96"/>
      <c r="AF96" s="400"/>
      <c r="AG96" s="400"/>
      <c r="AH96" s="400"/>
      <c r="AI96" s="400"/>
      <c r="AJ96" s="400"/>
      <c r="AK96" s="400"/>
      <c r="AL96" s="400"/>
      <c r="AM96" s="400"/>
    </row>
    <row r="97" spans="2:39" x14ac:dyDescent="0.35">
      <c r="B97" s="218" t="s">
        <v>18</v>
      </c>
      <c r="C97" s="219"/>
      <c r="D97" s="219"/>
      <c r="E97" s="231" t="str">
        <f>IFERROR(VLOOKUP($F$3,Y_1,10,0),"")</f>
        <v/>
      </c>
      <c r="F97" s="231" t="str">
        <f>IFERROR(VLOOKUP($F$3,Y_2,10,0),"")</f>
        <v/>
      </c>
      <c r="G97" s="231" t="str">
        <f>IFERROR(VLOOKUP($F$3,Y_3,10,0),"")</f>
        <v/>
      </c>
      <c r="H97" s="231" t="str">
        <f>IFERROR(VLOOKUP($F$3,Y_4,10,0),"")</f>
        <v/>
      </c>
      <c r="I97" s="231" t="str">
        <f>IFERROR(VLOOKUP($F$3,Y_5,10,0),"")</f>
        <v/>
      </c>
      <c r="J97" s="231" t="str">
        <f>IFERROR(VLOOKUP($F$3,Y_6,10,0),"")</f>
        <v/>
      </c>
      <c r="K97" s="231" t="str">
        <f>IFERROR(VLOOKUP($F$3,Y_7,10,0),"")</f>
        <v/>
      </c>
      <c r="L97" s="231" t="str">
        <f>IFERROR(VLOOKUP($F$3,Y_8,10,0),"")</f>
        <v/>
      </c>
      <c r="M97" s="232" t="str">
        <f>IFERROR(VLOOKUP($F$3,Y_9,10,0),"")</f>
        <v/>
      </c>
      <c r="AB97"/>
      <c r="AC97"/>
      <c r="AF97" s="400"/>
      <c r="AG97" s="400"/>
      <c r="AH97" s="400"/>
      <c r="AI97" s="400"/>
      <c r="AJ97" s="400"/>
      <c r="AK97" s="400"/>
      <c r="AL97" s="400"/>
      <c r="AM97" s="400"/>
    </row>
    <row r="98" spans="2:39" ht="15.5" x14ac:dyDescent="0.35">
      <c r="B98" s="220" t="s">
        <v>776</v>
      </c>
      <c r="C98" s="193"/>
      <c r="D98" s="193"/>
      <c r="E98" s="44" t="str">
        <f>IFERROR(VLOOKUP($F$3,Y_1,11,0),"")</f>
        <v/>
      </c>
      <c r="F98" s="44" t="str">
        <f>IFERROR(VLOOKUP($F$3,Y_2,11,0),"")</f>
        <v/>
      </c>
      <c r="G98" s="233" t="str">
        <f>IFERROR(VLOOKUP($F$3,Y_3,11,0),"")</f>
        <v/>
      </c>
      <c r="H98" s="233" t="str">
        <f>IFERROR(VLOOKUP($F$3,Y_4,11,0),"")</f>
        <v/>
      </c>
      <c r="I98" s="233" t="str">
        <f>IFERROR(VLOOKUP($F$3,Y_5,11,0),"")</f>
        <v/>
      </c>
      <c r="J98" s="233" t="str">
        <f>IFERROR(VLOOKUP($F$3,Y_6,11,0),"")</f>
        <v/>
      </c>
      <c r="K98" s="233" t="str">
        <f>IFERROR(VLOOKUP($F$3,Y_7,11,0),"")</f>
        <v/>
      </c>
      <c r="L98" s="233" t="str">
        <f>IFERROR(VLOOKUP($F$3,Y_8,11,0),"")</f>
        <v/>
      </c>
      <c r="M98" s="234" t="str">
        <f>IFERROR(VLOOKUP($F$3,Y_9,11,0),"")</f>
        <v/>
      </c>
      <c r="AB98"/>
      <c r="AC98"/>
      <c r="AF98" s="400"/>
      <c r="AG98" s="400"/>
      <c r="AH98" s="400"/>
      <c r="AI98" s="400"/>
      <c r="AJ98" s="400"/>
      <c r="AK98" s="400"/>
      <c r="AL98" s="400"/>
      <c r="AM98" s="400"/>
    </row>
    <row r="99" spans="2:39" x14ac:dyDescent="0.35">
      <c r="B99" s="220" t="s">
        <v>19</v>
      </c>
      <c r="C99" s="193"/>
      <c r="D99" s="193"/>
      <c r="E99" s="233" t="str">
        <f>IFERROR(VLOOKUP($F$3,Y_1,12,0),"")</f>
        <v/>
      </c>
      <c r="F99" s="233" t="str">
        <f>IFERROR(VLOOKUP($F$3,Y_2,12,0),"")</f>
        <v/>
      </c>
      <c r="G99" s="233" t="str">
        <f>IFERROR(VLOOKUP($F$3,Y_3,12,0),"")</f>
        <v/>
      </c>
      <c r="H99" s="233" t="str">
        <f>IFERROR(VLOOKUP($F$3,Y_4,12,0),"")</f>
        <v/>
      </c>
      <c r="I99" s="233" t="str">
        <f>IFERROR(VLOOKUP($F$3,Y_5,12,0),"")</f>
        <v/>
      </c>
      <c r="J99" s="233" t="str">
        <f>IFERROR(VLOOKUP($F$3,Y_6,12,0),"")</f>
        <v/>
      </c>
      <c r="K99" s="233" t="str">
        <f>IFERROR(VLOOKUP($F$3,Y_7,12,0),"")</f>
        <v/>
      </c>
      <c r="L99" s="233" t="str">
        <f>IFERROR(VLOOKUP($F$3,Y_8,12,0),"")</f>
        <v/>
      </c>
      <c r="M99" s="234" t="str">
        <f>IFERROR(VLOOKUP($F$3,Y_9,12,0),"")</f>
        <v/>
      </c>
      <c r="AB99"/>
      <c r="AC99"/>
      <c r="AF99" s="400"/>
      <c r="AG99" s="400"/>
      <c r="AH99" s="400"/>
      <c r="AI99" s="400"/>
      <c r="AJ99" s="400"/>
      <c r="AK99" s="400"/>
      <c r="AL99" s="400"/>
      <c r="AM99" s="400"/>
    </row>
    <row r="100" spans="2:39" x14ac:dyDescent="0.35">
      <c r="B100" s="220" t="s">
        <v>20</v>
      </c>
      <c r="C100" s="193"/>
      <c r="D100" s="193"/>
      <c r="E100" s="233" t="str">
        <f>IFERROR(VLOOKUP($F$3,Y_1,13,0),"")</f>
        <v/>
      </c>
      <c r="F100" s="233" t="str">
        <f>IFERROR(VLOOKUP($F$3,Y_2,13,0),"")</f>
        <v/>
      </c>
      <c r="G100" s="233" t="str">
        <f>IFERROR(VLOOKUP($F$3,Y_3,13,0),"")</f>
        <v/>
      </c>
      <c r="H100" s="233" t="str">
        <f>IFERROR(VLOOKUP($F$3,Y_4,13,0),"")</f>
        <v/>
      </c>
      <c r="I100" s="233" t="str">
        <f>IFERROR(VLOOKUP($F$3,Y_5,13,0),"")</f>
        <v/>
      </c>
      <c r="J100" s="233" t="str">
        <f>IFERROR(VLOOKUP($F$3,Y_6,13,0),"")</f>
        <v/>
      </c>
      <c r="K100" s="233" t="str">
        <f>IFERROR(VLOOKUP($F$3,Y_7,13,0),"")</f>
        <v/>
      </c>
      <c r="L100" s="233" t="str">
        <f>IFERROR(VLOOKUP($F$3,Y_8,13,0),"")</f>
        <v/>
      </c>
      <c r="M100" s="234" t="str">
        <f>IFERROR(VLOOKUP($F$3,Y_9,13,0),"")</f>
        <v/>
      </c>
      <c r="AB100"/>
      <c r="AC100"/>
      <c r="AF100" s="400"/>
      <c r="AG100" s="400"/>
      <c r="AH100" s="400"/>
      <c r="AI100" s="400"/>
      <c r="AJ100" s="400"/>
      <c r="AK100" s="400"/>
      <c r="AL100" s="400"/>
      <c r="AM100" s="400"/>
    </row>
    <row r="101" spans="2:39" x14ac:dyDescent="0.35">
      <c r="B101" s="221" t="s">
        <v>21</v>
      </c>
      <c r="C101" s="222"/>
      <c r="D101" s="222"/>
      <c r="E101" s="235" t="str">
        <f>IFERROR(VLOOKUP($F$3,Y_1,14,0),"")</f>
        <v/>
      </c>
      <c r="F101" s="235" t="str">
        <f>IFERROR(VLOOKUP($F$3,Y_2,14,0),"")</f>
        <v/>
      </c>
      <c r="G101" s="235" t="str">
        <f>IFERROR(VLOOKUP($F$3,Y_3,14,0),"")</f>
        <v/>
      </c>
      <c r="H101" s="235" t="str">
        <f>IFERROR(VLOOKUP($F$3,Y_4,14,0),"")</f>
        <v/>
      </c>
      <c r="I101" s="235" t="str">
        <f>IFERROR(VLOOKUP($F$3,Y_5,14,0),"")</f>
        <v/>
      </c>
      <c r="J101" s="235" t="str">
        <f>IFERROR(VLOOKUP($F$3,Y_6,14,0),"")</f>
        <v/>
      </c>
      <c r="K101" s="235" t="str">
        <f>IFERROR(VLOOKUP($F$3,Y_7,14,0),"")</f>
        <v/>
      </c>
      <c r="L101" s="235" t="str">
        <f>IFERROR(VLOOKUP($F$3,Y_8,14,0),"")</f>
        <v/>
      </c>
      <c r="M101" s="236" t="str">
        <f>IFERROR(VLOOKUP($F$3,Y_9,14,0),"")</f>
        <v/>
      </c>
      <c r="AB101"/>
      <c r="AC101"/>
      <c r="AF101" s="400"/>
      <c r="AG101" s="400"/>
      <c r="AH101" s="400"/>
      <c r="AI101" s="400"/>
      <c r="AJ101" s="400"/>
      <c r="AK101" s="400"/>
      <c r="AL101" s="400"/>
      <c r="AM101" s="400"/>
    </row>
    <row r="102" spans="2:39" x14ac:dyDescent="0.35">
      <c r="B102" s="29" t="str">
        <f>$B$48</f>
        <v/>
      </c>
      <c r="C102" s="30"/>
      <c r="D102" s="45"/>
      <c r="E102" s="233"/>
      <c r="F102" s="233"/>
      <c r="G102" s="233"/>
      <c r="H102" s="233"/>
      <c r="I102" s="237"/>
      <c r="J102" s="237"/>
      <c r="K102" s="237"/>
      <c r="L102" s="237"/>
      <c r="M102" s="238"/>
      <c r="AB102"/>
      <c r="AC102"/>
      <c r="AF102" s="400"/>
      <c r="AG102" s="400"/>
      <c r="AH102" s="400"/>
      <c r="AI102" s="400"/>
      <c r="AJ102" s="400"/>
      <c r="AK102" s="400"/>
      <c r="AL102" s="400"/>
      <c r="AM102" s="400"/>
    </row>
    <row r="103" spans="2:39" x14ac:dyDescent="0.35">
      <c r="B103" s="218" t="s">
        <v>18</v>
      </c>
      <c r="C103" s="219"/>
      <c r="D103" s="219"/>
      <c r="E103" s="231" t="str">
        <f>IFERROR(VLOOKUP($F$4,Y_1,10,0),"")</f>
        <v/>
      </c>
      <c r="F103" s="231" t="str">
        <f>IFERROR(VLOOKUP($F$4,Y_2,10,0),"")</f>
        <v/>
      </c>
      <c r="G103" s="231" t="str">
        <f>IFERROR(VLOOKUP($F$4,Y_3,10,0),"")</f>
        <v/>
      </c>
      <c r="H103" s="231" t="str">
        <f>IFERROR(VLOOKUP($F$4,Y_4,10,0),"")</f>
        <v/>
      </c>
      <c r="I103" s="231" t="str">
        <f>IFERROR(VLOOKUP($F$4,Y_5,10,0),"")</f>
        <v/>
      </c>
      <c r="J103" s="231" t="str">
        <f>IFERROR(VLOOKUP($F$4,Y_6,10,0),"")</f>
        <v/>
      </c>
      <c r="K103" s="231" t="str">
        <f>IFERROR(VLOOKUP($F$4,Y_7,10,0),"")</f>
        <v/>
      </c>
      <c r="L103" s="231" t="str">
        <f>IFERROR(VLOOKUP($F$4,Y_8,10,0),"")</f>
        <v/>
      </c>
      <c r="M103" s="232" t="str">
        <f>IFERROR(VLOOKUP($F$4,Y_9,10,0),"")</f>
        <v/>
      </c>
      <c r="AB103"/>
      <c r="AC103"/>
      <c r="AF103" s="400"/>
      <c r="AG103" s="400"/>
      <c r="AH103" s="400"/>
      <c r="AI103" s="400"/>
      <c r="AJ103" s="400"/>
      <c r="AK103" s="400"/>
      <c r="AL103" s="400"/>
      <c r="AM103" s="400"/>
    </row>
    <row r="104" spans="2:39" ht="15.5" x14ac:dyDescent="0.35">
      <c r="B104" s="220" t="s">
        <v>776</v>
      </c>
      <c r="C104" s="193"/>
      <c r="D104" s="193"/>
      <c r="E104" s="44" t="str">
        <f>IFERROR(VLOOKUP($F$4,Y_1,11,0),"")</f>
        <v/>
      </c>
      <c r="F104" s="44" t="str">
        <f>IFERROR(VLOOKUP($F$4,Y_2,11,0),"")</f>
        <v/>
      </c>
      <c r="G104" s="233" t="str">
        <f>IFERROR(VLOOKUP($F$4,Y_3,11,0),"")</f>
        <v/>
      </c>
      <c r="H104" s="233" t="str">
        <f>IFERROR(VLOOKUP($F$4,Y_4,11,0),"")</f>
        <v/>
      </c>
      <c r="I104" s="233" t="str">
        <f>IFERROR(VLOOKUP($F$4,Y_5,11,0),"")</f>
        <v/>
      </c>
      <c r="J104" s="233" t="str">
        <f>IFERROR(VLOOKUP($F$4,Y_6,11,0),"")</f>
        <v/>
      </c>
      <c r="K104" s="233" t="str">
        <f>IFERROR(VLOOKUP($F$4,Y_7,11,0),"")</f>
        <v/>
      </c>
      <c r="L104" s="233" t="str">
        <f>IFERROR(VLOOKUP($F$4,Y_8,11,0),"")</f>
        <v/>
      </c>
      <c r="M104" s="234" t="str">
        <f>IFERROR(VLOOKUP($F$4,Y_9,11,0),"")</f>
        <v/>
      </c>
      <c r="AB104"/>
      <c r="AC104"/>
      <c r="AF104" s="400"/>
      <c r="AG104" s="400"/>
      <c r="AH104" s="400"/>
      <c r="AI104" s="400"/>
      <c r="AJ104" s="400"/>
      <c r="AK104" s="400"/>
      <c r="AL104" s="400"/>
      <c r="AM104" s="400"/>
    </row>
    <row r="105" spans="2:39" x14ac:dyDescent="0.35">
      <c r="B105" s="220" t="s">
        <v>19</v>
      </c>
      <c r="C105" s="193"/>
      <c r="D105" s="193"/>
      <c r="E105" s="233" t="str">
        <f>IFERROR(VLOOKUP($F$4,Y_1,12,0),"")</f>
        <v/>
      </c>
      <c r="F105" s="233" t="str">
        <f>IFERROR(VLOOKUP($F$4,Y_2,12,0),"")</f>
        <v/>
      </c>
      <c r="G105" s="233" t="str">
        <f>IFERROR(VLOOKUP($F$4,Y_3,12,0),"")</f>
        <v/>
      </c>
      <c r="H105" s="233" t="str">
        <f>IFERROR(VLOOKUP($F$4,Y_4,12,0),"")</f>
        <v/>
      </c>
      <c r="I105" s="233" t="str">
        <f>IFERROR(VLOOKUP($F$4,Y_5,12,0),"")</f>
        <v/>
      </c>
      <c r="J105" s="233" t="str">
        <f>IFERROR(VLOOKUP($F$4,Y_6,12,0),"")</f>
        <v/>
      </c>
      <c r="K105" s="233" t="str">
        <f>IFERROR(VLOOKUP($F$4,Y_7,12,0),"")</f>
        <v/>
      </c>
      <c r="L105" s="233" t="str">
        <f>IFERROR(VLOOKUP($F$4,Y_8,12,0),"")</f>
        <v/>
      </c>
      <c r="M105" s="234" t="str">
        <f>IFERROR(VLOOKUP($F$4,Y_9,12,0),"")</f>
        <v/>
      </c>
      <c r="AB105"/>
      <c r="AC105"/>
      <c r="AF105" s="400"/>
      <c r="AG105" s="400"/>
      <c r="AH105" s="400"/>
      <c r="AI105" s="400"/>
      <c r="AJ105" s="400"/>
      <c r="AK105" s="400"/>
      <c r="AL105" s="400"/>
      <c r="AM105" s="400"/>
    </row>
    <row r="106" spans="2:39" x14ac:dyDescent="0.35">
      <c r="B106" s="220" t="s">
        <v>20</v>
      </c>
      <c r="C106" s="193"/>
      <c r="D106" s="193"/>
      <c r="E106" s="233" t="str">
        <f>IFERROR(VLOOKUP($F$4,Y_1,13,0),"")</f>
        <v/>
      </c>
      <c r="F106" s="233" t="str">
        <f>IFERROR(VLOOKUP($F$4,Y_2,13,0),"")</f>
        <v/>
      </c>
      <c r="G106" s="233" t="str">
        <f>IFERROR(VLOOKUP($F$4,Y_3,13,0),"")</f>
        <v/>
      </c>
      <c r="H106" s="233" t="str">
        <f>IFERROR(VLOOKUP($F$4,Y_4,13,0),"")</f>
        <v/>
      </c>
      <c r="I106" s="233" t="str">
        <f>IFERROR(VLOOKUP($F$4,Y_5,13,0),"")</f>
        <v/>
      </c>
      <c r="J106" s="233" t="str">
        <f>IFERROR(VLOOKUP($F$4,Y_6,13,0),"")</f>
        <v/>
      </c>
      <c r="K106" s="233" t="str">
        <f>IFERROR(VLOOKUP($F$4,Y_7,13,0),"")</f>
        <v/>
      </c>
      <c r="L106" s="233" t="str">
        <f>IFERROR(VLOOKUP($F$4,Y_8,13,0),"")</f>
        <v/>
      </c>
      <c r="M106" s="234" t="str">
        <f>IFERROR(VLOOKUP($F$4,Y_9,13,0),"")</f>
        <v/>
      </c>
      <c r="AB106"/>
      <c r="AC106"/>
      <c r="AF106" s="400"/>
      <c r="AG106" s="400"/>
      <c r="AH106" s="400"/>
      <c r="AI106" s="400"/>
      <c r="AJ106" s="400"/>
      <c r="AK106" s="400"/>
      <c r="AL106" s="400"/>
      <c r="AM106" s="400"/>
    </row>
    <row r="107" spans="2:39" x14ac:dyDescent="0.35">
      <c r="B107" s="221" t="s">
        <v>21</v>
      </c>
      <c r="C107" s="222"/>
      <c r="D107" s="222"/>
      <c r="E107" s="235" t="str">
        <f>IFERROR(VLOOKUP($F$4,Y_1,14,0),"")</f>
        <v/>
      </c>
      <c r="F107" s="235" t="str">
        <f>IFERROR(VLOOKUP($F$4,Y_2,14,0),"")</f>
        <v/>
      </c>
      <c r="G107" s="235" t="str">
        <f>IFERROR(VLOOKUP($F$4,Y_3,14,0),"")</f>
        <v/>
      </c>
      <c r="H107" s="235" t="str">
        <f>IFERROR(VLOOKUP($F$4,Y_4,14,0),"")</f>
        <v/>
      </c>
      <c r="I107" s="235" t="str">
        <f>IFERROR(VLOOKUP($F$4,Y_5,14,0),"")</f>
        <v/>
      </c>
      <c r="J107" s="235" t="str">
        <f>IFERROR(VLOOKUP($F$4,Y_6,14,0),"")</f>
        <v/>
      </c>
      <c r="K107" s="235" t="str">
        <f>IFERROR(VLOOKUP($F$4,Y_7,14,0),"")</f>
        <v/>
      </c>
      <c r="L107" s="235" t="str">
        <f>IFERROR(VLOOKUP($F$4,Y_8,14,0),"")</f>
        <v/>
      </c>
      <c r="M107" s="236" t="str">
        <f>IFERROR(VLOOKUP($F$4,Y_9,14,0),"")</f>
        <v/>
      </c>
      <c r="AB107"/>
      <c r="AC107"/>
      <c r="AF107" s="400"/>
      <c r="AG107" s="400"/>
      <c r="AH107" s="400"/>
      <c r="AI107" s="400"/>
      <c r="AJ107" s="400"/>
      <c r="AK107" s="400"/>
      <c r="AL107" s="400"/>
      <c r="AM107" s="400"/>
    </row>
    <row r="108" spans="2:39" x14ac:dyDescent="0.35">
      <c r="B108" s="29" t="s">
        <v>13</v>
      </c>
      <c r="C108" s="30"/>
      <c r="D108" s="30"/>
      <c r="E108" s="233"/>
      <c r="F108" s="233"/>
      <c r="G108" s="233"/>
      <c r="H108" s="233"/>
      <c r="I108" s="237"/>
      <c r="J108" s="237"/>
      <c r="K108" s="237"/>
      <c r="L108" s="237"/>
      <c r="M108" s="238"/>
      <c r="AB108"/>
      <c r="AC108"/>
      <c r="AF108" s="400"/>
      <c r="AG108" s="400"/>
      <c r="AH108" s="400"/>
      <c r="AI108" s="400"/>
      <c r="AJ108" s="400"/>
      <c r="AK108" s="400"/>
      <c r="AL108" s="400"/>
      <c r="AM108" s="400"/>
    </row>
    <row r="109" spans="2:39" x14ac:dyDescent="0.35">
      <c r="B109" s="218" t="s">
        <v>18</v>
      </c>
      <c r="C109" s="219"/>
      <c r="D109" s="219"/>
      <c r="E109" s="231">
        <f>IF($F$4&lt;&gt;"",VLOOKUP($B$49,Y_1,10,0),"")</f>
        <v>95.88</v>
      </c>
      <c r="F109" s="231">
        <f>IF($F$4&lt;&gt;"",VLOOKUP($B$49,Y_2,10,0),"")</f>
        <v>97.84</v>
      </c>
      <c r="G109" s="231">
        <f>IF($F$4&lt;&gt;"",VLOOKUP($B$49,Y_3,10,0),"")</f>
        <v>96.61</v>
      </c>
      <c r="H109" s="231">
        <f>IF($F$4&lt;&gt;"",VLOOKUP($B$49,Y_4,10,0),"")</f>
        <v>96.33</v>
      </c>
      <c r="I109" s="231">
        <f>IF($F$4&lt;&gt;"",VLOOKUP($B$49,Y_5,10,0),"")</f>
        <v>95.12</v>
      </c>
      <c r="J109" s="231">
        <f>IF($F$4&lt;&gt;"",VLOOKUP($B$49,Y_6,10,0),"")</f>
        <v>94.25</v>
      </c>
      <c r="K109" s="231">
        <f>IF($F$4&lt;&gt;"",VLOOKUP($B$49,Y_7,10,0),"")</f>
        <v>96.6</v>
      </c>
      <c r="L109" s="231">
        <f>IF($F$4&lt;&gt;"",VLOOKUP($B$49,Y_8,10,0),"")</f>
        <v>98.05</v>
      </c>
      <c r="M109" s="232">
        <f>IF($F$4&lt;&gt;"",VLOOKUP($B$49,Y_9,10,0),"")</f>
        <v>102.15</v>
      </c>
      <c r="AB109"/>
      <c r="AC109"/>
      <c r="AF109" s="400"/>
      <c r="AG109" s="400"/>
      <c r="AH109" s="400"/>
      <c r="AI109" s="400"/>
      <c r="AJ109" s="400"/>
      <c r="AK109" s="400"/>
      <c r="AL109" s="400"/>
      <c r="AM109" s="400"/>
    </row>
    <row r="110" spans="2:39" ht="15.5" x14ac:dyDescent="0.35">
      <c r="B110" s="220" t="s">
        <v>776</v>
      </c>
      <c r="C110" s="193"/>
      <c r="D110" s="193"/>
      <c r="E110" s="44">
        <f>IF($F$4&lt;&gt;"",VLOOKUP($B$49,Y_1,11,0),"")</f>
        <v>96.85</v>
      </c>
      <c r="F110" s="44">
        <f>IF($F$4&lt;&gt;"",VLOOKUP($B$49,Y_2,11,0),"")</f>
        <v>98.83</v>
      </c>
      <c r="G110" s="233">
        <f>IF($F$4&lt;&gt;"",VLOOKUP($B$49,Y_3,11,0),"")</f>
        <v>95.96</v>
      </c>
      <c r="H110" s="233">
        <f>IF($F$4&lt;&gt;"",VLOOKUP($B$49,Y_4,11,0),"")</f>
        <v>95.09</v>
      </c>
      <c r="I110" s="233">
        <f>IF($F$4&lt;&gt;"",VLOOKUP($B$49,Y_5,11,0),"")</f>
        <v>94.54</v>
      </c>
      <c r="J110" s="233">
        <f>IF($F$4&lt;&gt;"",VLOOKUP($B$49,Y_6,11,0),"")</f>
        <v>93.8</v>
      </c>
      <c r="K110" s="233">
        <f>IF($F$4&lt;&gt;"",VLOOKUP($B$49,Y_7,11,0),"")</f>
        <v>96.19</v>
      </c>
      <c r="L110" s="233">
        <f>IF($F$4&lt;&gt;"",VLOOKUP($B$49,Y_8,11,0),"")</f>
        <v>97.56</v>
      </c>
      <c r="M110" s="234">
        <f>IF($F$4&lt;&gt;"",VLOOKUP($B$49,Y_9,11,0),"")</f>
        <v>101.55</v>
      </c>
      <c r="AB110"/>
      <c r="AC110"/>
      <c r="AF110" s="400"/>
      <c r="AG110" s="400"/>
      <c r="AH110" s="400"/>
      <c r="AI110" s="400"/>
      <c r="AJ110" s="400"/>
      <c r="AK110" s="400"/>
      <c r="AL110" s="400"/>
      <c r="AM110" s="400"/>
    </row>
    <row r="111" spans="2:39" x14ac:dyDescent="0.35">
      <c r="B111" s="220" t="s">
        <v>19</v>
      </c>
      <c r="C111" s="193"/>
      <c r="D111" s="193"/>
      <c r="E111" s="233">
        <f>IF($F$4&lt;&gt;"",VLOOKUP($B$49,Y_1,12,0),"")</f>
        <v>6.02</v>
      </c>
      <c r="F111" s="233">
        <f>IF($F$4&lt;&gt;"",VLOOKUP($B$49,Y_2,12,0),"")</f>
        <v>6.24</v>
      </c>
      <c r="G111" s="233">
        <f>IF($F$4&lt;&gt;"",VLOOKUP($B$49,Y_3,12,0),"")</f>
        <v>6.46</v>
      </c>
      <c r="H111" s="233">
        <f>IF($F$4&lt;&gt;"",VLOOKUP($B$49,Y_4,12,0),"")</f>
        <v>6.71</v>
      </c>
      <c r="I111" s="233">
        <f>IF($F$4&lt;&gt;"",VLOOKUP($B$49,Y_5,12,0),"")</f>
        <v>6.88</v>
      </c>
      <c r="J111" s="233">
        <f>IF($F$4&lt;&gt;"",VLOOKUP($B$49,Y_6,12,0),"")</f>
        <v>7.07</v>
      </c>
      <c r="K111" s="233">
        <f>IF($F$4&lt;&gt;"",VLOOKUP($B$49,Y_7,12,0),"")</f>
        <v>7.12</v>
      </c>
      <c r="L111" s="233">
        <f>IF($F$4&lt;&gt;"",VLOOKUP($B$49,Y_8,12,0),"")</f>
        <v>7.25</v>
      </c>
      <c r="M111" s="234">
        <f>IF($F$4&lt;&gt;"",VLOOKUP($B$49,Y_9,12,0),"")</f>
        <v>7.58</v>
      </c>
      <c r="AB111"/>
      <c r="AC111"/>
      <c r="AF111" s="400"/>
      <c r="AG111" s="400"/>
      <c r="AH111" s="400"/>
      <c r="AI111" s="400"/>
      <c r="AJ111" s="400"/>
      <c r="AK111" s="400"/>
      <c r="AL111" s="400"/>
      <c r="AM111" s="400"/>
    </row>
    <row r="112" spans="2:39" x14ac:dyDescent="0.35">
      <c r="B112" s="220" t="s">
        <v>20</v>
      </c>
      <c r="C112" s="193"/>
      <c r="D112" s="193"/>
      <c r="E112" s="233">
        <f>IF($F$4&lt;&gt;"",VLOOKUP($B$49,Y_1,13,0),"")</f>
        <v>99.33</v>
      </c>
      <c r="F112" s="233">
        <f>IF($F$4&lt;&gt;"",VLOOKUP($B$49,Y_2,13,0),"")</f>
        <v>101.35</v>
      </c>
      <c r="G112" s="233">
        <f>IF($F$4&lt;&gt;"",VLOOKUP($B$49,Y_3,13,0),"")</f>
        <v>100.38</v>
      </c>
      <c r="H112" s="233">
        <f>IF($F$4&lt;&gt;"",VLOOKUP($B$49,Y_4,13,0),"")</f>
        <v>100.16</v>
      </c>
      <c r="I112" s="233">
        <f>IF($F$4&lt;&gt;"",VLOOKUP($B$49,Y_5,13,0),"")</f>
        <v>99.18</v>
      </c>
      <c r="J112" s="233">
        <f>IF($F$4&lt;&gt;"",VLOOKUP($B$49,Y_6,13,0),"")</f>
        <v>98.49</v>
      </c>
      <c r="K112" s="233">
        <f>IF($F$4&lt;&gt;"",VLOOKUP($B$49,Y_7,13,0),"")</f>
        <v>100.92</v>
      </c>
      <c r="L112" s="233">
        <f>IF($F$4&lt;&gt;"",VLOOKUP($B$49,Y_8,13,0),"")</f>
        <v>102.48</v>
      </c>
      <c r="M112" s="234">
        <f>IF($F$4&lt;&gt;"",VLOOKUP($B$49,Y_9,13,0),"")</f>
        <v>106.83</v>
      </c>
      <c r="AB112"/>
      <c r="AC112"/>
      <c r="AF112" s="400"/>
      <c r="AG112" s="400"/>
      <c r="AH112" s="400"/>
      <c r="AI112" s="400"/>
      <c r="AJ112" s="400"/>
      <c r="AK112" s="400"/>
      <c r="AL112" s="400"/>
      <c r="AM112" s="400"/>
    </row>
    <row r="113" spans="1:56" x14ac:dyDescent="0.35">
      <c r="B113" s="221" t="s">
        <v>21</v>
      </c>
      <c r="C113" s="222"/>
      <c r="D113" s="222"/>
      <c r="E113" s="235">
        <f>IF($F$4&lt;&gt;"",VLOOKUP($B$49,Y_1,14,0),"")</f>
        <v>1824788</v>
      </c>
      <c r="F113" s="235">
        <f>IF($F$4&lt;&gt;"",VLOOKUP($B$49,Y_2,14,0),"")</f>
        <v>1832246</v>
      </c>
      <c r="G113" s="235">
        <f>IF($F$4&lt;&gt;"",VLOOKUP($B$49,Y_3,14,0),"")</f>
        <v>1844420</v>
      </c>
      <c r="H113" s="235">
        <f>IF($F$4&lt;&gt;"",VLOOKUP($B$49,Y_4,14,0),"")</f>
        <v>1846604</v>
      </c>
      <c r="I113" s="235">
        <f>IF($F$4&lt;&gt;"",VLOOKUP($B$49,Y_5,14,0),"")</f>
        <v>1842615</v>
      </c>
      <c r="J113" s="235">
        <f>IF($F$4&lt;&gt;"",VLOOKUP($B$49,Y_6,14,0),"")</f>
        <v>1835331</v>
      </c>
      <c r="K113" s="235">
        <f>IF($F$4&lt;&gt;"",VLOOKUP($B$49,Y_7,14,0),"")</f>
        <v>1826469</v>
      </c>
      <c r="L113" s="235">
        <f>IF($F$4&lt;&gt;"",VLOOKUP($B$49,Y_8,14,0),"")</f>
        <v>1826339</v>
      </c>
      <c r="M113" s="236">
        <f>IF($F$4&lt;&gt;"",VLOOKUP($B$49,Y_9,14,0),"")</f>
        <v>1831331</v>
      </c>
      <c r="AB113"/>
      <c r="AC113"/>
      <c r="AF113" s="400"/>
      <c r="AG113" s="400"/>
      <c r="AH113" s="400"/>
      <c r="AI113" s="400"/>
      <c r="AJ113" s="400"/>
      <c r="AK113" s="400"/>
      <c r="AL113" s="400"/>
      <c r="AM113" s="400"/>
    </row>
    <row r="114" spans="1:56" x14ac:dyDescent="0.35">
      <c r="B114" s="46" t="s">
        <v>804</v>
      </c>
      <c r="C114" s="47"/>
      <c r="D114" s="47"/>
      <c r="E114" s="47"/>
      <c r="M114" s="48"/>
      <c r="AB114"/>
      <c r="AC114"/>
      <c r="AF114" s="400"/>
      <c r="AG114" s="400"/>
      <c r="AH114" s="400"/>
      <c r="AI114" s="400"/>
      <c r="AJ114" s="400"/>
      <c r="AK114" s="400"/>
      <c r="AL114" s="400"/>
      <c r="AM114" s="400"/>
    </row>
    <row r="115" spans="1:56" x14ac:dyDescent="0.35">
      <c r="B115" s="46" t="s">
        <v>796</v>
      </c>
      <c r="C115" s="47"/>
      <c r="E115" s="317"/>
      <c r="I115" s="316"/>
      <c r="M115" s="49"/>
      <c r="N115" s="427" t="str">
        <f>IF(F3="","Average weekly general needs (social rent) net rent (£ per week)","Average weekly general needs (social rent) net rent (£ per week) in "&amp;$F$3&amp;", "&amp;$B$48&amp;" and England")</f>
        <v>Average weekly general needs (social rent) net rent (£ per week)</v>
      </c>
      <c r="O115" s="427"/>
      <c r="P115" s="427"/>
      <c r="Q115" s="427"/>
      <c r="R115" s="427"/>
      <c r="S115" s="427"/>
      <c r="T115" s="427"/>
      <c r="AB115"/>
      <c r="AC115"/>
      <c r="AF115" s="400"/>
      <c r="AG115" s="400"/>
      <c r="AH115" s="400"/>
      <c r="AI115" s="400"/>
      <c r="AJ115" s="400"/>
      <c r="AK115" s="400"/>
      <c r="AL115" s="400"/>
      <c r="AM115" s="400"/>
    </row>
    <row r="116" spans="1:56" x14ac:dyDescent="0.35">
      <c r="B116" s="46" t="s">
        <v>794</v>
      </c>
      <c r="C116" s="47"/>
      <c r="D116" s="47"/>
      <c r="E116" s="47"/>
      <c r="F116" s="47"/>
      <c r="M116" s="49"/>
      <c r="N116" s="427"/>
      <c r="O116" s="427"/>
      <c r="P116" s="427"/>
      <c r="Q116" s="427"/>
      <c r="R116" s="427"/>
      <c r="S116" s="427"/>
      <c r="T116" s="427"/>
      <c r="AB116"/>
      <c r="AC116"/>
      <c r="AF116" s="400"/>
      <c r="AG116" s="400"/>
      <c r="AH116" s="400"/>
      <c r="AI116" s="400"/>
      <c r="AJ116" s="400"/>
      <c r="AK116" s="400"/>
      <c r="AL116" s="400"/>
      <c r="AM116" s="400"/>
    </row>
    <row r="117" spans="1:56" x14ac:dyDescent="0.35">
      <c r="B117" s="422" t="s">
        <v>22</v>
      </c>
      <c r="C117" s="423"/>
      <c r="D117" s="423"/>
      <c r="E117" s="423"/>
      <c r="F117" s="423"/>
      <c r="G117" s="423"/>
      <c r="H117" s="423"/>
      <c r="I117" s="423"/>
      <c r="J117" s="423"/>
      <c r="K117" s="314"/>
      <c r="L117" s="314"/>
      <c r="M117" s="50"/>
      <c r="N117" s="427"/>
      <c r="O117" s="427"/>
      <c r="P117" s="427"/>
      <c r="Q117" s="427"/>
      <c r="R117" s="427"/>
      <c r="S117" s="427"/>
      <c r="T117" s="427"/>
      <c r="AB117"/>
      <c r="AC117"/>
      <c r="AF117" s="400"/>
      <c r="AG117" s="400"/>
      <c r="AH117" s="400"/>
      <c r="AI117" s="400"/>
      <c r="AJ117" s="400"/>
      <c r="AK117" s="400"/>
      <c r="AL117" s="400"/>
      <c r="AM117" s="400"/>
    </row>
    <row r="118" spans="1:56" x14ac:dyDescent="0.35">
      <c r="B118" s="424"/>
      <c r="C118" s="425"/>
      <c r="D118" s="425"/>
      <c r="E118" s="425"/>
      <c r="F118" s="425"/>
      <c r="G118" s="425"/>
      <c r="H118" s="425"/>
      <c r="I118" s="425"/>
      <c r="J118" s="425"/>
      <c r="K118" s="313"/>
      <c r="L118" s="313"/>
      <c r="M118" s="51"/>
      <c r="AB118"/>
      <c r="AC118"/>
      <c r="AF118" s="400"/>
      <c r="AG118" s="400"/>
      <c r="AH118" s="400"/>
      <c r="AI118" s="400"/>
      <c r="AJ118" s="400"/>
      <c r="AK118" s="400"/>
      <c r="AL118" s="400"/>
      <c r="AM118" s="400"/>
    </row>
    <row r="119" spans="1:56" x14ac:dyDescent="0.35">
      <c r="B119" s="314"/>
      <c r="C119" s="314"/>
      <c r="D119" s="314"/>
      <c r="E119" s="314"/>
      <c r="F119" s="314"/>
      <c r="G119" s="314"/>
      <c r="H119" s="314"/>
      <c r="I119" s="314"/>
      <c r="J119" s="314"/>
      <c r="K119" s="314"/>
      <c r="L119" s="314"/>
      <c r="M119" s="314"/>
      <c r="AB119"/>
      <c r="AC119"/>
      <c r="AF119" s="400"/>
      <c r="AG119" s="400"/>
      <c r="AH119" s="400"/>
      <c r="AI119" s="400"/>
      <c r="AJ119" s="400"/>
      <c r="AK119" s="400"/>
      <c r="AL119" s="400"/>
      <c r="AM119" s="400"/>
    </row>
    <row r="120" spans="1:56" s="316" customFormat="1" x14ac:dyDescent="0.35">
      <c r="A120" s="407">
        <v>4</v>
      </c>
      <c r="B120" s="368"/>
      <c r="C120" s="368"/>
      <c r="D120" s="368"/>
      <c r="E120" s="368"/>
      <c r="F120" s="368"/>
      <c r="G120" s="368"/>
      <c r="H120" s="368"/>
      <c r="I120" s="368"/>
      <c r="J120" s="368"/>
      <c r="K120" s="368"/>
      <c r="L120" s="368"/>
      <c r="M120" s="368"/>
      <c r="N120" s="366"/>
      <c r="AB120"/>
      <c r="AC120"/>
      <c r="AD120" s="158"/>
      <c r="AE120" s="158"/>
      <c r="AF120" s="400"/>
      <c r="AG120" s="400"/>
      <c r="AH120" s="400"/>
      <c r="AI120" s="400"/>
      <c r="AJ120" s="400"/>
      <c r="AK120" s="400"/>
      <c r="AL120" s="400"/>
      <c r="AM120" s="400"/>
      <c r="AN120"/>
      <c r="AO120"/>
      <c r="AP120"/>
      <c r="AQ120"/>
      <c r="AR120"/>
      <c r="AS120"/>
      <c r="AT120"/>
      <c r="AU120"/>
      <c r="AV120"/>
      <c r="AW120"/>
      <c r="AX120"/>
      <c r="AY120"/>
      <c r="AZ120"/>
      <c r="BA120"/>
      <c r="BB120"/>
      <c r="BC120"/>
      <c r="BD120"/>
    </row>
    <row r="121" spans="1:56" s="316" customFormat="1" x14ac:dyDescent="0.35">
      <c r="A121" s="408"/>
      <c r="B121" s="368"/>
      <c r="C121" s="368"/>
      <c r="D121" s="368"/>
      <c r="E121" s="368"/>
      <c r="F121" s="368"/>
      <c r="G121" s="368"/>
      <c r="H121" s="368"/>
      <c r="I121" s="368"/>
      <c r="J121" s="368"/>
      <c r="K121" s="368"/>
      <c r="L121" s="368"/>
      <c r="M121" s="368"/>
      <c r="N121" s="366"/>
      <c r="AB121"/>
      <c r="AC121"/>
      <c r="AD121" s="158"/>
      <c r="AE121" s="158"/>
      <c r="AF121" s="400"/>
      <c r="AG121" s="400"/>
      <c r="AH121" s="400"/>
      <c r="AI121" s="400"/>
      <c r="AJ121" s="400"/>
      <c r="AK121" s="400"/>
      <c r="AL121" s="400"/>
      <c r="AM121" s="400"/>
      <c r="AN121"/>
      <c r="AO121"/>
      <c r="AP121"/>
      <c r="AQ121"/>
      <c r="AR121"/>
      <c r="AS121"/>
      <c r="AT121"/>
      <c r="AU121"/>
      <c r="AV121"/>
      <c r="AW121"/>
      <c r="AX121"/>
      <c r="AY121"/>
      <c r="AZ121"/>
      <c r="BA121"/>
      <c r="BB121"/>
      <c r="BC121"/>
      <c r="BD121"/>
    </row>
    <row r="122" spans="1:56" s="316" customFormat="1" x14ac:dyDescent="0.35">
      <c r="B122" s="368"/>
      <c r="C122" s="368"/>
      <c r="D122" s="368"/>
      <c r="E122" s="368"/>
      <c r="F122" s="368"/>
      <c r="G122" s="368"/>
      <c r="H122" s="368"/>
      <c r="I122" s="368"/>
      <c r="J122" s="368"/>
      <c r="K122" s="368"/>
      <c r="L122" s="368"/>
      <c r="M122" s="368"/>
      <c r="N122" s="366"/>
      <c r="AB122"/>
      <c r="AC122"/>
      <c r="AD122" s="158"/>
      <c r="AE122" s="158"/>
      <c r="AF122" s="400"/>
      <c r="AG122" s="400"/>
      <c r="AH122" s="400"/>
      <c r="AI122" s="400"/>
      <c r="AJ122" s="400"/>
      <c r="AK122" s="400"/>
      <c r="AL122" s="400"/>
      <c r="AM122" s="400"/>
      <c r="AN122"/>
      <c r="AO122"/>
      <c r="AP122"/>
      <c r="AQ122"/>
      <c r="AR122"/>
      <c r="AS122"/>
      <c r="AT122"/>
      <c r="AU122"/>
      <c r="AV122"/>
      <c r="AW122"/>
      <c r="AX122"/>
      <c r="AY122"/>
      <c r="AZ122"/>
      <c r="BA122"/>
      <c r="BB122"/>
      <c r="BC122"/>
      <c r="BD122"/>
    </row>
    <row r="123" spans="1:56" s="316" customFormat="1" x14ac:dyDescent="0.35">
      <c r="B123" s="368"/>
      <c r="C123" s="368"/>
      <c r="D123" s="368"/>
      <c r="E123" s="368"/>
      <c r="F123" s="368"/>
      <c r="G123" s="368"/>
      <c r="H123" s="368"/>
      <c r="I123" s="368"/>
      <c r="J123" s="368"/>
      <c r="K123" s="368"/>
      <c r="L123" s="368"/>
      <c r="M123" s="368"/>
      <c r="N123" s="366"/>
      <c r="AB123"/>
      <c r="AC123"/>
      <c r="AD123" s="158"/>
      <c r="AE123" s="158"/>
      <c r="AF123" s="400"/>
      <c r="AG123" s="400"/>
      <c r="AH123" s="400"/>
      <c r="AI123" s="400"/>
      <c r="AJ123" s="400"/>
      <c r="AK123" s="400"/>
      <c r="AL123" s="400"/>
      <c r="AM123" s="400"/>
      <c r="AN123"/>
      <c r="AO123"/>
      <c r="AP123"/>
      <c r="AQ123"/>
      <c r="AR123"/>
      <c r="AS123"/>
      <c r="AT123"/>
      <c r="AU123"/>
      <c r="AV123"/>
      <c r="AW123"/>
      <c r="AX123"/>
      <c r="AY123"/>
      <c r="AZ123"/>
      <c r="BA123"/>
      <c r="BB123"/>
      <c r="BC123"/>
      <c r="BD123"/>
    </row>
    <row r="124" spans="1:56" s="316" customFormat="1" x14ac:dyDescent="0.35">
      <c r="B124" s="368"/>
      <c r="C124" s="368"/>
      <c r="D124" s="368"/>
      <c r="E124" s="368"/>
      <c r="F124" s="368"/>
      <c r="G124" s="368"/>
      <c r="H124" s="368"/>
      <c r="I124" s="368"/>
      <c r="J124" s="368"/>
      <c r="K124" s="368"/>
      <c r="L124" s="368"/>
      <c r="M124" s="368"/>
      <c r="N124" s="366"/>
      <c r="AB124"/>
      <c r="AC124"/>
      <c r="AD124" s="158"/>
      <c r="AE124" s="158"/>
      <c r="AF124" s="400"/>
      <c r="AG124" s="400"/>
      <c r="AH124" s="400"/>
      <c r="AI124" s="400"/>
      <c r="AJ124" s="400"/>
      <c r="AK124" s="400"/>
      <c r="AL124" s="400"/>
      <c r="AM124" s="400"/>
      <c r="AN124"/>
      <c r="AO124"/>
      <c r="AP124"/>
      <c r="AQ124"/>
      <c r="AR124"/>
      <c r="AS124"/>
      <c r="AT124"/>
      <c r="AU124"/>
      <c r="AV124"/>
      <c r="AW124"/>
      <c r="AX124"/>
      <c r="AY124"/>
      <c r="AZ124"/>
      <c r="BA124"/>
      <c r="BB124"/>
      <c r="BC124"/>
      <c r="BD124"/>
    </row>
    <row r="125" spans="1:56" s="316" customFormat="1" x14ac:dyDescent="0.35">
      <c r="B125" s="368"/>
      <c r="C125" s="368"/>
      <c r="D125" s="368"/>
      <c r="E125" s="368"/>
      <c r="F125" s="368"/>
      <c r="G125" s="368"/>
      <c r="H125" s="368"/>
      <c r="I125" s="368"/>
      <c r="J125" s="368"/>
      <c r="K125" s="368"/>
      <c r="L125" s="368"/>
      <c r="M125" s="368"/>
      <c r="N125" s="366"/>
      <c r="AB125"/>
      <c r="AC125"/>
      <c r="AD125" s="158"/>
      <c r="AE125" s="158"/>
      <c r="AF125" s="400"/>
      <c r="AG125" s="400"/>
      <c r="AH125" s="400"/>
      <c r="AI125" s="400"/>
      <c r="AJ125" s="400"/>
      <c r="AK125" s="400"/>
      <c r="AL125" s="400"/>
      <c r="AM125" s="400"/>
      <c r="AN125"/>
      <c r="AO125"/>
      <c r="AP125"/>
      <c r="AQ125"/>
      <c r="AR125"/>
      <c r="AS125"/>
      <c r="AT125"/>
      <c r="AU125"/>
      <c r="AV125"/>
      <c r="AW125"/>
      <c r="AX125"/>
      <c r="AY125"/>
      <c r="AZ125"/>
      <c r="BA125"/>
      <c r="BB125"/>
      <c r="BC125"/>
      <c r="BD125"/>
    </row>
    <row r="126" spans="1:56" s="316" customFormat="1" x14ac:dyDescent="0.35">
      <c r="B126" s="368"/>
      <c r="C126" s="368"/>
      <c r="D126" s="368"/>
      <c r="E126" s="368"/>
      <c r="F126" s="368"/>
      <c r="G126" s="368"/>
      <c r="H126" s="368"/>
      <c r="I126" s="368"/>
      <c r="J126" s="368"/>
      <c r="K126" s="368"/>
      <c r="L126" s="368"/>
      <c r="M126" s="368"/>
      <c r="N126" s="366"/>
      <c r="AB126"/>
      <c r="AC126"/>
      <c r="AD126" s="158"/>
      <c r="AE126" s="158"/>
      <c r="AF126" s="400"/>
      <c r="AG126" s="400"/>
      <c r="AH126" s="400"/>
      <c r="AI126" s="400"/>
      <c r="AJ126" s="400"/>
      <c r="AK126" s="400"/>
      <c r="AL126" s="400"/>
      <c r="AM126" s="400"/>
      <c r="AN126"/>
      <c r="AO126"/>
      <c r="AP126"/>
      <c r="AQ126"/>
      <c r="AR126"/>
      <c r="AS126"/>
      <c r="AT126"/>
      <c r="AU126"/>
      <c r="AV126"/>
      <c r="AW126"/>
      <c r="AX126"/>
      <c r="AY126"/>
      <c r="AZ126"/>
      <c r="BA126"/>
      <c r="BB126"/>
      <c r="BC126"/>
      <c r="BD126"/>
    </row>
    <row r="127" spans="1:56" s="316" customFormat="1" x14ac:dyDescent="0.35">
      <c r="B127" s="368"/>
      <c r="C127" s="368"/>
      <c r="D127" s="368"/>
      <c r="E127" s="368"/>
      <c r="F127" s="368"/>
      <c r="G127" s="368"/>
      <c r="H127" s="368"/>
      <c r="I127" s="368"/>
      <c r="J127" s="368"/>
      <c r="K127" s="368"/>
      <c r="L127" s="368"/>
      <c r="M127" s="368"/>
      <c r="N127" s="366"/>
      <c r="AB127"/>
      <c r="AC127"/>
      <c r="AD127" s="158"/>
      <c r="AE127" s="158"/>
      <c r="AF127" s="400"/>
      <c r="AG127" s="400"/>
      <c r="AH127" s="400"/>
      <c r="AI127" s="400"/>
      <c r="AJ127" s="400"/>
      <c r="AK127" s="400"/>
      <c r="AL127" s="400"/>
      <c r="AM127" s="400"/>
      <c r="AN127"/>
      <c r="AO127"/>
      <c r="AP127"/>
      <c r="AQ127"/>
      <c r="AR127"/>
      <c r="AS127"/>
      <c r="AT127"/>
      <c r="AU127"/>
      <c r="AV127"/>
      <c r="AW127"/>
      <c r="AX127"/>
      <c r="AY127"/>
      <c r="AZ127"/>
      <c r="BA127"/>
      <c r="BB127"/>
      <c r="BC127"/>
      <c r="BD127"/>
    </row>
    <row r="128" spans="1:56" s="316" customFormat="1" x14ac:dyDescent="0.35">
      <c r="B128" s="368"/>
      <c r="C128" s="368"/>
      <c r="D128" s="368"/>
      <c r="E128" s="368"/>
      <c r="F128" s="368"/>
      <c r="G128" s="368"/>
      <c r="H128" s="368"/>
      <c r="I128" s="368"/>
      <c r="J128" s="368"/>
      <c r="K128" s="368"/>
      <c r="L128" s="368"/>
      <c r="M128" s="368"/>
      <c r="N128" s="366"/>
      <c r="AB128"/>
      <c r="AC128"/>
      <c r="AD128" s="158"/>
      <c r="AE128" s="158"/>
      <c r="AF128" s="400"/>
      <c r="AG128" s="400"/>
      <c r="AH128" s="400"/>
      <c r="AI128" s="400"/>
      <c r="AJ128" s="400"/>
      <c r="AK128" s="400"/>
      <c r="AL128" s="400"/>
      <c r="AM128" s="400"/>
      <c r="AN128"/>
      <c r="AO128"/>
      <c r="AP128"/>
      <c r="AQ128"/>
      <c r="AR128"/>
      <c r="AS128"/>
      <c r="AT128"/>
      <c r="AU128"/>
      <c r="AV128"/>
      <c r="AW128"/>
      <c r="AX128"/>
      <c r="AY128"/>
      <c r="AZ128"/>
      <c r="BA128"/>
      <c r="BB128"/>
      <c r="BC128"/>
      <c r="BD128"/>
    </row>
    <row r="129" spans="2:56" s="316" customFormat="1" x14ac:dyDescent="0.35">
      <c r="B129" s="368"/>
      <c r="C129" s="368"/>
      <c r="D129" s="368"/>
      <c r="E129" s="368"/>
      <c r="F129" s="368"/>
      <c r="G129" s="368"/>
      <c r="H129" s="368"/>
      <c r="I129" s="368"/>
      <c r="J129" s="368"/>
      <c r="K129" s="368"/>
      <c r="L129" s="368"/>
      <c r="M129" s="368"/>
      <c r="N129" s="366"/>
      <c r="AB129"/>
      <c r="AC129"/>
      <c r="AD129" s="158"/>
      <c r="AE129" s="158"/>
      <c r="AF129" s="400"/>
      <c r="AG129" s="400"/>
      <c r="AH129" s="400"/>
      <c r="AI129" s="400"/>
      <c r="AJ129" s="400"/>
      <c r="AK129" s="400"/>
      <c r="AL129" s="400"/>
      <c r="AM129" s="400"/>
      <c r="AN129"/>
      <c r="AO129"/>
      <c r="AP129"/>
      <c r="AQ129"/>
      <c r="AR129"/>
      <c r="AS129"/>
      <c r="AT129"/>
      <c r="AU129"/>
      <c r="AV129"/>
      <c r="AW129"/>
      <c r="AX129"/>
      <c r="AY129"/>
      <c r="AZ129"/>
      <c r="BA129"/>
      <c r="BB129"/>
      <c r="BC129"/>
      <c r="BD129"/>
    </row>
    <row r="130" spans="2:56" s="316" customFormat="1" x14ac:dyDescent="0.35">
      <c r="B130" s="368"/>
      <c r="C130" s="368"/>
      <c r="D130" s="368"/>
      <c r="E130" s="368"/>
      <c r="F130" s="368"/>
      <c r="G130" s="368"/>
      <c r="H130" s="368"/>
      <c r="I130" s="368"/>
      <c r="J130" s="368"/>
      <c r="K130" s="368"/>
      <c r="L130" s="368"/>
      <c r="M130" s="368"/>
      <c r="N130" s="366"/>
      <c r="AB130"/>
      <c r="AC130"/>
      <c r="AD130" s="158"/>
      <c r="AE130" s="158"/>
      <c r="AF130" s="400"/>
      <c r="AG130" s="400"/>
      <c r="AH130" s="400"/>
      <c r="AI130" s="400"/>
      <c r="AJ130" s="400"/>
      <c r="AK130" s="400"/>
      <c r="AL130" s="400"/>
      <c r="AM130" s="400"/>
      <c r="AN130"/>
      <c r="AO130"/>
      <c r="AP130"/>
      <c r="AQ130"/>
      <c r="AR130"/>
      <c r="AS130"/>
      <c r="AT130"/>
      <c r="AU130"/>
      <c r="AV130"/>
      <c r="AW130"/>
      <c r="AX130"/>
      <c r="AY130"/>
      <c r="AZ130"/>
      <c r="BA130"/>
      <c r="BB130"/>
      <c r="BC130"/>
      <c r="BD130"/>
    </row>
    <row r="131" spans="2:56" s="316" customFormat="1" x14ac:dyDescent="0.35">
      <c r="B131" s="368"/>
      <c r="C131" s="368"/>
      <c r="D131" s="368"/>
      <c r="E131" s="368"/>
      <c r="F131" s="368"/>
      <c r="G131" s="368"/>
      <c r="H131" s="368"/>
      <c r="I131" s="368"/>
      <c r="J131" s="368"/>
      <c r="K131" s="368"/>
      <c r="L131" s="368"/>
      <c r="M131" s="368"/>
      <c r="N131" s="366"/>
      <c r="AB131"/>
      <c r="AC131"/>
      <c r="AD131" s="158"/>
      <c r="AE131" s="158"/>
      <c r="AF131" s="400"/>
      <c r="AG131" s="400"/>
      <c r="AH131" s="400"/>
      <c r="AI131" s="400"/>
      <c r="AJ131" s="400"/>
      <c r="AK131" s="400"/>
      <c r="AL131" s="400"/>
      <c r="AM131" s="400"/>
      <c r="AN131"/>
      <c r="AO131"/>
      <c r="AP131"/>
      <c r="AQ131"/>
      <c r="AR131"/>
      <c r="AS131"/>
      <c r="AT131"/>
      <c r="AU131"/>
      <c r="AV131"/>
      <c r="AW131"/>
      <c r="AX131"/>
      <c r="AY131"/>
      <c r="AZ131"/>
      <c r="BA131"/>
      <c r="BB131"/>
      <c r="BC131"/>
      <c r="BD131"/>
    </row>
    <row r="132" spans="2:56" s="316" customFormat="1" x14ac:dyDescent="0.35">
      <c r="B132" s="368"/>
      <c r="C132" s="368"/>
      <c r="D132" s="368"/>
      <c r="E132" s="368"/>
      <c r="F132" s="368"/>
      <c r="G132" s="368"/>
      <c r="H132" s="368"/>
      <c r="I132" s="368"/>
      <c r="J132" s="368"/>
      <c r="K132" s="368"/>
      <c r="L132" s="368"/>
      <c r="M132" s="368"/>
      <c r="N132" s="366"/>
      <c r="AB132"/>
      <c r="AC132"/>
      <c r="AD132" s="158"/>
      <c r="AE132" s="158"/>
      <c r="AF132" s="400"/>
      <c r="AG132" s="400"/>
      <c r="AH132" s="400"/>
      <c r="AI132" s="400"/>
      <c r="AJ132" s="400"/>
      <c r="AK132" s="400"/>
      <c r="AL132" s="400"/>
      <c r="AM132" s="400"/>
      <c r="AN132"/>
      <c r="AO132"/>
      <c r="AP132"/>
      <c r="AQ132"/>
      <c r="AR132"/>
      <c r="AS132"/>
      <c r="AT132"/>
      <c r="AU132"/>
      <c r="AV132"/>
      <c r="AW132"/>
      <c r="AX132"/>
      <c r="AY132"/>
      <c r="AZ132"/>
      <c r="BA132"/>
      <c r="BB132"/>
      <c r="BC132"/>
      <c r="BD132"/>
    </row>
    <row r="133" spans="2:56" s="316" customFormat="1" x14ac:dyDescent="0.35">
      <c r="B133" s="368"/>
      <c r="C133" s="368"/>
      <c r="D133" s="368"/>
      <c r="E133" s="368"/>
      <c r="F133" s="368"/>
      <c r="G133" s="368"/>
      <c r="H133" s="368"/>
      <c r="I133" s="368"/>
      <c r="J133" s="368"/>
      <c r="K133" s="368"/>
      <c r="L133" s="368"/>
      <c r="M133" s="368"/>
      <c r="N133" s="366"/>
      <c r="AB133"/>
      <c r="AC133"/>
      <c r="AD133" s="158"/>
      <c r="AE133" s="158"/>
      <c r="AF133" s="400"/>
      <c r="AG133" s="400"/>
      <c r="AH133" s="400"/>
      <c r="AI133" s="400"/>
      <c r="AJ133" s="400"/>
      <c r="AK133" s="400"/>
      <c r="AL133" s="400"/>
      <c r="AM133" s="400"/>
      <c r="AN133"/>
      <c r="AO133"/>
      <c r="AP133"/>
      <c r="AQ133"/>
      <c r="AR133"/>
      <c r="AS133"/>
      <c r="AT133"/>
      <c r="AU133"/>
      <c r="AV133"/>
      <c r="AW133"/>
      <c r="AX133"/>
      <c r="AY133"/>
      <c r="AZ133"/>
      <c r="BA133"/>
      <c r="BB133"/>
      <c r="BC133"/>
      <c r="BD133"/>
    </row>
    <row r="134" spans="2:56" s="316" customFormat="1" x14ac:dyDescent="0.35">
      <c r="B134" s="368"/>
      <c r="C134" s="368"/>
      <c r="D134" s="368"/>
      <c r="E134" s="368"/>
      <c r="F134" s="368"/>
      <c r="G134" s="368"/>
      <c r="H134" s="368"/>
      <c r="I134" s="368"/>
      <c r="J134" s="368"/>
      <c r="K134" s="368"/>
      <c r="L134" s="368"/>
      <c r="M134" s="368"/>
      <c r="N134" s="366"/>
      <c r="AB134"/>
      <c r="AC134"/>
      <c r="AD134" s="158"/>
      <c r="AE134" s="158"/>
      <c r="AF134" s="400"/>
      <c r="AG134" s="400"/>
      <c r="AH134" s="400"/>
      <c r="AI134" s="400"/>
      <c r="AJ134" s="400"/>
      <c r="AK134" s="400"/>
      <c r="AL134" s="400"/>
      <c r="AM134" s="400"/>
      <c r="AN134"/>
      <c r="AO134"/>
      <c r="AP134"/>
      <c r="AQ134"/>
      <c r="AR134"/>
      <c r="AS134"/>
      <c r="AT134"/>
      <c r="AU134"/>
      <c r="AV134"/>
      <c r="AW134"/>
      <c r="AX134"/>
      <c r="AY134"/>
      <c r="AZ134"/>
      <c r="BA134"/>
      <c r="BB134"/>
      <c r="BC134"/>
      <c r="BD134"/>
    </row>
    <row r="135" spans="2:56" s="316" customFormat="1" x14ac:dyDescent="0.35">
      <c r="B135" s="368"/>
      <c r="C135" s="368"/>
      <c r="D135" s="368"/>
      <c r="E135" s="368"/>
      <c r="F135" s="368"/>
      <c r="G135" s="368"/>
      <c r="H135" s="368"/>
      <c r="I135" s="368"/>
      <c r="J135" s="368"/>
      <c r="K135" s="368"/>
      <c r="L135" s="368"/>
      <c r="M135" s="368"/>
      <c r="N135" s="366"/>
      <c r="AB135"/>
      <c r="AC135"/>
      <c r="AD135" s="158"/>
      <c r="AE135" s="158"/>
      <c r="AF135" s="400"/>
      <c r="AG135" s="400"/>
      <c r="AH135" s="400"/>
      <c r="AI135" s="400"/>
      <c r="AJ135" s="400"/>
      <c r="AK135" s="400"/>
      <c r="AL135" s="400"/>
      <c r="AM135" s="400"/>
      <c r="AN135"/>
      <c r="AO135"/>
      <c r="AP135"/>
      <c r="AQ135"/>
      <c r="AR135"/>
      <c r="AS135"/>
      <c r="AT135"/>
      <c r="AU135"/>
      <c r="AV135"/>
      <c r="AW135"/>
      <c r="AX135"/>
      <c r="AY135"/>
      <c r="AZ135"/>
      <c r="BA135"/>
      <c r="BB135"/>
      <c r="BC135"/>
      <c r="BD135"/>
    </row>
    <row r="136" spans="2:56" s="316" customFormat="1" x14ac:dyDescent="0.35">
      <c r="B136" s="368"/>
      <c r="C136" s="368"/>
      <c r="D136" s="368"/>
      <c r="E136" s="368"/>
      <c r="F136" s="368"/>
      <c r="G136" s="368"/>
      <c r="H136" s="368"/>
      <c r="I136" s="368"/>
      <c r="J136" s="368"/>
      <c r="K136" s="368"/>
      <c r="L136" s="368"/>
      <c r="M136" s="368"/>
      <c r="N136" s="366"/>
      <c r="AB136"/>
      <c r="AC136"/>
      <c r="AD136" s="158"/>
      <c r="AE136" s="158"/>
      <c r="AF136" s="400"/>
      <c r="AG136" s="400"/>
      <c r="AH136" s="400"/>
      <c r="AI136" s="400"/>
      <c r="AJ136" s="400"/>
      <c r="AK136" s="400"/>
      <c r="AL136" s="400"/>
      <c r="AM136" s="400"/>
      <c r="AN136"/>
      <c r="AO136"/>
      <c r="AP136"/>
      <c r="AQ136"/>
      <c r="AR136"/>
      <c r="AS136"/>
      <c r="AT136"/>
      <c r="AU136"/>
      <c r="AV136"/>
      <c r="AW136"/>
      <c r="AX136"/>
      <c r="AY136"/>
      <c r="AZ136"/>
      <c r="BA136"/>
      <c r="BB136"/>
      <c r="BC136"/>
      <c r="BD136"/>
    </row>
    <row r="137" spans="2:56" s="316" customFormat="1" x14ac:dyDescent="0.35">
      <c r="B137" s="368"/>
      <c r="C137" s="368"/>
      <c r="D137" s="368"/>
      <c r="E137" s="368"/>
      <c r="F137" s="368"/>
      <c r="G137" s="368"/>
      <c r="H137" s="368"/>
      <c r="I137" s="368"/>
      <c r="J137" s="368"/>
      <c r="K137" s="368"/>
      <c r="L137" s="368"/>
      <c r="M137" s="368"/>
      <c r="N137" s="366"/>
      <c r="AB137"/>
      <c r="AC137"/>
      <c r="AD137" s="158"/>
      <c r="AE137" s="158"/>
      <c r="AF137" s="400"/>
      <c r="AG137" s="400"/>
      <c r="AH137" s="400"/>
      <c r="AI137" s="400"/>
      <c r="AJ137" s="400"/>
      <c r="AK137" s="400"/>
      <c r="AL137" s="400"/>
      <c r="AM137" s="400"/>
      <c r="AN137"/>
      <c r="AO137"/>
      <c r="AP137"/>
      <c r="AQ137"/>
      <c r="AR137"/>
      <c r="AS137"/>
      <c r="AT137"/>
      <c r="AU137"/>
      <c r="AV137"/>
      <c r="AW137"/>
      <c r="AX137"/>
      <c r="AY137"/>
      <c r="AZ137"/>
      <c r="BA137"/>
      <c r="BB137"/>
      <c r="BC137"/>
      <c r="BD137"/>
    </row>
    <row r="138" spans="2:56" s="316" customFormat="1" x14ac:dyDescent="0.35">
      <c r="B138" s="368"/>
      <c r="C138" s="368"/>
      <c r="D138" s="368"/>
      <c r="E138" s="368"/>
      <c r="F138" s="368"/>
      <c r="G138" s="368"/>
      <c r="H138" s="368"/>
      <c r="I138" s="368"/>
      <c r="J138" s="368"/>
      <c r="K138" s="368"/>
      <c r="L138" s="368"/>
      <c r="M138" s="368"/>
      <c r="N138" s="366"/>
      <c r="AB138"/>
      <c r="AC138"/>
      <c r="AD138" s="158"/>
      <c r="AE138" s="158"/>
      <c r="AF138" s="400"/>
      <c r="AG138" s="400"/>
      <c r="AH138" s="400"/>
      <c r="AI138" s="400"/>
      <c r="AJ138" s="400"/>
      <c r="AK138" s="400"/>
      <c r="AL138" s="400"/>
      <c r="AM138" s="400"/>
      <c r="AN138"/>
      <c r="AO138"/>
      <c r="AP138"/>
      <c r="AQ138"/>
      <c r="AR138"/>
      <c r="AS138"/>
      <c r="AT138"/>
      <c r="AU138"/>
      <c r="AV138"/>
      <c r="AW138"/>
      <c r="AX138"/>
      <c r="AY138"/>
      <c r="AZ138"/>
      <c r="BA138"/>
      <c r="BB138"/>
      <c r="BC138"/>
      <c r="BD138"/>
    </row>
    <row r="139" spans="2:56" s="316" customFormat="1" x14ac:dyDescent="0.35">
      <c r="B139" s="368"/>
      <c r="C139" s="368"/>
      <c r="D139" s="368"/>
      <c r="E139" s="368"/>
      <c r="F139" s="368"/>
      <c r="G139" s="368"/>
      <c r="H139" s="368"/>
      <c r="I139" s="368"/>
      <c r="J139" s="368"/>
      <c r="K139" s="368"/>
      <c r="L139" s="368"/>
      <c r="M139" s="368"/>
      <c r="N139" s="366"/>
      <c r="AB139"/>
      <c r="AC139"/>
      <c r="AD139" s="158"/>
      <c r="AE139" s="158"/>
      <c r="AF139" s="400"/>
      <c r="AG139" s="400"/>
      <c r="AH139" s="400"/>
      <c r="AI139" s="400"/>
      <c r="AJ139" s="400"/>
      <c r="AK139" s="400"/>
      <c r="AL139" s="400"/>
      <c r="AM139" s="400"/>
      <c r="AN139"/>
      <c r="AO139"/>
      <c r="AP139"/>
      <c r="AQ139"/>
      <c r="AR139"/>
      <c r="AS139"/>
      <c r="AT139"/>
      <c r="AU139"/>
      <c r="AV139"/>
      <c r="AW139"/>
      <c r="AX139"/>
      <c r="AY139"/>
      <c r="AZ139"/>
      <c r="BA139"/>
      <c r="BB139"/>
      <c r="BC139"/>
      <c r="BD139"/>
    </row>
    <row r="140" spans="2:56" s="316" customFormat="1" x14ac:dyDescent="0.35">
      <c r="B140" s="368"/>
      <c r="C140" s="368"/>
      <c r="D140" s="368"/>
      <c r="E140" s="368"/>
      <c r="F140" s="368"/>
      <c r="G140" s="368"/>
      <c r="H140" s="368"/>
      <c r="I140" s="368"/>
      <c r="J140" s="368"/>
      <c r="K140" s="368"/>
      <c r="L140" s="368"/>
      <c r="M140" s="368"/>
      <c r="N140" s="366"/>
      <c r="AB140"/>
      <c r="AC140"/>
      <c r="AD140" s="158"/>
      <c r="AE140" s="158"/>
      <c r="AF140" s="400"/>
      <c r="AG140" s="400"/>
      <c r="AH140" s="400"/>
      <c r="AI140" s="400"/>
      <c r="AJ140" s="400"/>
      <c r="AK140" s="400"/>
      <c r="AL140" s="400"/>
      <c r="AM140" s="400"/>
      <c r="AN140"/>
      <c r="AO140"/>
      <c r="AP140"/>
      <c r="AQ140"/>
      <c r="AR140"/>
      <c r="AS140"/>
      <c r="AT140"/>
      <c r="AU140"/>
      <c r="AV140"/>
      <c r="AW140"/>
      <c r="AX140"/>
      <c r="AY140"/>
      <c r="AZ140"/>
      <c r="BA140"/>
      <c r="BB140"/>
      <c r="BC140"/>
      <c r="BD140"/>
    </row>
    <row r="141" spans="2:56" s="316" customFormat="1" x14ac:dyDescent="0.35">
      <c r="B141" s="368"/>
      <c r="C141" s="368"/>
      <c r="D141" s="368"/>
      <c r="E141" s="368"/>
      <c r="F141" s="368"/>
      <c r="G141" s="368"/>
      <c r="H141" s="368"/>
      <c r="I141" s="368"/>
      <c r="J141" s="368"/>
      <c r="K141" s="368"/>
      <c r="L141" s="368"/>
      <c r="M141" s="368"/>
      <c r="N141" s="366"/>
      <c r="AB141"/>
      <c r="AC141"/>
      <c r="AD141" s="158"/>
      <c r="AE141" s="158"/>
      <c r="AF141" s="400"/>
      <c r="AG141" s="400"/>
      <c r="AH141" s="400"/>
      <c r="AI141" s="400"/>
      <c r="AJ141" s="400"/>
      <c r="AK141" s="400"/>
      <c r="AL141" s="400"/>
      <c r="AM141" s="400"/>
      <c r="AN141"/>
      <c r="AO141"/>
      <c r="AP141"/>
      <c r="AQ141"/>
      <c r="AR141"/>
      <c r="AS141"/>
      <c r="AT141"/>
      <c r="AU141"/>
      <c r="AV141"/>
      <c r="AW141"/>
      <c r="AX141"/>
      <c r="AY141"/>
      <c r="AZ141"/>
      <c r="BA141"/>
      <c r="BB141"/>
      <c r="BC141"/>
      <c r="BD141"/>
    </row>
    <row r="142" spans="2:56" s="316" customFormat="1" x14ac:dyDescent="0.35">
      <c r="B142" s="368"/>
      <c r="C142" s="368"/>
      <c r="D142" s="368"/>
      <c r="E142" s="368"/>
      <c r="F142" s="368"/>
      <c r="G142" s="368"/>
      <c r="H142" s="368"/>
      <c r="I142" s="368"/>
      <c r="J142" s="368"/>
      <c r="K142" s="368"/>
      <c r="L142" s="368"/>
      <c r="M142" s="368"/>
      <c r="N142" s="366"/>
      <c r="AB142"/>
      <c r="AC142"/>
      <c r="AD142" s="158"/>
      <c r="AE142" s="158"/>
      <c r="AF142" s="400"/>
      <c r="AG142" s="400"/>
      <c r="AH142" s="400"/>
      <c r="AI142" s="400"/>
      <c r="AJ142" s="400"/>
      <c r="AK142" s="400"/>
      <c r="AL142" s="400"/>
      <c r="AM142" s="400"/>
      <c r="AN142"/>
      <c r="AO142"/>
      <c r="AP142"/>
      <c r="AQ142"/>
      <c r="AR142"/>
      <c r="AS142"/>
      <c r="AT142"/>
      <c r="AU142"/>
      <c r="AV142"/>
      <c r="AW142"/>
      <c r="AX142"/>
      <c r="AY142"/>
      <c r="AZ142"/>
      <c r="BA142"/>
      <c r="BB142"/>
      <c r="BC142"/>
      <c r="BD142"/>
    </row>
    <row r="143" spans="2:56" s="316" customFormat="1" x14ac:dyDescent="0.35">
      <c r="B143" s="368"/>
      <c r="C143" s="368"/>
      <c r="D143" s="368"/>
      <c r="E143" s="368"/>
      <c r="F143" s="368"/>
      <c r="G143" s="368"/>
      <c r="H143" s="368"/>
      <c r="I143" s="368"/>
      <c r="J143" s="368"/>
      <c r="K143" s="368"/>
      <c r="L143" s="368"/>
      <c r="M143" s="368"/>
      <c r="N143" s="366"/>
      <c r="AB143"/>
      <c r="AC143"/>
      <c r="AD143" s="158"/>
      <c r="AE143" s="158"/>
      <c r="AF143" s="400"/>
      <c r="AG143" s="400"/>
      <c r="AH143" s="400"/>
      <c r="AI143" s="400"/>
      <c r="AJ143" s="400"/>
      <c r="AK143" s="400"/>
      <c r="AL143" s="400"/>
      <c r="AM143" s="400"/>
      <c r="AN143"/>
      <c r="AO143"/>
      <c r="AP143"/>
      <c r="AQ143"/>
      <c r="AR143"/>
      <c r="AS143"/>
      <c r="AT143"/>
      <c r="AU143"/>
      <c r="AV143"/>
      <c r="AW143"/>
      <c r="AX143"/>
      <c r="AY143"/>
      <c r="AZ143"/>
      <c r="BA143"/>
      <c r="BB143"/>
      <c r="BC143"/>
      <c r="BD143"/>
    </row>
    <row r="144" spans="2:56" s="316" customFormat="1" x14ac:dyDescent="0.35">
      <c r="B144" s="368"/>
      <c r="C144" s="368"/>
      <c r="D144" s="368"/>
      <c r="E144" s="368"/>
      <c r="F144" s="368"/>
      <c r="G144" s="368"/>
      <c r="H144" s="368"/>
      <c r="I144" s="368"/>
      <c r="J144" s="368"/>
      <c r="K144" s="368"/>
      <c r="L144" s="368"/>
      <c r="M144" s="368"/>
      <c r="N144" s="366"/>
      <c r="AB144"/>
      <c r="AC144"/>
      <c r="AD144" s="158"/>
      <c r="AE144" s="158"/>
      <c r="AF144" s="400"/>
      <c r="AG144" s="400"/>
      <c r="AH144" s="400"/>
      <c r="AI144" s="400"/>
      <c r="AJ144" s="400"/>
      <c r="AK144" s="400"/>
      <c r="AL144" s="400"/>
      <c r="AM144" s="400"/>
      <c r="AN144"/>
      <c r="AO144"/>
      <c r="AP144"/>
      <c r="AQ144"/>
      <c r="AR144"/>
      <c r="AS144"/>
      <c r="AT144"/>
      <c r="AU144"/>
      <c r="AV144"/>
      <c r="AW144"/>
      <c r="AX144"/>
      <c r="AY144"/>
      <c r="AZ144"/>
      <c r="BA144"/>
      <c r="BB144"/>
      <c r="BC144"/>
      <c r="BD144"/>
    </row>
    <row r="145" spans="1:56" s="316" customFormat="1" x14ac:dyDescent="0.35">
      <c r="B145" s="368"/>
      <c r="C145" s="368"/>
      <c r="D145" s="368"/>
      <c r="E145" s="368"/>
      <c r="F145" s="368"/>
      <c r="G145" s="368"/>
      <c r="H145" s="368"/>
      <c r="I145" s="368"/>
      <c r="J145" s="368"/>
      <c r="K145" s="368"/>
      <c r="L145" s="368"/>
      <c r="M145" s="368"/>
      <c r="N145" s="366"/>
      <c r="AB145"/>
      <c r="AC145"/>
      <c r="AD145" s="158"/>
      <c r="AE145" s="158"/>
      <c r="AF145" s="400"/>
      <c r="AG145" s="400"/>
      <c r="AH145" s="400"/>
      <c r="AI145" s="400"/>
      <c r="AJ145" s="400"/>
      <c r="AK145" s="400"/>
      <c r="AL145" s="400"/>
      <c r="AM145" s="400"/>
      <c r="AN145"/>
      <c r="AO145"/>
      <c r="AP145"/>
      <c r="AQ145"/>
      <c r="AR145"/>
      <c r="AS145"/>
      <c r="AT145"/>
      <c r="AU145"/>
      <c r="AV145"/>
      <c r="AW145"/>
      <c r="AX145"/>
      <c r="AY145"/>
      <c r="AZ145"/>
      <c r="BA145"/>
      <c r="BB145"/>
      <c r="BC145"/>
      <c r="BD145"/>
    </row>
    <row r="146" spans="1:56" x14ac:dyDescent="0.35">
      <c r="B146" s="314"/>
      <c r="C146" s="314"/>
      <c r="D146" s="314"/>
      <c r="E146" s="314"/>
      <c r="F146" s="314"/>
      <c r="G146" s="314"/>
      <c r="H146" s="314"/>
      <c r="I146" s="314"/>
      <c r="J146" s="314"/>
      <c r="K146" s="314"/>
      <c r="L146" s="314"/>
      <c r="M146" s="314"/>
      <c r="AB146"/>
      <c r="AC146"/>
      <c r="AF146" s="400"/>
      <c r="AG146" s="400"/>
      <c r="AH146" s="400"/>
      <c r="AI146" s="400"/>
      <c r="AJ146" s="400"/>
      <c r="AK146" s="400"/>
      <c r="AL146" s="400"/>
      <c r="AM146" s="400"/>
    </row>
    <row r="147" spans="1:56" ht="15.5" x14ac:dyDescent="0.35">
      <c r="A147" s="416">
        <v>4</v>
      </c>
      <c r="B147" s="35" t="s">
        <v>793</v>
      </c>
      <c r="C147" s="36"/>
      <c r="D147" s="36"/>
      <c r="E147" s="36"/>
      <c r="F147" s="9"/>
      <c r="G147" s="9"/>
      <c r="H147" s="9"/>
      <c r="I147" s="9"/>
      <c r="J147" s="9"/>
      <c r="K147" s="9"/>
      <c r="L147" s="9"/>
      <c r="M147" s="10"/>
      <c r="AB147"/>
      <c r="AC147"/>
      <c r="AF147" s="400"/>
      <c r="AG147" s="400"/>
      <c r="AH147" s="400"/>
      <c r="AI147" s="400"/>
      <c r="AJ147" s="400"/>
      <c r="AK147" s="400"/>
      <c r="AL147" s="400"/>
      <c r="AM147" s="400"/>
    </row>
    <row r="148" spans="1:56" ht="32.15" customHeight="1" x14ac:dyDescent="0.35">
      <c r="A148" s="417"/>
      <c r="B148" s="420" t="str">
        <f>IF(F3="","Average weekly rent (£ per week) and units","Average weekly supported housing/housing for older people rent (£ per week) and units in "&amp;$F$3&amp;", "&amp;$B$48&amp;" and England")</f>
        <v>Average weekly rent (£ per week) and units</v>
      </c>
      <c r="C148" s="421"/>
      <c r="D148" s="421"/>
      <c r="E148" s="421"/>
      <c r="F148" s="421"/>
      <c r="G148" s="421"/>
      <c r="H148" s="421"/>
      <c r="I148" s="421"/>
      <c r="J148" s="421"/>
      <c r="K148" s="52"/>
      <c r="L148" s="52"/>
      <c r="M148" s="39"/>
      <c r="AB148"/>
      <c r="AC148"/>
      <c r="AF148" s="400"/>
      <c r="AG148" s="400"/>
      <c r="AH148" s="400"/>
      <c r="AI148" s="400"/>
      <c r="AJ148" s="400"/>
      <c r="AK148" s="400"/>
      <c r="AL148" s="400"/>
      <c r="AM148" s="400"/>
    </row>
    <row r="149" spans="1:56" ht="15.5" x14ac:dyDescent="0.35">
      <c r="B149" s="325" t="str">
        <f>IF(F3="","Average weekly supported housing/housing for older people (social rent) net rent (£ per week)","Average weekly supported housing/ housing for older people (social rent) net rent (£ per week) in "&amp;$F$3&amp;", "&amp;$B$48&amp;" and England")</f>
        <v>Average weekly supported housing/housing for older people (social rent) net rent (£ per week)</v>
      </c>
      <c r="C149" s="362"/>
      <c r="D149" s="52"/>
      <c r="E149" s="52"/>
      <c r="F149" s="52"/>
      <c r="G149" s="52"/>
      <c r="H149" s="52"/>
      <c r="I149" s="52"/>
      <c r="J149" s="52"/>
      <c r="K149" s="52"/>
      <c r="L149" s="52"/>
      <c r="M149" s="39"/>
      <c r="AB149"/>
      <c r="AC149"/>
      <c r="AF149" s="400"/>
      <c r="AG149" s="400"/>
      <c r="AH149" s="400"/>
      <c r="AI149" s="400"/>
      <c r="AJ149" s="400"/>
      <c r="AK149" s="400"/>
      <c r="AL149" s="400"/>
      <c r="AM149" s="400"/>
    </row>
    <row r="150" spans="1:56" x14ac:dyDescent="0.35">
      <c r="B150" s="53"/>
      <c r="C150" s="362"/>
      <c r="D150" s="324" t="s">
        <v>801</v>
      </c>
      <c r="E150" s="54">
        <v>2015</v>
      </c>
      <c r="F150" s="54">
        <v>2016</v>
      </c>
      <c r="G150" s="54">
        <v>2017</v>
      </c>
      <c r="H150" s="54">
        <v>2018</v>
      </c>
      <c r="I150" s="54">
        <v>2019</v>
      </c>
      <c r="J150" s="54">
        <v>2020</v>
      </c>
      <c r="K150" s="54">
        <v>2021</v>
      </c>
      <c r="L150" s="54">
        <v>2022</v>
      </c>
      <c r="M150" s="55">
        <v>2023</v>
      </c>
      <c r="AB150"/>
      <c r="AC150"/>
      <c r="AF150" s="400"/>
      <c r="AG150" s="400"/>
      <c r="AH150" s="400"/>
      <c r="AI150" s="400"/>
      <c r="AJ150" s="400"/>
      <c r="AK150" s="400"/>
      <c r="AL150" s="400"/>
      <c r="AM150" s="400"/>
    </row>
    <row r="151" spans="1:56" x14ac:dyDescent="0.35">
      <c r="B151" s="56">
        <f>$F$3</f>
        <v>0</v>
      </c>
      <c r="C151" s="57"/>
      <c r="D151" s="45"/>
      <c r="E151" s="239"/>
      <c r="F151" s="239"/>
      <c r="G151" s="239"/>
      <c r="H151" s="239"/>
      <c r="I151" s="239"/>
      <c r="J151" s="239"/>
      <c r="K151" s="239"/>
      <c r="L151" s="239"/>
      <c r="M151" s="240"/>
      <c r="AB151"/>
      <c r="AC151"/>
      <c r="AF151" s="400"/>
      <c r="AG151" s="400"/>
      <c r="AH151" s="400"/>
      <c r="AI151" s="400"/>
      <c r="AJ151" s="400"/>
      <c r="AK151" s="400"/>
      <c r="AL151" s="400"/>
      <c r="AM151" s="400"/>
    </row>
    <row r="152" spans="1:56" x14ac:dyDescent="0.35">
      <c r="B152" s="218" t="s">
        <v>18</v>
      </c>
      <c r="C152" s="219"/>
      <c r="D152" s="219"/>
      <c r="E152" s="241" t="str">
        <f>IFERROR(VLOOKUP($F$3,Y_1,15,0),"")</f>
        <v/>
      </c>
      <c r="F152" s="241" t="str">
        <f>IFERROR(VLOOKUP($F$3,Y_2,15,0),"")</f>
        <v/>
      </c>
      <c r="G152" s="241" t="str">
        <f>IFERROR(VLOOKUP($F$3,Y_3,15,0),"")</f>
        <v/>
      </c>
      <c r="H152" s="241" t="str">
        <f>IFERROR(VLOOKUP($F$3,Y_4,15,0),"")</f>
        <v/>
      </c>
      <c r="I152" s="241" t="str">
        <f>IFERROR(VLOOKUP($F$3,Y_5,15,0),"")</f>
        <v/>
      </c>
      <c r="J152" s="241" t="str">
        <f>IFERROR(VLOOKUP($F$3,Y_6,15,0),"")</f>
        <v/>
      </c>
      <c r="K152" s="241" t="str">
        <f>IFERROR(VLOOKUP($F$3,Y_7,15,0),"")</f>
        <v/>
      </c>
      <c r="L152" s="241" t="str">
        <f>IFERROR(VLOOKUP($F$3,Y_8,15,0),"")</f>
        <v/>
      </c>
      <c r="M152" s="242" t="str">
        <f>IFERROR(VLOOKUP($F$3,Y_9,15,0),"")</f>
        <v/>
      </c>
      <c r="AB152"/>
      <c r="AC152"/>
      <c r="AF152" s="400"/>
      <c r="AG152" s="400"/>
      <c r="AH152" s="400"/>
      <c r="AI152" s="400"/>
      <c r="AJ152" s="400"/>
      <c r="AK152" s="400"/>
      <c r="AL152" s="400"/>
      <c r="AM152" s="400"/>
    </row>
    <row r="153" spans="1:56" ht="15.5" x14ac:dyDescent="0.35">
      <c r="B153" s="220" t="s">
        <v>776</v>
      </c>
      <c r="C153" s="193"/>
      <c r="D153" s="193"/>
      <c r="E153" s="58" t="str">
        <f>IFERROR(VLOOKUP($F$3,Y_1,16,0),"")</f>
        <v/>
      </c>
      <c r="F153" s="58" t="str">
        <f>IFERROR(VLOOKUP($F$3,Y_2,16,0),"")</f>
        <v/>
      </c>
      <c r="G153" s="243" t="str">
        <f>IFERROR(VLOOKUP($F$3,Y_3,16,0),"")</f>
        <v/>
      </c>
      <c r="H153" s="243" t="str">
        <f>IFERROR(VLOOKUP($F$3,Y_4,16,0),"")</f>
        <v/>
      </c>
      <c r="I153" s="243" t="str">
        <f>IFERROR(VLOOKUP($F$3,Y_5,16,0),"")</f>
        <v/>
      </c>
      <c r="J153" s="243" t="str">
        <f>IFERROR(VLOOKUP($F$3,Y_6,16,0),"")</f>
        <v/>
      </c>
      <c r="K153" s="243" t="str">
        <f>IFERROR(VLOOKUP($F$3,Y_7,16,0),"")</f>
        <v/>
      </c>
      <c r="L153" s="243" t="str">
        <f>IFERROR(VLOOKUP($F$3,Y_8,16,0),"")</f>
        <v/>
      </c>
      <c r="M153" s="244" t="str">
        <f>IFERROR(VLOOKUP($F$3,Y_9,16,0),"")</f>
        <v/>
      </c>
      <c r="AB153"/>
      <c r="AC153"/>
      <c r="AF153" s="400"/>
      <c r="AG153" s="400"/>
      <c r="AH153" s="400"/>
      <c r="AI153" s="400"/>
      <c r="AJ153" s="400"/>
      <c r="AK153" s="400"/>
      <c r="AL153" s="400"/>
      <c r="AM153" s="400"/>
    </row>
    <row r="154" spans="1:56" x14ac:dyDescent="0.35">
      <c r="B154" s="220" t="s">
        <v>19</v>
      </c>
      <c r="C154" s="193"/>
      <c r="D154" s="193"/>
      <c r="E154" s="243" t="str">
        <f>IFERROR(VLOOKUP($F$3,Y_1,17,0),"")</f>
        <v/>
      </c>
      <c r="F154" s="243" t="str">
        <f>IFERROR(VLOOKUP($F$3,Y_2,17,0),"")</f>
        <v/>
      </c>
      <c r="G154" s="243" t="str">
        <f>IFERROR(VLOOKUP($F$3,Y_3,17,0),"")</f>
        <v/>
      </c>
      <c r="H154" s="243" t="str">
        <f>IFERROR(VLOOKUP($F$3,Y_4,17,0),"")</f>
        <v/>
      </c>
      <c r="I154" s="243" t="str">
        <f>IFERROR(VLOOKUP($F$3,Y_5,17,0),"")</f>
        <v/>
      </c>
      <c r="J154" s="243" t="str">
        <f>IFERROR(VLOOKUP($F$3,Y_6,17,0),"")</f>
        <v/>
      </c>
      <c r="K154" s="243" t="str">
        <f>IFERROR(VLOOKUP($F$3,Y_7,17,0),"")</f>
        <v/>
      </c>
      <c r="L154" s="243" t="str">
        <f>IFERROR(VLOOKUP($F$3,Y_8,17,0),"")</f>
        <v/>
      </c>
      <c r="M154" s="244" t="str">
        <f>IFERROR(VLOOKUP($F$3,Y_9,17,0),"")</f>
        <v/>
      </c>
      <c r="AB154"/>
      <c r="AC154"/>
      <c r="AF154" s="400"/>
      <c r="AG154" s="400"/>
      <c r="AH154" s="400"/>
      <c r="AI154" s="400"/>
      <c r="AJ154" s="400"/>
      <c r="AK154" s="400"/>
      <c r="AL154" s="400"/>
      <c r="AM154" s="400"/>
    </row>
    <row r="155" spans="1:56" x14ac:dyDescent="0.35">
      <c r="B155" s="220" t="s">
        <v>20</v>
      </c>
      <c r="C155" s="193"/>
      <c r="D155" s="193"/>
      <c r="E155" s="243" t="str">
        <f>IFERROR(VLOOKUP($F$3,Y_1,18,0),"")</f>
        <v/>
      </c>
      <c r="F155" s="243" t="str">
        <f>IFERROR(VLOOKUP($F$3,Y_2,18,0),"")</f>
        <v/>
      </c>
      <c r="G155" s="243" t="str">
        <f>IFERROR(VLOOKUP($F$3,Y_3,18,0),"")</f>
        <v/>
      </c>
      <c r="H155" s="243" t="str">
        <f>IFERROR(VLOOKUP($F$3,Y_4,18,0),"")</f>
        <v/>
      </c>
      <c r="I155" s="243" t="str">
        <f>IFERROR(VLOOKUP($F$3,Y_5,18,0),"")</f>
        <v/>
      </c>
      <c r="J155" s="243" t="str">
        <f>IFERROR(VLOOKUP($F$3,Y_6,18,0),"")</f>
        <v/>
      </c>
      <c r="K155" s="243" t="str">
        <f>IFERROR(VLOOKUP($F$3,Y_7,18,0),"")</f>
        <v/>
      </c>
      <c r="L155" s="243" t="str">
        <f>IFERROR(VLOOKUP($F$3,Y_8,18,0),"")</f>
        <v/>
      </c>
      <c r="M155" s="244" t="str">
        <f>IFERROR(VLOOKUP($F$3,Y_9,18,0),"")</f>
        <v/>
      </c>
      <c r="AB155"/>
      <c r="AC155"/>
      <c r="AF155" s="400"/>
      <c r="AG155" s="400"/>
      <c r="AH155" s="400"/>
      <c r="AI155" s="400"/>
      <c r="AJ155" s="400"/>
      <c r="AK155" s="400"/>
      <c r="AL155" s="400"/>
      <c r="AM155" s="400"/>
    </row>
    <row r="156" spans="1:56" x14ac:dyDescent="0.35">
      <c r="B156" s="221" t="s">
        <v>21</v>
      </c>
      <c r="C156" s="222"/>
      <c r="D156" s="222"/>
      <c r="E156" s="245" t="str">
        <f>IFERROR(VLOOKUP($F$3,Y_1,19,0),"")</f>
        <v/>
      </c>
      <c r="F156" s="245" t="str">
        <f>IFERROR(VLOOKUP($F$3,Y_2,19,0),"")</f>
        <v/>
      </c>
      <c r="G156" s="245" t="str">
        <f>IFERROR(VLOOKUP($F$3,Y_3,19,0),"")</f>
        <v/>
      </c>
      <c r="H156" s="245" t="str">
        <f>IFERROR(VLOOKUP($F$3,Y_4,19,0),"")</f>
        <v/>
      </c>
      <c r="I156" s="245" t="str">
        <f>IFERROR(VLOOKUP($F$3,Y_5,19,0),"")</f>
        <v/>
      </c>
      <c r="J156" s="245" t="str">
        <f>IFERROR(VLOOKUP($F$3,Y_6,19,0),"")</f>
        <v/>
      </c>
      <c r="K156" s="245" t="str">
        <f>IFERROR(VLOOKUP($F$3,Y_7,19,0),"")</f>
        <v/>
      </c>
      <c r="L156" s="245" t="str">
        <f>IFERROR(VLOOKUP($F$3,Y_8,19,0),"")</f>
        <v/>
      </c>
      <c r="M156" s="246" t="str">
        <f>IFERROR(VLOOKUP($F$3,Y_9,19,0),"")</f>
        <v/>
      </c>
      <c r="AB156"/>
      <c r="AC156"/>
      <c r="AF156" s="400"/>
      <c r="AG156" s="400"/>
      <c r="AH156" s="400"/>
      <c r="AI156" s="400"/>
      <c r="AJ156" s="400"/>
      <c r="AK156" s="400"/>
      <c r="AL156" s="400"/>
      <c r="AM156" s="400"/>
    </row>
    <row r="157" spans="1:56" x14ac:dyDescent="0.35">
      <c r="B157" s="56" t="str">
        <f>$B$48</f>
        <v/>
      </c>
      <c r="C157" s="57"/>
      <c r="D157" s="45"/>
      <c r="E157" s="239"/>
      <c r="F157" s="239"/>
      <c r="G157" s="239"/>
      <c r="H157" s="239"/>
      <c r="I157" s="239"/>
      <c r="J157" s="239"/>
      <c r="K157" s="239"/>
      <c r="L157" s="239"/>
      <c r="M157" s="240"/>
      <c r="AB157"/>
      <c r="AC157"/>
      <c r="AF157" s="400"/>
      <c r="AG157" s="400"/>
      <c r="AH157" s="400"/>
      <c r="AI157" s="400"/>
      <c r="AJ157" s="400"/>
      <c r="AK157" s="400"/>
      <c r="AL157" s="400"/>
      <c r="AM157" s="400"/>
    </row>
    <row r="158" spans="1:56" x14ac:dyDescent="0.35">
      <c r="B158" s="218" t="s">
        <v>18</v>
      </c>
      <c r="C158" s="219"/>
      <c r="D158" s="219"/>
      <c r="E158" s="241" t="str">
        <f>IFERROR(VLOOKUP($F$4,Y_1,15,0),"")</f>
        <v/>
      </c>
      <c r="F158" s="241" t="str">
        <f>IFERROR(VLOOKUP($F$4,Y_2,15,0),"")</f>
        <v/>
      </c>
      <c r="G158" s="241" t="str">
        <f>IFERROR(VLOOKUP($F$4,Y_3,15,0),"")</f>
        <v/>
      </c>
      <c r="H158" s="241" t="str">
        <f>IFERROR(VLOOKUP($F$4,Y_4,15,0),"")</f>
        <v/>
      </c>
      <c r="I158" s="241" t="str">
        <f>IFERROR(VLOOKUP($F$4,Y_5,15,0),"")</f>
        <v/>
      </c>
      <c r="J158" s="241" t="str">
        <f>IFERROR(VLOOKUP($F$4,Y_6,15,0),"")</f>
        <v/>
      </c>
      <c r="K158" s="241" t="str">
        <f>IFERROR(VLOOKUP($F$4,Y_7,15,0),"")</f>
        <v/>
      </c>
      <c r="L158" s="241" t="str">
        <f>IFERROR(VLOOKUP($F$4,Y_8,15,0),"")</f>
        <v/>
      </c>
      <c r="M158" s="242" t="str">
        <f>IFERROR(VLOOKUP($F$4,Y_9,15,0),"")</f>
        <v/>
      </c>
      <c r="AB158"/>
      <c r="AC158"/>
      <c r="AF158" s="400"/>
      <c r="AG158" s="400"/>
      <c r="AH158" s="400"/>
      <c r="AI158" s="400"/>
      <c r="AJ158" s="400"/>
      <c r="AK158" s="400"/>
      <c r="AL158" s="400"/>
      <c r="AM158" s="400"/>
    </row>
    <row r="159" spans="1:56" ht="15.5" x14ac:dyDescent="0.35">
      <c r="B159" s="220" t="s">
        <v>776</v>
      </c>
      <c r="C159" s="193"/>
      <c r="D159" s="193"/>
      <c r="E159" s="58" t="str">
        <f>IFERROR(VLOOKUP($F$4,Y_1,16,0),"")</f>
        <v/>
      </c>
      <c r="F159" s="58" t="str">
        <f>IFERROR(VLOOKUP($F$4,Y_2,16,0),"")</f>
        <v/>
      </c>
      <c r="G159" s="243" t="str">
        <f>IFERROR(VLOOKUP($F$4,Y_3,16,0),"")</f>
        <v/>
      </c>
      <c r="H159" s="243" t="str">
        <f>IFERROR(VLOOKUP($F$4,Y_4,16,0),"")</f>
        <v/>
      </c>
      <c r="I159" s="243" t="str">
        <f>IFERROR(VLOOKUP($F$4,Y_5,16,0),"")</f>
        <v/>
      </c>
      <c r="J159" s="243" t="str">
        <f>IFERROR(VLOOKUP($F$4,Y_6,16,0),"")</f>
        <v/>
      </c>
      <c r="K159" s="243" t="str">
        <f>IFERROR(VLOOKUP($F$4,Y_7,16,0),"")</f>
        <v/>
      </c>
      <c r="L159" s="243" t="str">
        <f>IFERROR(VLOOKUP($F$4,Y_8,16,0),"")</f>
        <v/>
      </c>
      <c r="M159" s="244" t="str">
        <f>IFERROR(VLOOKUP($F$4,Y_9,16,0),"")</f>
        <v/>
      </c>
      <c r="AB159"/>
      <c r="AC159"/>
      <c r="AF159" s="400"/>
      <c r="AG159" s="400"/>
      <c r="AH159" s="400"/>
      <c r="AI159" s="400"/>
      <c r="AJ159" s="400"/>
      <c r="AK159" s="400"/>
      <c r="AL159" s="400"/>
      <c r="AM159" s="400"/>
    </row>
    <row r="160" spans="1:56" x14ac:dyDescent="0.35">
      <c r="B160" s="220" t="s">
        <v>19</v>
      </c>
      <c r="C160" s="193"/>
      <c r="D160" s="193"/>
      <c r="E160" s="243" t="str">
        <f>IFERROR(VLOOKUP($F$4,Y_1,17,0),"")</f>
        <v/>
      </c>
      <c r="F160" s="243" t="str">
        <f>IFERROR(VLOOKUP($F$4,Y_2,17,0),"")</f>
        <v/>
      </c>
      <c r="G160" s="243" t="str">
        <f>IFERROR(VLOOKUP($F$4,Y_3,17,0),"")</f>
        <v/>
      </c>
      <c r="H160" s="243" t="str">
        <f>IFERROR(VLOOKUP($F$4,Y_4,17,0),"")</f>
        <v/>
      </c>
      <c r="I160" s="243" t="str">
        <f>IFERROR(VLOOKUP($F$4,Y_5,17,0),"")</f>
        <v/>
      </c>
      <c r="J160" s="243" t="str">
        <f>IFERROR(VLOOKUP($F$4,Y_6,17,0),"")</f>
        <v/>
      </c>
      <c r="K160" s="243" t="str">
        <f>IFERROR(VLOOKUP($F$4,Y_7,17,0),"")</f>
        <v/>
      </c>
      <c r="L160" s="243" t="str">
        <f>IFERROR(VLOOKUP($F$4,Y_8,17,0),"")</f>
        <v/>
      </c>
      <c r="M160" s="244" t="str">
        <f>IFERROR(VLOOKUP($F$4,Y_9,17,0),"")</f>
        <v/>
      </c>
      <c r="AB160"/>
      <c r="AC160"/>
      <c r="AF160" s="400"/>
      <c r="AG160" s="400"/>
      <c r="AH160" s="400"/>
      <c r="AI160" s="400"/>
      <c r="AJ160" s="400"/>
      <c r="AK160" s="400"/>
      <c r="AL160" s="400"/>
      <c r="AM160" s="400"/>
    </row>
    <row r="161" spans="1:56" x14ac:dyDescent="0.35">
      <c r="B161" s="220" t="s">
        <v>20</v>
      </c>
      <c r="C161" s="193"/>
      <c r="D161" s="193"/>
      <c r="E161" s="243" t="str">
        <f>IFERROR(VLOOKUP($F$4,Y_1,18,0),"")</f>
        <v/>
      </c>
      <c r="F161" s="243" t="str">
        <f>IFERROR(VLOOKUP($F$4,Y_2,18,0),"")</f>
        <v/>
      </c>
      <c r="G161" s="243" t="str">
        <f>IFERROR(VLOOKUP($F$4,Y_3,18,0),"")</f>
        <v/>
      </c>
      <c r="H161" s="243" t="str">
        <f>IFERROR(VLOOKUP($F$4,Y_4,18,0),"")</f>
        <v/>
      </c>
      <c r="I161" s="243" t="str">
        <f>IFERROR(VLOOKUP($F$4,Y_5,18,0),"")</f>
        <v/>
      </c>
      <c r="J161" s="243" t="str">
        <f>IFERROR(VLOOKUP($F$4,Y_6,18,0),"")</f>
        <v/>
      </c>
      <c r="K161" s="243" t="str">
        <f>IFERROR(VLOOKUP($F$4,Y_7,18,0),"")</f>
        <v/>
      </c>
      <c r="L161" s="243" t="str">
        <f>IFERROR(VLOOKUP($F$4,Y_8,18,0),"")</f>
        <v/>
      </c>
      <c r="M161" s="244" t="str">
        <f>IFERROR(VLOOKUP($F$4,Y_9,18,0),"")</f>
        <v/>
      </c>
      <c r="AB161"/>
      <c r="AC161"/>
      <c r="AF161" s="400"/>
      <c r="AG161" s="400"/>
      <c r="AH161" s="400"/>
      <c r="AI161" s="400"/>
      <c r="AJ161" s="400"/>
      <c r="AK161" s="400"/>
      <c r="AL161" s="400"/>
      <c r="AM161" s="400"/>
    </row>
    <row r="162" spans="1:56" x14ac:dyDescent="0.35">
      <c r="B162" s="221" t="s">
        <v>21</v>
      </c>
      <c r="C162" s="222"/>
      <c r="D162" s="222"/>
      <c r="E162" s="245" t="str">
        <f>IFERROR(VLOOKUP($F$4,Y_1,19,0),"")</f>
        <v/>
      </c>
      <c r="F162" s="245" t="str">
        <f>IFERROR(VLOOKUP($F$4,Y_2,19,0),"")</f>
        <v/>
      </c>
      <c r="G162" s="245" t="str">
        <f>IFERROR(VLOOKUP($F$4,Y_3,19,0),"")</f>
        <v/>
      </c>
      <c r="H162" s="245" t="str">
        <f>IFERROR(VLOOKUP($F$4,Y_4,19,0),"")</f>
        <v/>
      </c>
      <c r="I162" s="245" t="str">
        <f>IFERROR(VLOOKUP($F$4,Y_5,19,0),"")</f>
        <v/>
      </c>
      <c r="J162" s="245" t="str">
        <f>IFERROR(VLOOKUP($F$4,Y_6,19,0),"")</f>
        <v/>
      </c>
      <c r="K162" s="245" t="str">
        <f>IFERROR(VLOOKUP($F$4,Y_7,19,0),"")</f>
        <v/>
      </c>
      <c r="L162" s="245" t="str">
        <f>IFERROR(VLOOKUP($F$4,Y_8,19,0),"")</f>
        <v/>
      </c>
      <c r="M162" s="246" t="str">
        <f>IFERROR(VLOOKUP($F$4,Y_9,19,0),"")</f>
        <v/>
      </c>
      <c r="AB162"/>
      <c r="AC162"/>
      <c r="AF162" s="400"/>
      <c r="AG162" s="400"/>
      <c r="AH162" s="400"/>
      <c r="AI162" s="400"/>
      <c r="AJ162" s="400"/>
      <c r="AK162" s="400"/>
      <c r="AL162" s="400"/>
      <c r="AM162" s="400"/>
    </row>
    <row r="163" spans="1:56" x14ac:dyDescent="0.35">
      <c r="B163" s="56" t="s">
        <v>13</v>
      </c>
      <c r="C163" s="57"/>
      <c r="D163" s="57"/>
      <c r="E163" s="239"/>
      <c r="F163" s="239"/>
      <c r="G163" s="239"/>
      <c r="H163" s="239"/>
      <c r="I163" s="239"/>
      <c r="J163" s="239"/>
      <c r="K163" s="239"/>
      <c r="L163" s="239"/>
      <c r="M163" s="240"/>
      <c r="AB163"/>
      <c r="AC163"/>
      <c r="AF163" s="400"/>
      <c r="AG163" s="400"/>
      <c r="AH163" s="400"/>
      <c r="AI163" s="400"/>
      <c r="AJ163" s="400"/>
      <c r="AK163" s="400"/>
      <c r="AL163" s="400"/>
      <c r="AM163" s="400"/>
    </row>
    <row r="164" spans="1:56" x14ac:dyDescent="0.35">
      <c r="B164" s="218" t="s">
        <v>18</v>
      </c>
      <c r="C164" s="219"/>
      <c r="D164" s="219"/>
      <c r="E164" s="241">
        <f>IF($F$4&lt;&gt;"",VLOOKUP($B$49,Y_1,15,0),"")</f>
        <v>87.71</v>
      </c>
      <c r="F164" s="241">
        <f>IF($F$4&lt;&gt;"",VLOOKUP($B$49,Y_2,15,0),"")</f>
        <v>89.43</v>
      </c>
      <c r="G164" s="241">
        <f>IF($F$4&lt;&gt;"",VLOOKUP($B$49,Y_3,15,0),"")</f>
        <v>91.25</v>
      </c>
      <c r="H164" s="241">
        <f>IF($F$4&lt;&gt;"",VLOOKUP($B$49,Y_4,15,0),"")</f>
        <v>93.08</v>
      </c>
      <c r="I164" s="241">
        <f>IF($F$4&lt;&gt;"",VLOOKUP($B$49,Y_5,15,0),"")</f>
        <v>92.78</v>
      </c>
      <c r="J164" s="241">
        <f>IF($F$4&lt;&gt;"",VLOOKUP($B$49,Y_6,15,0),"")</f>
        <v>90.81</v>
      </c>
      <c r="K164" s="241">
        <f>IF($F$4&lt;&gt;"",VLOOKUP($B$49,Y_7,15,0),"")</f>
        <v>93.69</v>
      </c>
      <c r="L164" s="241">
        <f>IF($F$4&lt;&gt;"",VLOOKUP($B$49,Y_8,15,0),"")</f>
        <v>95.6</v>
      </c>
      <c r="M164" s="242">
        <f>IF($F$4&lt;&gt;"",VLOOKUP($B$49,Y_9,15,0),"")</f>
        <v>100.43</v>
      </c>
      <c r="AB164"/>
      <c r="AC164"/>
      <c r="AF164" s="400"/>
      <c r="AG164" s="400"/>
      <c r="AH164" s="400"/>
      <c r="AI164" s="400"/>
      <c r="AJ164" s="400"/>
      <c r="AK164" s="400"/>
      <c r="AL164" s="400"/>
      <c r="AM164" s="400"/>
    </row>
    <row r="165" spans="1:56" ht="15.5" x14ac:dyDescent="0.35">
      <c r="B165" s="220" t="s">
        <v>776</v>
      </c>
      <c r="C165" s="193"/>
      <c r="D165" s="193"/>
      <c r="E165" s="58">
        <f>IF($F$4&lt;&gt;"",VLOOKUP($B$49,Y_1,16,0),"")</f>
        <v>85.34</v>
      </c>
      <c r="F165" s="58">
        <f>IF($F$4&lt;&gt;"",VLOOKUP($B$49,Y_2,16,0),"")</f>
        <v>86.91</v>
      </c>
      <c r="G165" s="243">
        <f>IF($F$4&lt;&gt;"",VLOOKUP($B$49,Y_3,16,0),"")</f>
        <v>87.12</v>
      </c>
      <c r="H165" s="243">
        <f>IF($F$4&lt;&gt;"",VLOOKUP($B$49,Y_4,16,0),"")</f>
        <v>87.59</v>
      </c>
      <c r="I165" s="243">
        <f>IF($F$4&lt;&gt;"",VLOOKUP($B$49,Y_5,16,0),"")</f>
        <v>86.8</v>
      </c>
      <c r="J165" s="243">
        <f>IF($F$4&lt;&gt;"",VLOOKUP($B$49,Y_6,16,0),"")</f>
        <v>86.22</v>
      </c>
      <c r="K165" s="243">
        <f>IF($F$4&lt;&gt;"",VLOOKUP($B$49,Y_7,16,0),"")</f>
        <v>85.46</v>
      </c>
      <c r="L165" s="243">
        <f>IF($F$4&lt;&gt;"",VLOOKUP($B$49,Y_8,16,0),"")</f>
        <v>86.71</v>
      </c>
      <c r="M165" s="244">
        <f>IF($F$4&lt;&gt;"",VLOOKUP($B$49,Y_9,16,0),"")</f>
        <v>90.29</v>
      </c>
      <c r="AB165"/>
      <c r="AC165"/>
      <c r="AF165" s="400"/>
      <c r="AG165" s="400"/>
      <c r="AH165" s="400"/>
      <c r="AI165" s="400"/>
      <c r="AJ165" s="400"/>
      <c r="AK165" s="400"/>
      <c r="AL165" s="400"/>
      <c r="AM165" s="400"/>
    </row>
    <row r="166" spans="1:56" x14ac:dyDescent="0.35">
      <c r="B166" s="220" t="s">
        <v>19</v>
      </c>
      <c r="C166" s="193"/>
      <c r="D166" s="193"/>
      <c r="E166" s="243">
        <f>IF($F$4&lt;&gt;"",VLOOKUP($B$49,Y_1,17,0),"")</f>
        <v>31.28</v>
      </c>
      <c r="F166" s="243">
        <f>IF($F$4&lt;&gt;"",VLOOKUP($B$49,Y_2,17,0),"")</f>
        <v>32.619999999999997</v>
      </c>
      <c r="G166" s="243">
        <f>IF($F$4&lt;&gt;"",VLOOKUP($B$49,Y_3,17,0),"")</f>
        <v>35.47</v>
      </c>
      <c r="H166" s="243">
        <f>IF($F$4&lt;&gt;"",VLOOKUP($B$49,Y_4,17,0),"")</f>
        <v>39.71</v>
      </c>
      <c r="I166" s="243">
        <f>IF($F$4&lt;&gt;"",VLOOKUP($B$49,Y_5,17,0),"")</f>
        <v>41.68</v>
      </c>
      <c r="J166" s="243">
        <f>IF($F$4&lt;&gt;"",VLOOKUP($B$49,Y_6,17,0),"")</f>
        <v>43.17</v>
      </c>
      <c r="K166" s="243">
        <f>IF($F$4&lt;&gt;"",VLOOKUP($B$49,Y_7,17,0),"")</f>
        <v>45.91</v>
      </c>
      <c r="L166" s="243">
        <f>IF($F$4&lt;&gt;"",VLOOKUP($B$49,Y_8,17,0),"")</f>
        <v>46</v>
      </c>
      <c r="M166" s="244">
        <f>IF($F$4&lt;&gt;"",VLOOKUP($B$49,Y_9,17,0),"")</f>
        <v>48.03</v>
      </c>
      <c r="AB166"/>
      <c r="AC166"/>
      <c r="AF166" s="400"/>
      <c r="AG166" s="400"/>
      <c r="AH166" s="400"/>
      <c r="AI166" s="400"/>
      <c r="AJ166" s="400"/>
      <c r="AK166" s="400"/>
      <c r="AL166" s="400"/>
      <c r="AM166" s="400"/>
    </row>
    <row r="167" spans="1:56" x14ac:dyDescent="0.35">
      <c r="B167" s="220" t="s">
        <v>20</v>
      </c>
      <c r="C167" s="193"/>
      <c r="D167" s="193"/>
      <c r="E167" s="243">
        <f>IF($F$4&lt;&gt;"",VLOOKUP($B$49,Y_1,18,0),"")</f>
        <v>115.98</v>
      </c>
      <c r="F167" s="243">
        <f>IF($F$4&lt;&gt;"",VLOOKUP($B$49,Y_2,18,0),"")</f>
        <v>118.78</v>
      </c>
      <c r="G167" s="243">
        <f>IF($F$4&lt;&gt;"",VLOOKUP($B$49,Y_3,18,0),"")</f>
        <v>124.36</v>
      </c>
      <c r="H167" s="243">
        <f>IF($F$4&lt;&gt;"",VLOOKUP($B$49,Y_4,18,0),"")</f>
        <v>129.31</v>
      </c>
      <c r="I167" s="243">
        <f>IF($F$4&lt;&gt;"",VLOOKUP($B$49,Y_5,18,0),"")</f>
        <v>131.68</v>
      </c>
      <c r="J167" s="243">
        <f>IF($F$4&lt;&gt;"",VLOOKUP($B$49,Y_6,18,0),"")</f>
        <v>131.75</v>
      </c>
      <c r="K167" s="243">
        <f>IF($F$4&lt;&gt;"",VLOOKUP($B$49,Y_7,18,0),"")</f>
        <v>137.56</v>
      </c>
      <c r="L167" s="243">
        <f>IF($F$4&lt;&gt;"",VLOOKUP($B$49,Y_8,18,0),"")</f>
        <v>139.35</v>
      </c>
      <c r="M167" s="244">
        <f>IF($F$4&lt;&gt;"",VLOOKUP($B$49,Y_9,18,0),"")</f>
        <v>146.16</v>
      </c>
      <c r="AB167"/>
      <c r="AC167"/>
      <c r="AF167" s="400"/>
      <c r="AG167" s="400"/>
      <c r="AH167" s="400"/>
      <c r="AI167" s="400"/>
      <c r="AJ167" s="400"/>
      <c r="AK167" s="400"/>
      <c r="AL167" s="400"/>
      <c r="AM167" s="400"/>
    </row>
    <row r="168" spans="1:56" x14ac:dyDescent="0.35">
      <c r="B168" s="221" t="s">
        <v>21</v>
      </c>
      <c r="C168" s="222"/>
      <c r="D168" s="222"/>
      <c r="E168" s="245">
        <f>IF($F$4&lt;&gt;"",VLOOKUP($B$49,Y_1,19,0),"")</f>
        <v>361210</v>
      </c>
      <c r="F168" s="245">
        <f>IF($F$4&lt;&gt;"",VLOOKUP($B$49,Y_2,19,0),"")</f>
        <v>361336</v>
      </c>
      <c r="G168" s="245">
        <f>IF($F$4&lt;&gt;"",VLOOKUP($B$49,Y_3,19,0),"")</f>
        <v>334858</v>
      </c>
      <c r="H168" s="245">
        <f>IF($F$4&lt;&gt;"",VLOOKUP($B$49,Y_4,19,0),"")</f>
        <v>339386</v>
      </c>
      <c r="I168" s="245">
        <f>IF($F$4&lt;&gt;"",VLOOKUP($B$49,Y_5,19,0),"")</f>
        <v>336779</v>
      </c>
      <c r="J168" s="245">
        <f>IF($F$4&lt;&gt;"",VLOOKUP($B$49,Y_6,19,0),"")</f>
        <v>334761</v>
      </c>
      <c r="K168" s="245">
        <f>IF($F$4&lt;&gt;"",VLOOKUP($B$49,Y_7,19,0),"")</f>
        <v>334866</v>
      </c>
      <c r="L168" s="245">
        <f>IF($F$4&lt;&gt;"",VLOOKUP($B$49,Y_8,19,0),"")</f>
        <v>333961</v>
      </c>
      <c r="M168" s="246">
        <f>IF($F$4&lt;&gt;"",VLOOKUP($B$49,Y_9,19,0),"")</f>
        <v>332898</v>
      </c>
      <c r="AB168"/>
      <c r="AC168"/>
      <c r="AF168" s="400"/>
      <c r="AG168" s="400"/>
      <c r="AH168" s="400"/>
      <c r="AI168" s="400"/>
      <c r="AJ168" s="400"/>
      <c r="AK168" s="400"/>
      <c r="AL168" s="400"/>
      <c r="AM168" s="400"/>
    </row>
    <row r="169" spans="1:56" x14ac:dyDescent="0.35">
      <c r="B169" s="59" t="s">
        <v>804</v>
      </c>
      <c r="C169" s="60"/>
      <c r="D169" s="60"/>
      <c r="E169" s="60"/>
      <c r="F169" s="32"/>
      <c r="G169" s="32"/>
      <c r="H169" s="32"/>
      <c r="I169" s="32"/>
      <c r="J169" s="32"/>
      <c r="M169" s="48"/>
      <c r="AB169"/>
      <c r="AC169"/>
      <c r="AF169" s="400"/>
      <c r="AG169" s="400"/>
      <c r="AH169" s="400"/>
      <c r="AI169" s="400"/>
      <c r="AJ169" s="400"/>
      <c r="AK169" s="400"/>
      <c r="AL169" s="400"/>
      <c r="AM169" s="400"/>
    </row>
    <row r="170" spans="1:56" x14ac:dyDescent="0.35">
      <c r="B170" s="46" t="s">
        <v>794</v>
      </c>
      <c r="C170" s="47"/>
      <c r="D170" s="47"/>
      <c r="E170" s="47"/>
      <c r="F170" s="47"/>
      <c r="M170" s="49"/>
      <c r="AB170"/>
      <c r="AC170"/>
      <c r="AF170" s="400"/>
      <c r="AG170" s="400"/>
      <c r="AH170" s="400"/>
      <c r="AI170" s="400"/>
      <c r="AJ170" s="400"/>
      <c r="AK170" s="400"/>
      <c r="AL170" s="400"/>
      <c r="AM170" s="400"/>
    </row>
    <row r="171" spans="1:56" x14ac:dyDescent="0.35">
      <c r="B171" s="46" t="s">
        <v>796</v>
      </c>
      <c r="C171" s="47"/>
      <c r="E171" s="317"/>
      <c r="M171" s="49"/>
      <c r="AB171"/>
      <c r="AC171"/>
      <c r="AF171" s="400"/>
      <c r="AG171" s="400"/>
      <c r="AH171" s="400"/>
      <c r="AI171" s="400"/>
      <c r="AJ171" s="400"/>
      <c r="AK171" s="400"/>
      <c r="AL171" s="400"/>
      <c r="AM171" s="400"/>
    </row>
    <row r="172" spans="1:56" x14ac:dyDescent="0.35">
      <c r="B172" s="422" t="s">
        <v>22</v>
      </c>
      <c r="C172" s="423"/>
      <c r="D172" s="423"/>
      <c r="E172" s="423"/>
      <c r="F172" s="423"/>
      <c r="G172" s="423"/>
      <c r="H172" s="423"/>
      <c r="I172" s="423"/>
      <c r="J172" s="423"/>
      <c r="K172" s="314"/>
      <c r="L172" s="314"/>
      <c r="M172" s="50"/>
      <c r="AB172"/>
      <c r="AC172"/>
      <c r="AF172" s="400"/>
      <c r="AG172" s="400"/>
      <c r="AH172" s="400"/>
      <c r="AI172" s="400"/>
      <c r="AJ172" s="400"/>
      <c r="AK172" s="400"/>
      <c r="AL172" s="400"/>
      <c r="AM172" s="400"/>
    </row>
    <row r="173" spans="1:56" x14ac:dyDescent="0.35">
      <c r="B173" s="424"/>
      <c r="C173" s="425"/>
      <c r="D173" s="425"/>
      <c r="E173" s="425"/>
      <c r="F173" s="425"/>
      <c r="G173" s="425"/>
      <c r="H173" s="425"/>
      <c r="I173" s="425"/>
      <c r="J173" s="425"/>
      <c r="K173" s="313"/>
      <c r="L173" s="313"/>
      <c r="M173" s="51"/>
      <c r="AB173"/>
      <c r="AC173"/>
      <c r="AF173" s="400"/>
      <c r="AG173" s="400"/>
      <c r="AH173" s="400"/>
      <c r="AI173" s="400"/>
      <c r="AJ173" s="400"/>
      <c r="AK173" s="400"/>
      <c r="AL173" s="400"/>
      <c r="AM173" s="400"/>
    </row>
    <row r="174" spans="1:56" x14ac:dyDescent="0.35">
      <c r="B174" s="314"/>
      <c r="C174" s="314"/>
      <c r="D174" s="314"/>
      <c r="E174" s="314"/>
      <c r="F174" s="314"/>
      <c r="G174" s="314"/>
      <c r="H174" s="314"/>
      <c r="I174" s="314"/>
      <c r="J174" s="314"/>
      <c r="K174" s="314"/>
      <c r="L174" s="314"/>
      <c r="M174" s="314"/>
      <c r="AB174"/>
      <c r="AC174"/>
      <c r="AF174" s="400"/>
      <c r="AG174" s="400"/>
      <c r="AH174" s="400"/>
      <c r="AI174" s="400"/>
      <c r="AJ174" s="400"/>
      <c r="AK174" s="400"/>
      <c r="AL174" s="400"/>
      <c r="AM174" s="400"/>
    </row>
    <row r="175" spans="1:56" s="316" customFormat="1" x14ac:dyDescent="0.35">
      <c r="A175" s="407">
        <v>5</v>
      </c>
      <c r="B175" s="368"/>
      <c r="C175" s="368"/>
      <c r="D175" s="368"/>
      <c r="E175" s="368"/>
      <c r="F175" s="368"/>
      <c r="G175" s="368"/>
      <c r="H175" s="368"/>
      <c r="I175" s="368"/>
      <c r="J175" s="368"/>
      <c r="K175" s="368"/>
      <c r="L175" s="368"/>
      <c r="M175" s="368"/>
      <c r="N175" s="366"/>
      <c r="AB175"/>
      <c r="AC175"/>
      <c r="AD175" s="158"/>
      <c r="AE175" s="158"/>
      <c r="AF175" s="400"/>
      <c r="AG175" s="400"/>
      <c r="AH175" s="400"/>
      <c r="AI175" s="400"/>
      <c r="AJ175" s="400"/>
      <c r="AK175" s="400"/>
      <c r="AL175" s="400"/>
      <c r="AM175" s="400"/>
      <c r="AN175"/>
      <c r="AO175"/>
      <c r="AP175"/>
      <c r="AQ175"/>
      <c r="AR175"/>
      <c r="AS175"/>
      <c r="AT175"/>
      <c r="AU175"/>
      <c r="AV175"/>
      <c r="AW175"/>
      <c r="AX175"/>
      <c r="AY175"/>
      <c r="AZ175"/>
      <c r="BA175"/>
      <c r="BB175"/>
      <c r="BC175"/>
      <c r="BD175"/>
    </row>
    <row r="176" spans="1:56" s="316" customFormat="1" x14ac:dyDescent="0.35">
      <c r="A176" s="408"/>
      <c r="B176" s="368"/>
      <c r="C176" s="368"/>
      <c r="D176" s="368"/>
      <c r="E176" s="368"/>
      <c r="F176" s="368"/>
      <c r="G176" s="368"/>
      <c r="H176" s="368"/>
      <c r="I176" s="368"/>
      <c r="J176" s="368"/>
      <c r="K176" s="368"/>
      <c r="L176" s="368"/>
      <c r="M176" s="368"/>
      <c r="N176" s="366"/>
      <c r="AB176"/>
      <c r="AC176"/>
      <c r="AD176" s="158"/>
      <c r="AE176" s="158"/>
      <c r="AF176" s="400"/>
      <c r="AG176" s="400"/>
      <c r="AH176" s="400"/>
      <c r="AI176" s="400"/>
      <c r="AJ176" s="400"/>
      <c r="AK176" s="400"/>
      <c r="AL176" s="400"/>
      <c r="AM176" s="400"/>
      <c r="AN176"/>
      <c r="AO176"/>
      <c r="AP176"/>
      <c r="AQ176"/>
      <c r="AR176"/>
      <c r="AS176"/>
      <c r="AT176"/>
      <c r="AU176"/>
      <c r="AV176"/>
      <c r="AW176"/>
      <c r="AX176"/>
      <c r="AY176"/>
      <c r="AZ176"/>
      <c r="BA176"/>
      <c r="BB176"/>
      <c r="BC176"/>
      <c r="BD176"/>
    </row>
    <row r="177" spans="2:56" s="316" customFormat="1" x14ac:dyDescent="0.35">
      <c r="B177" s="368"/>
      <c r="C177" s="368"/>
      <c r="D177" s="368"/>
      <c r="E177" s="368"/>
      <c r="F177" s="368"/>
      <c r="G177" s="368"/>
      <c r="H177" s="368"/>
      <c r="I177" s="368"/>
      <c r="J177" s="368"/>
      <c r="K177" s="368"/>
      <c r="L177" s="368"/>
      <c r="M177" s="368"/>
      <c r="N177" s="366"/>
      <c r="AB177"/>
      <c r="AC177"/>
      <c r="AD177" s="158"/>
      <c r="AE177" s="158"/>
      <c r="AF177" s="400"/>
      <c r="AG177" s="400"/>
      <c r="AH177" s="400"/>
      <c r="AI177" s="400"/>
      <c r="AJ177" s="400"/>
      <c r="AK177" s="400"/>
      <c r="AL177" s="400"/>
      <c r="AM177" s="400"/>
      <c r="AN177"/>
      <c r="AO177"/>
      <c r="AP177"/>
      <c r="AQ177"/>
      <c r="AR177"/>
      <c r="AS177"/>
      <c r="AT177"/>
      <c r="AU177"/>
      <c r="AV177"/>
      <c r="AW177"/>
      <c r="AX177"/>
      <c r="AY177"/>
      <c r="AZ177"/>
      <c r="BA177"/>
      <c r="BB177"/>
      <c r="BC177"/>
      <c r="BD177"/>
    </row>
    <row r="178" spans="2:56" s="316" customFormat="1" x14ac:dyDescent="0.35">
      <c r="B178" s="368"/>
      <c r="C178" s="368"/>
      <c r="D178" s="368"/>
      <c r="E178" s="368"/>
      <c r="F178" s="368"/>
      <c r="G178" s="368"/>
      <c r="H178" s="368"/>
      <c r="I178" s="368"/>
      <c r="J178" s="368"/>
      <c r="K178" s="368"/>
      <c r="L178" s="368"/>
      <c r="M178" s="368"/>
      <c r="N178" s="366"/>
      <c r="AB178"/>
      <c r="AC178"/>
      <c r="AD178" s="158"/>
      <c r="AE178" s="158"/>
      <c r="AF178" s="400"/>
      <c r="AG178" s="400"/>
      <c r="AH178" s="400"/>
      <c r="AI178" s="400"/>
      <c r="AJ178" s="400"/>
      <c r="AK178" s="400"/>
      <c r="AL178" s="400"/>
      <c r="AM178" s="400"/>
      <c r="AN178"/>
      <c r="AO178"/>
      <c r="AP178"/>
      <c r="AQ178"/>
      <c r="AR178"/>
      <c r="AS178"/>
      <c r="AT178"/>
      <c r="AU178"/>
      <c r="AV178"/>
      <c r="AW178"/>
      <c r="AX178"/>
      <c r="AY178"/>
      <c r="AZ178"/>
      <c r="BA178"/>
      <c r="BB178"/>
      <c r="BC178"/>
      <c r="BD178"/>
    </row>
    <row r="179" spans="2:56" s="316" customFormat="1" x14ac:dyDescent="0.35">
      <c r="B179" s="368"/>
      <c r="C179" s="368"/>
      <c r="D179" s="368"/>
      <c r="E179" s="368"/>
      <c r="F179" s="368"/>
      <c r="G179" s="368"/>
      <c r="H179" s="368"/>
      <c r="I179" s="368"/>
      <c r="J179" s="368"/>
      <c r="K179" s="368"/>
      <c r="L179" s="368"/>
      <c r="M179" s="368"/>
      <c r="N179" s="366"/>
      <c r="AB179"/>
      <c r="AC179"/>
      <c r="AD179" s="158"/>
      <c r="AE179" s="158"/>
      <c r="AF179" s="400"/>
      <c r="AG179" s="400"/>
      <c r="AH179" s="400"/>
      <c r="AI179" s="400"/>
      <c r="AJ179" s="400"/>
      <c r="AK179" s="400"/>
      <c r="AL179" s="400"/>
      <c r="AM179" s="400"/>
      <c r="AN179"/>
      <c r="AO179"/>
      <c r="AP179"/>
      <c r="AQ179"/>
      <c r="AR179"/>
      <c r="AS179"/>
      <c r="AT179"/>
      <c r="AU179"/>
      <c r="AV179"/>
      <c r="AW179"/>
      <c r="AX179"/>
      <c r="AY179"/>
      <c r="AZ179"/>
      <c r="BA179"/>
      <c r="BB179"/>
      <c r="BC179"/>
      <c r="BD179"/>
    </row>
    <row r="180" spans="2:56" s="316" customFormat="1" x14ac:dyDescent="0.35">
      <c r="B180" s="368"/>
      <c r="C180" s="368"/>
      <c r="D180" s="368"/>
      <c r="E180" s="368"/>
      <c r="F180" s="368"/>
      <c r="G180" s="368"/>
      <c r="H180" s="368"/>
      <c r="I180" s="368"/>
      <c r="J180" s="368"/>
      <c r="K180" s="368"/>
      <c r="L180" s="368"/>
      <c r="M180" s="368"/>
      <c r="N180" s="366"/>
      <c r="AB180"/>
      <c r="AC180"/>
      <c r="AD180" s="158"/>
      <c r="AE180" s="158"/>
      <c r="AF180" s="400"/>
      <c r="AG180" s="400"/>
      <c r="AH180" s="400"/>
      <c r="AI180" s="400"/>
      <c r="AJ180" s="400"/>
      <c r="AK180" s="400"/>
      <c r="AL180" s="400"/>
      <c r="AM180" s="400"/>
      <c r="AN180"/>
      <c r="AO180"/>
      <c r="AP180"/>
      <c r="AQ180"/>
      <c r="AR180"/>
      <c r="AS180"/>
      <c r="AT180"/>
      <c r="AU180"/>
      <c r="AV180"/>
      <c r="AW180"/>
      <c r="AX180"/>
      <c r="AY180"/>
      <c r="AZ180"/>
      <c r="BA180"/>
      <c r="BB180"/>
      <c r="BC180"/>
      <c r="BD180"/>
    </row>
    <row r="181" spans="2:56" s="316" customFormat="1" x14ac:dyDescent="0.35">
      <c r="B181" s="368"/>
      <c r="C181" s="368"/>
      <c r="D181" s="368"/>
      <c r="E181" s="368"/>
      <c r="F181" s="368"/>
      <c r="G181" s="368"/>
      <c r="H181" s="368"/>
      <c r="I181" s="368"/>
      <c r="J181" s="368"/>
      <c r="K181" s="368"/>
      <c r="L181" s="368"/>
      <c r="M181" s="368"/>
      <c r="N181" s="366"/>
      <c r="AB181"/>
      <c r="AC181"/>
      <c r="AD181" s="158"/>
      <c r="AE181" s="158"/>
      <c r="AF181" s="400"/>
      <c r="AG181" s="400"/>
      <c r="AH181" s="400"/>
      <c r="AI181" s="400"/>
      <c r="AJ181" s="400"/>
      <c r="AK181" s="400"/>
      <c r="AL181" s="400"/>
      <c r="AM181" s="400"/>
      <c r="AN181"/>
      <c r="AO181"/>
      <c r="AP181"/>
      <c r="AQ181"/>
      <c r="AR181"/>
      <c r="AS181"/>
      <c r="AT181"/>
      <c r="AU181"/>
      <c r="AV181"/>
      <c r="AW181"/>
      <c r="AX181"/>
      <c r="AY181"/>
      <c r="AZ181"/>
      <c r="BA181"/>
      <c r="BB181"/>
      <c r="BC181"/>
      <c r="BD181"/>
    </row>
    <row r="182" spans="2:56" s="316" customFormat="1" x14ac:dyDescent="0.35">
      <c r="B182" s="368"/>
      <c r="C182" s="368"/>
      <c r="D182" s="368"/>
      <c r="E182" s="368"/>
      <c r="F182" s="368"/>
      <c r="G182" s="368"/>
      <c r="H182" s="368"/>
      <c r="I182" s="368"/>
      <c r="J182" s="368"/>
      <c r="K182" s="368"/>
      <c r="L182" s="368"/>
      <c r="M182" s="368"/>
      <c r="N182" s="366"/>
      <c r="AB182"/>
      <c r="AC182"/>
      <c r="AD182" s="158"/>
      <c r="AE182" s="158"/>
      <c r="AF182" s="400"/>
      <c r="AG182" s="400"/>
      <c r="AH182" s="400"/>
      <c r="AI182" s="400"/>
      <c r="AJ182" s="400"/>
      <c r="AK182" s="400"/>
      <c r="AL182" s="400"/>
      <c r="AM182" s="400"/>
      <c r="AN182"/>
      <c r="AO182"/>
      <c r="AP182"/>
      <c r="AQ182"/>
      <c r="AR182"/>
      <c r="AS182"/>
      <c r="AT182"/>
      <c r="AU182"/>
      <c r="AV182"/>
      <c r="AW182"/>
      <c r="AX182"/>
      <c r="AY182"/>
      <c r="AZ182"/>
      <c r="BA182"/>
      <c r="BB182"/>
      <c r="BC182"/>
      <c r="BD182"/>
    </row>
    <row r="183" spans="2:56" s="316" customFormat="1" x14ac:dyDescent="0.35">
      <c r="B183" s="368"/>
      <c r="C183" s="368"/>
      <c r="D183" s="368"/>
      <c r="E183" s="368"/>
      <c r="F183" s="368"/>
      <c r="G183" s="368"/>
      <c r="H183" s="368"/>
      <c r="I183" s="368"/>
      <c r="J183" s="368"/>
      <c r="K183" s="368"/>
      <c r="L183" s="368"/>
      <c r="M183" s="368"/>
      <c r="N183" s="366"/>
      <c r="AB183"/>
      <c r="AC183"/>
      <c r="AD183" s="158"/>
      <c r="AE183" s="158"/>
      <c r="AF183" s="400"/>
      <c r="AG183" s="400"/>
      <c r="AH183" s="400"/>
      <c r="AI183" s="400"/>
      <c r="AJ183" s="400"/>
      <c r="AK183" s="400"/>
      <c r="AL183" s="400"/>
      <c r="AM183" s="400"/>
      <c r="AN183"/>
      <c r="AO183"/>
      <c r="AP183"/>
      <c r="AQ183"/>
      <c r="AR183"/>
      <c r="AS183"/>
      <c r="AT183"/>
      <c r="AU183"/>
      <c r="AV183"/>
      <c r="AW183"/>
      <c r="AX183"/>
      <c r="AY183"/>
      <c r="AZ183"/>
      <c r="BA183"/>
      <c r="BB183"/>
      <c r="BC183"/>
      <c r="BD183"/>
    </row>
    <row r="184" spans="2:56" s="316" customFormat="1" x14ac:dyDescent="0.35">
      <c r="B184" s="368"/>
      <c r="C184" s="368"/>
      <c r="D184" s="368"/>
      <c r="E184" s="368"/>
      <c r="F184" s="368"/>
      <c r="G184" s="368"/>
      <c r="H184" s="368"/>
      <c r="I184" s="368"/>
      <c r="J184" s="368"/>
      <c r="K184" s="368"/>
      <c r="L184" s="368"/>
      <c r="M184" s="368"/>
      <c r="N184" s="366"/>
      <c r="AB184"/>
      <c r="AC184"/>
      <c r="AD184" s="158"/>
      <c r="AE184" s="158"/>
      <c r="AF184" s="400"/>
      <c r="AG184" s="400"/>
      <c r="AH184" s="400"/>
      <c r="AI184" s="400"/>
      <c r="AJ184" s="400"/>
      <c r="AK184" s="400"/>
      <c r="AL184" s="400"/>
      <c r="AM184" s="400"/>
      <c r="AN184"/>
      <c r="AO184"/>
      <c r="AP184"/>
      <c r="AQ184"/>
      <c r="AR184"/>
      <c r="AS184"/>
      <c r="AT184"/>
      <c r="AU184"/>
      <c r="AV184"/>
      <c r="AW184"/>
      <c r="AX184"/>
      <c r="AY184"/>
      <c r="AZ184"/>
      <c r="BA184"/>
      <c r="BB184"/>
      <c r="BC184"/>
      <c r="BD184"/>
    </row>
    <row r="185" spans="2:56" s="316" customFormat="1" x14ac:dyDescent="0.35">
      <c r="B185" s="368"/>
      <c r="C185" s="368"/>
      <c r="D185" s="368"/>
      <c r="E185" s="368"/>
      <c r="F185" s="368"/>
      <c r="G185" s="368"/>
      <c r="H185" s="368"/>
      <c r="I185" s="368"/>
      <c r="J185" s="368"/>
      <c r="K185" s="368"/>
      <c r="L185" s="368"/>
      <c r="M185" s="368"/>
      <c r="N185" s="366"/>
      <c r="AB185"/>
      <c r="AC185"/>
      <c r="AD185" s="158"/>
      <c r="AE185" s="158"/>
      <c r="AF185" s="400"/>
      <c r="AG185" s="400"/>
      <c r="AH185" s="400"/>
      <c r="AI185" s="400"/>
      <c r="AJ185" s="400"/>
      <c r="AK185" s="400"/>
      <c r="AL185" s="400"/>
      <c r="AM185" s="400"/>
      <c r="AN185"/>
      <c r="AO185"/>
      <c r="AP185"/>
      <c r="AQ185"/>
      <c r="AR185"/>
      <c r="AS185"/>
      <c r="AT185"/>
      <c r="AU185"/>
      <c r="AV185"/>
      <c r="AW185"/>
      <c r="AX185"/>
      <c r="AY185"/>
      <c r="AZ185"/>
      <c r="BA185"/>
      <c r="BB185"/>
      <c r="BC185"/>
      <c r="BD185"/>
    </row>
    <row r="186" spans="2:56" s="316" customFormat="1" x14ac:dyDescent="0.35">
      <c r="B186" s="368"/>
      <c r="C186" s="368"/>
      <c r="D186" s="368"/>
      <c r="E186" s="368"/>
      <c r="F186" s="368"/>
      <c r="G186" s="368"/>
      <c r="H186" s="368"/>
      <c r="I186" s="368"/>
      <c r="J186" s="368"/>
      <c r="K186" s="368"/>
      <c r="L186" s="368"/>
      <c r="M186" s="368"/>
      <c r="N186" s="366"/>
      <c r="AB186"/>
      <c r="AC186"/>
      <c r="AD186" s="158"/>
      <c r="AE186" s="158"/>
      <c r="AF186" s="400"/>
      <c r="AG186" s="400"/>
      <c r="AH186" s="400"/>
      <c r="AI186" s="400"/>
      <c r="AJ186" s="400"/>
      <c r="AK186" s="400"/>
      <c r="AL186" s="400"/>
      <c r="AM186" s="400"/>
      <c r="AN186"/>
      <c r="AO186"/>
      <c r="AP186"/>
      <c r="AQ186"/>
      <c r="AR186"/>
      <c r="AS186"/>
      <c r="AT186"/>
      <c r="AU186"/>
      <c r="AV186"/>
      <c r="AW186"/>
      <c r="AX186"/>
      <c r="AY186"/>
      <c r="AZ186"/>
      <c r="BA186"/>
      <c r="BB186"/>
      <c r="BC186"/>
      <c r="BD186"/>
    </row>
    <row r="187" spans="2:56" s="316" customFormat="1" x14ac:dyDescent="0.35">
      <c r="B187" s="368"/>
      <c r="C187" s="368"/>
      <c r="D187" s="368"/>
      <c r="E187" s="368"/>
      <c r="F187" s="368"/>
      <c r="G187" s="368"/>
      <c r="H187" s="368"/>
      <c r="I187" s="368"/>
      <c r="J187" s="368"/>
      <c r="K187" s="368"/>
      <c r="L187" s="368"/>
      <c r="M187" s="368"/>
      <c r="N187" s="366"/>
      <c r="AB187"/>
      <c r="AC187"/>
      <c r="AD187" s="158"/>
      <c r="AE187" s="158"/>
      <c r="AF187" s="400"/>
      <c r="AG187" s="400"/>
      <c r="AH187" s="400"/>
      <c r="AI187" s="400"/>
      <c r="AJ187" s="400"/>
      <c r="AK187" s="400"/>
      <c r="AL187" s="400"/>
      <c r="AM187" s="400"/>
      <c r="AN187"/>
      <c r="AO187"/>
      <c r="AP187"/>
      <c r="AQ187"/>
      <c r="AR187"/>
      <c r="AS187"/>
      <c r="AT187"/>
      <c r="AU187"/>
      <c r="AV187"/>
      <c r="AW187"/>
      <c r="AX187"/>
      <c r="AY187"/>
      <c r="AZ187"/>
      <c r="BA187"/>
      <c r="BB187"/>
      <c r="BC187"/>
      <c r="BD187"/>
    </row>
    <row r="188" spans="2:56" s="316" customFormat="1" x14ac:dyDescent="0.35">
      <c r="B188" s="368"/>
      <c r="C188" s="368"/>
      <c r="D188" s="368"/>
      <c r="E188" s="368"/>
      <c r="F188" s="368"/>
      <c r="G188" s="368"/>
      <c r="H188" s="368"/>
      <c r="I188" s="368"/>
      <c r="J188" s="368"/>
      <c r="K188" s="368"/>
      <c r="L188" s="368"/>
      <c r="M188" s="368"/>
      <c r="N188" s="366"/>
      <c r="AB188"/>
      <c r="AC188"/>
      <c r="AD188" s="158"/>
      <c r="AE188" s="158"/>
      <c r="AF188" s="400"/>
      <c r="AG188" s="400"/>
      <c r="AH188" s="400"/>
      <c r="AI188" s="400"/>
      <c r="AJ188" s="400"/>
      <c r="AK188" s="400"/>
      <c r="AL188" s="400"/>
      <c r="AM188" s="400"/>
      <c r="AN188"/>
      <c r="AO188"/>
      <c r="AP188"/>
      <c r="AQ188"/>
      <c r="AR188"/>
      <c r="AS188"/>
      <c r="AT188"/>
      <c r="AU188"/>
      <c r="AV188"/>
      <c r="AW188"/>
      <c r="AX188"/>
      <c r="AY188"/>
      <c r="AZ188"/>
      <c r="BA188"/>
      <c r="BB188"/>
      <c r="BC188"/>
      <c r="BD188"/>
    </row>
    <row r="189" spans="2:56" s="316" customFormat="1" x14ac:dyDescent="0.35">
      <c r="B189" s="368"/>
      <c r="C189" s="368"/>
      <c r="D189" s="368"/>
      <c r="E189" s="368"/>
      <c r="F189" s="368"/>
      <c r="G189" s="368"/>
      <c r="H189" s="368"/>
      <c r="I189" s="368"/>
      <c r="J189" s="368"/>
      <c r="K189" s="368"/>
      <c r="L189" s="368"/>
      <c r="M189" s="368"/>
      <c r="N189" s="366"/>
      <c r="AB189"/>
      <c r="AC189"/>
      <c r="AD189" s="158"/>
      <c r="AE189" s="158"/>
      <c r="AF189" s="400"/>
      <c r="AG189" s="400"/>
      <c r="AH189" s="400"/>
      <c r="AI189" s="400"/>
      <c r="AJ189" s="400"/>
      <c r="AK189" s="400"/>
      <c r="AL189" s="400"/>
      <c r="AM189" s="400"/>
      <c r="AN189"/>
      <c r="AO189"/>
      <c r="AP189"/>
      <c r="AQ189"/>
      <c r="AR189"/>
      <c r="AS189"/>
      <c r="AT189"/>
      <c r="AU189"/>
      <c r="AV189"/>
      <c r="AW189"/>
      <c r="AX189"/>
      <c r="AY189"/>
      <c r="AZ189"/>
      <c r="BA189"/>
      <c r="BB189"/>
      <c r="BC189"/>
      <c r="BD189"/>
    </row>
    <row r="190" spans="2:56" s="316" customFormat="1" x14ac:dyDescent="0.35">
      <c r="B190" s="368"/>
      <c r="C190" s="368"/>
      <c r="D190" s="368"/>
      <c r="E190" s="368"/>
      <c r="F190" s="368"/>
      <c r="G190" s="368"/>
      <c r="H190" s="368"/>
      <c r="I190" s="368"/>
      <c r="J190" s="368"/>
      <c r="K190" s="368"/>
      <c r="L190" s="368"/>
      <c r="M190" s="368"/>
      <c r="N190" s="366"/>
      <c r="AB190"/>
      <c r="AC190"/>
      <c r="AD190" s="158"/>
      <c r="AE190" s="158"/>
      <c r="AF190" s="400"/>
      <c r="AG190" s="400"/>
      <c r="AH190" s="400"/>
      <c r="AI190" s="400"/>
      <c r="AJ190" s="400"/>
      <c r="AK190" s="400"/>
      <c r="AL190" s="400"/>
      <c r="AM190" s="400"/>
      <c r="AN190"/>
      <c r="AO190"/>
      <c r="AP190"/>
      <c r="AQ190"/>
      <c r="AR190"/>
      <c r="AS190"/>
      <c r="AT190"/>
      <c r="AU190"/>
      <c r="AV190"/>
      <c r="AW190"/>
      <c r="AX190"/>
      <c r="AY190"/>
      <c r="AZ190"/>
      <c r="BA190"/>
      <c r="BB190"/>
      <c r="BC190"/>
      <c r="BD190"/>
    </row>
    <row r="191" spans="2:56" s="316" customFormat="1" x14ac:dyDescent="0.35">
      <c r="B191" s="368"/>
      <c r="C191" s="368"/>
      <c r="D191" s="368"/>
      <c r="E191" s="368"/>
      <c r="F191" s="368"/>
      <c r="G191" s="368"/>
      <c r="H191" s="368"/>
      <c r="I191" s="368"/>
      <c r="J191" s="368"/>
      <c r="K191" s="368"/>
      <c r="L191" s="368"/>
      <c r="M191" s="368"/>
      <c r="N191" s="366"/>
      <c r="AB191"/>
      <c r="AC191"/>
      <c r="AD191" s="158"/>
      <c r="AE191" s="158"/>
      <c r="AF191" s="400"/>
      <c r="AG191" s="400"/>
      <c r="AH191" s="400"/>
      <c r="AI191" s="400"/>
      <c r="AJ191" s="400"/>
      <c r="AK191" s="400"/>
      <c r="AL191" s="400"/>
      <c r="AM191" s="400"/>
      <c r="AN191"/>
      <c r="AO191"/>
      <c r="AP191"/>
      <c r="AQ191"/>
      <c r="AR191"/>
      <c r="AS191"/>
      <c r="AT191"/>
      <c r="AU191"/>
      <c r="AV191"/>
      <c r="AW191"/>
      <c r="AX191"/>
      <c r="AY191"/>
      <c r="AZ191"/>
      <c r="BA191"/>
      <c r="BB191"/>
      <c r="BC191"/>
      <c r="BD191"/>
    </row>
    <row r="192" spans="2:56" s="316" customFormat="1" x14ac:dyDescent="0.35">
      <c r="B192" s="368"/>
      <c r="C192" s="368"/>
      <c r="D192" s="368"/>
      <c r="E192" s="368"/>
      <c r="F192" s="368"/>
      <c r="G192" s="368"/>
      <c r="H192" s="368"/>
      <c r="I192" s="368"/>
      <c r="J192" s="368"/>
      <c r="K192" s="368"/>
      <c r="L192" s="368"/>
      <c r="M192" s="368"/>
      <c r="N192" s="366"/>
      <c r="AB192"/>
      <c r="AC192"/>
      <c r="AD192" s="158"/>
      <c r="AE192" s="158"/>
      <c r="AF192" s="400"/>
      <c r="AG192" s="400"/>
      <c r="AH192" s="400"/>
      <c r="AI192" s="400"/>
      <c r="AJ192" s="400"/>
      <c r="AK192" s="400"/>
      <c r="AL192" s="400"/>
      <c r="AM192" s="400"/>
      <c r="AN192"/>
      <c r="AO192"/>
      <c r="AP192"/>
      <c r="AQ192"/>
      <c r="AR192"/>
      <c r="AS192"/>
      <c r="AT192"/>
      <c r="AU192"/>
      <c r="AV192"/>
      <c r="AW192"/>
      <c r="AX192"/>
      <c r="AY192"/>
      <c r="AZ192"/>
      <c r="BA192"/>
      <c r="BB192"/>
      <c r="BC192"/>
      <c r="BD192"/>
    </row>
    <row r="193" spans="1:56" s="316" customFormat="1" x14ac:dyDescent="0.35">
      <c r="B193" s="368"/>
      <c r="C193" s="368"/>
      <c r="D193" s="368"/>
      <c r="E193" s="368"/>
      <c r="F193" s="368"/>
      <c r="G193" s="368"/>
      <c r="H193" s="368"/>
      <c r="I193" s="368"/>
      <c r="J193" s="368"/>
      <c r="K193" s="368"/>
      <c r="L193" s="368"/>
      <c r="M193" s="368"/>
      <c r="N193" s="366"/>
      <c r="AB193"/>
      <c r="AC193"/>
      <c r="AD193" s="158"/>
      <c r="AE193" s="158"/>
      <c r="AF193" s="400"/>
      <c r="AG193" s="400"/>
      <c r="AH193" s="400"/>
      <c r="AI193" s="400"/>
      <c r="AJ193" s="400"/>
      <c r="AK193" s="400"/>
      <c r="AL193" s="400"/>
      <c r="AM193" s="400"/>
      <c r="AN193"/>
      <c r="AO193"/>
      <c r="AP193"/>
      <c r="AQ193"/>
      <c r="AR193"/>
      <c r="AS193"/>
      <c r="AT193"/>
      <c r="AU193"/>
      <c r="AV193"/>
      <c r="AW193"/>
      <c r="AX193"/>
      <c r="AY193"/>
      <c r="AZ193"/>
      <c r="BA193"/>
      <c r="BB193"/>
      <c r="BC193"/>
      <c r="BD193"/>
    </row>
    <row r="194" spans="1:56" s="316" customFormat="1" x14ac:dyDescent="0.35">
      <c r="B194" s="368"/>
      <c r="C194" s="368"/>
      <c r="D194" s="368"/>
      <c r="E194" s="368"/>
      <c r="F194" s="368"/>
      <c r="G194" s="368"/>
      <c r="H194" s="368"/>
      <c r="I194" s="368"/>
      <c r="J194" s="368"/>
      <c r="K194" s="368"/>
      <c r="L194" s="368"/>
      <c r="M194" s="368"/>
      <c r="N194" s="366"/>
      <c r="AB194"/>
      <c r="AC194"/>
      <c r="AD194" s="158"/>
      <c r="AE194" s="158"/>
      <c r="AF194" s="400"/>
      <c r="AG194" s="400"/>
      <c r="AH194" s="400"/>
      <c r="AI194" s="400"/>
      <c r="AJ194" s="400"/>
      <c r="AK194" s="400"/>
      <c r="AL194" s="400"/>
      <c r="AM194" s="400"/>
      <c r="AN194"/>
      <c r="AO194"/>
      <c r="AP194"/>
      <c r="AQ194"/>
      <c r="AR194"/>
      <c r="AS194"/>
      <c r="AT194"/>
      <c r="AU194"/>
      <c r="AV194"/>
      <c r="AW194"/>
      <c r="AX194"/>
      <c r="AY194"/>
      <c r="AZ194"/>
      <c r="BA194"/>
      <c r="BB194"/>
      <c r="BC194"/>
      <c r="BD194"/>
    </row>
    <row r="195" spans="1:56" s="316" customFormat="1" x14ac:dyDescent="0.35">
      <c r="B195" s="368"/>
      <c r="C195" s="368"/>
      <c r="D195" s="368"/>
      <c r="E195" s="368"/>
      <c r="F195" s="368"/>
      <c r="G195" s="368"/>
      <c r="H195" s="368"/>
      <c r="I195" s="368"/>
      <c r="J195" s="368"/>
      <c r="K195" s="368"/>
      <c r="L195" s="368"/>
      <c r="M195" s="368"/>
      <c r="N195" s="366"/>
      <c r="AB195"/>
      <c r="AC195"/>
      <c r="AD195" s="158"/>
      <c r="AE195" s="158"/>
      <c r="AF195" s="400"/>
      <c r="AG195" s="400"/>
      <c r="AH195" s="400"/>
      <c r="AI195" s="400"/>
      <c r="AJ195" s="400"/>
      <c r="AK195" s="400"/>
      <c r="AL195" s="400"/>
      <c r="AM195" s="400"/>
      <c r="AN195"/>
      <c r="AO195"/>
      <c r="AP195"/>
      <c r="AQ195"/>
      <c r="AR195"/>
      <c r="AS195"/>
      <c r="AT195"/>
      <c r="AU195"/>
      <c r="AV195"/>
      <c r="AW195"/>
      <c r="AX195"/>
      <c r="AY195"/>
      <c r="AZ195"/>
      <c r="BA195"/>
      <c r="BB195"/>
      <c r="BC195"/>
      <c r="BD195"/>
    </row>
    <row r="196" spans="1:56" s="316" customFormat="1" x14ac:dyDescent="0.35">
      <c r="B196" s="368"/>
      <c r="C196" s="368"/>
      <c r="D196" s="368"/>
      <c r="E196" s="368"/>
      <c r="F196" s="368"/>
      <c r="G196" s="368"/>
      <c r="H196" s="368"/>
      <c r="I196" s="368"/>
      <c r="J196" s="368"/>
      <c r="K196" s="368"/>
      <c r="L196" s="368"/>
      <c r="M196" s="368"/>
      <c r="N196" s="366"/>
      <c r="AB196"/>
      <c r="AC196"/>
      <c r="AD196" s="158"/>
      <c r="AE196" s="158"/>
      <c r="AF196" s="400"/>
      <c r="AG196" s="400"/>
      <c r="AH196" s="400"/>
      <c r="AI196" s="400"/>
      <c r="AJ196" s="400"/>
      <c r="AK196" s="400"/>
      <c r="AL196" s="400"/>
      <c r="AM196" s="400"/>
      <c r="AN196"/>
      <c r="AO196"/>
      <c r="AP196"/>
      <c r="AQ196"/>
      <c r="AR196"/>
      <c r="AS196"/>
      <c r="AT196"/>
      <c r="AU196"/>
      <c r="AV196"/>
      <c r="AW196"/>
      <c r="AX196"/>
      <c r="AY196"/>
      <c r="AZ196"/>
      <c r="BA196"/>
      <c r="BB196"/>
      <c r="BC196"/>
      <c r="BD196"/>
    </row>
    <row r="197" spans="1:56" s="316" customFormat="1" x14ac:dyDescent="0.35">
      <c r="B197" s="368"/>
      <c r="C197" s="368"/>
      <c r="D197" s="368"/>
      <c r="E197" s="368"/>
      <c r="F197" s="368"/>
      <c r="G197" s="368"/>
      <c r="H197" s="368"/>
      <c r="I197" s="368"/>
      <c r="J197" s="368"/>
      <c r="K197" s="368"/>
      <c r="L197" s="368"/>
      <c r="M197" s="368"/>
      <c r="N197" s="366"/>
      <c r="AB197"/>
      <c r="AC197"/>
      <c r="AD197" s="158"/>
      <c r="AE197" s="158"/>
      <c r="AF197" s="400"/>
      <c r="AG197" s="400"/>
      <c r="AH197" s="400"/>
      <c r="AI197" s="400"/>
      <c r="AJ197" s="400"/>
      <c r="AK197" s="400"/>
      <c r="AL197" s="400"/>
      <c r="AM197" s="400"/>
      <c r="AN197"/>
      <c r="AO197"/>
      <c r="AP197"/>
      <c r="AQ197"/>
      <c r="AR197"/>
      <c r="AS197"/>
      <c r="AT197"/>
      <c r="AU197"/>
      <c r="AV197"/>
      <c r="AW197"/>
      <c r="AX197"/>
      <c r="AY197"/>
      <c r="AZ197"/>
      <c r="BA197"/>
      <c r="BB197"/>
      <c r="BC197"/>
      <c r="BD197"/>
    </row>
    <row r="198" spans="1:56" s="316" customFormat="1" x14ac:dyDescent="0.35">
      <c r="B198" s="368"/>
      <c r="C198" s="368"/>
      <c r="D198" s="368"/>
      <c r="E198" s="368"/>
      <c r="F198" s="368"/>
      <c r="G198" s="368"/>
      <c r="H198" s="368"/>
      <c r="I198" s="368"/>
      <c r="J198" s="368"/>
      <c r="K198" s="368"/>
      <c r="L198" s="368"/>
      <c r="M198" s="368"/>
      <c r="N198" s="366"/>
      <c r="AB198"/>
      <c r="AC198"/>
      <c r="AD198" s="158"/>
      <c r="AE198" s="158"/>
      <c r="AF198" s="400"/>
      <c r="AG198" s="400"/>
      <c r="AH198" s="400"/>
      <c r="AI198" s="400"/>
      <c r="AJ198" s="400"/>
      <c r="AK198" s="400"/>
      <c r="AL198" s="400"/>
      <c r="AM198" s="400"/>
      <c r="AN198"/>
      <c r="AO198"/>
      <c r="AP198"/>
      <c r="AQ198"/>
      <c r="AR198"/>
      <c r="AS198"/>
      <c r="AT198"/>
      <c r="AU198"/>
      <c r="AV198"/>
      <c r="AW198"/>
      <c r="AX198"/>
      <c r="AY198"/>
      <c r="AZ198"/>
      <c r="BA198"/>
      <c r="BB198"/>
      <c r="BC198"/>
      <c r="BD198"/>
    </row>
    <row r="199" spans="1:56" s="316" customFormat="1" x14ac:dyDescent="0.35">
      <c r="B199" s="368"/>
      <c r="C199" s="368"/>
      <c r="D199" s="368"/>
      <c r="E199" s="368"/>
      <c r="F199" s="368"/>
      <c r="G199" s="368"/>
      <c r="H199" s="368"/>
      <c r="I199" s="368"/>
      <c r="J199" s="368"/>
      <c r="K199" s="368"/>
      <c r="L199" s="368"/>
      <c r="M199" s="368"/>
      <c r="N199" s="366"/>
      <c r="AB199"/>
      <c r="AC199"/>
      <c r="AD199" s="158"/>
      <c r="AE199" s="158"/>
      <c r="AF199" s="400"/>
      <c r="AG199" s="400"/>
      <c r="AH199" s="400"/>
      <c r="AI199" s="400"/>
      <c r="AJ199" s="400"/>
      <c r="AK199" s="400"/>
      <c r="AL199" s="400"/>
      <c r="AM199" s="400"/>
      <c r="AN199"/>
      <c r="AO199"/>
      <c r="AP199"/>
      <c r="AQ199"/>
      <c r="AR199"/>
      <c r="AS199"/>
      <c r="AT199"/>
      <c r="AU199"/>
      <c r="AV199"/>
      <c r="AW199"/>
      <c r="AX199"/>
      <c r="AY199"/>
      <c r="AZ199"/>
      <c r="BA199"/>
      <c r="BB199"/>
      <c r="BC199"/>
      <c r="BD199"/>
    </row>
    <row r="200" spans="1:56" s="316" customFormat="1" x14ac:dyDescent="0.35">
      <c r="B200" s="368"/>
      <c r="C200" s="368"/>
      <c r="D200" s="368"/>
      <c r="E200" s="368"/>
      <c r="F200" s="368"/>
      <c r="G200" s="368"/>
      <c r="H200" s="368"/>
      <c r="I200" s="368"/>
      <c r="J200" s="368"/>
      <c r="K200" s="368"/>
      <c r="L200" s="368"/>
      <c r="M200" s="368"/>
      <c r="N200" s="366"/>
      <c r="AB200"/>
      <c r="AC200"/>
      <c r="AD200" s="158"/>
      <c r="AE200" s="158"/>
      <c r="AF200" s="400"/>
      <c r="AG200" s="400"/>
      <c r="AH200" s="400"/>
      <c r="AI200" s="400"/>
      <c r="AJ200" s="400"/>
      <c r="AK200" s="400"/>
      <c r="AL200" s="400"/>
      <c r="AM200" s="400"/>
      <c r="AN200"/>
      <c r="AO200"/>
      <c r="AP200"/>
      <c r="AQ200"/>
      <c r="AR200"/>
      <c r="AS200"/>
      <c r="AT200"/>
      <c r="AU200"/>
      <c r="AV200"/>
      <c r="AW200"/>
      <c r="AX200"/>
      <c r="AY200"/>
      <c r="AZ200"/>
      <c r="BA200"/>
      <c r="BB200"/>
      <c r="BC200"/>
      <c r="BD200"/>
    </row>
    <row r="201" spans="1:56" x14ac:dyDescent="0.35">
      <c r="B201" s="314"/>
      <c r="C201" s="314"/>
      <c r="D201" s="314"/>
      <c r="E201" s="314"/>
      <c r="F201" s="314"/>
      <c r="G201" s="314"/>
      <c r="H201" s="314"/>
      <c r="I201" s="314"/>
      <c r="J201" s="314"/>
      <c r="K201" s="314"/>
      <c r="L201" s="314"/>
      <c r="M201" s="314"/>
      <c r="AB201"/>
      <c r="AC201"/>
      <c r="AF201" s="400"/>
      <c r="AG201" s="400"/>
      <c r="AH201" s="400"/>
      <c r="AI201" s="400"/>
      <c r="AJ201" s="400"/>
      <c r="AK201" s="400"/>
      <c r="AL201" s="400"/>
      <c r="AM201" s="400"/>
    </row>
    <row r="202" spans="1:56" ht="15.5" x14ac:dyDescent="0.35">
      <c r="A202" s="416">
        <v>5</v>
      </c>
      <c r="B202" s="35" t="s">
        <v>23</v>
      </c>
      <c r="C202" s="36"/>
      <c r="D202" s="36"/>
      <c r="E202" s="36"/>
      <c r="F202" s="8"/>
      <c r="G202" s="8"/>
      <c r="H202" s="8"/>
      <c r="I202" s="8"/>
      <c r="J202" s="8"/>
      <c r="K202" s="8"/>
      <c r="L202" s="8"/>
      <c r="M202" s="38"/>
      <c r="AB202"/>
      <c r="AC202"/>
      <c r="AF202" s="400"/>
      <c r="AG202" s="400"/>
      <c r="AH202" s="400"/>
      <c r="AI202" s="400"/>
      <c r="AJ202" s="400"/>
      <c r="AK202" s="400"/>
      <c r="AL202" s="400"/>
      <c r="AM202" s="400"/>
    </row>
    <row r="203" spans="1:56" ht="32.15" customHeight="1" x14ac:dyDescent="0.35">
      <c r="A203" s="417"/>
      <c r="B203" s="420" t="str">
        <f>IF(F3="","Average weekly gross rent (£ per week) and units","Average weekly gross rent (£ per week) and units for "&amp;$F$3&amp;", "&amp;$B$48&amp; " and England")</f>
        <v>Average weekly gross rent (£ per week) and units</v>
      </c>
      <c r="C203" s="421"/>
      <c r="D203" s="421"/>
      <c r="E203" s="421"/>
      <c r="F203" s="421"/>
      <c r="G203" s="421"/>
      <c r="H203" s="421"/>
      <c r="I203" s="421"/>
      <c r="J203" s="421"/>
      <c r="K203" s="52"/>
      <c r="L203" s="52"/>
      <c r="M203" s="39"/>
      <c r="AB203"/>
      <c r="AC203"/>
      <c r="AF203" s="400"/>
      <c r="AG203" s="400"/>
      <c r="AH203" s="400"/>
      <c r="AI203" s="400"/>
      <c r="AJ203" s="400"/>
      <c r="AK203" s="400"/>
      <c r="AL203" s="400"/>
      <c r="AM203" s="400"/>
    </row>
    <row r="204" spans="1:56" x14ac:dyDescent="0.35">
      <c r="B204" s="325" t="str">
        <f>IF(F3="","Average weekly Affordable Rent general needs gross rent (£ per week)","Average weekly Affordable Rent general needs gross rent (£ per week) for "&amp;$F$3&amp;", "&amp;$B$48&amp; " and England")</f>
        <v>Average weekly Affordable Rent general needs gross rent (£ per week)</v>
      </c>
      <c r="C204" s="362"/>
      <c r="D204" s="61"/>
      <c r="E204" s="61"/>
      <c r="F204" s="61"/>
      <c r="G204" s="61"/>
      <c r="H204" s="61"/>
      <c r="I204" s="61"/>
      <c r="J204" s="61"/>
      <c r="K204" s="61"/>
      <c r="L204" s="61"/>
      <c r="M204" s="62"/>
      <c r="AB204"/>
      <c r="AC204"/>
      <c r="AF204" s="400"/>
      <c r="AG204" s="400"/>
      <c r="AH204" s="400"/>
      <c r="AI204" s="400"/>
      <c r="AJ204" s="400"/>
      <c r="AK204" s="400"/>
      <c r="AL204" s="400"/>
      <c r="AM204" s="400"/>
    </row>
    <row r="205" spans="1:56" x14ac:dyDescent="0.35">
      <c r="B205" s="53"/>
      <c r="C205" s="362"/>
      <c r="D205" s="324" t="s">
        <v>801</v>
      </c>
      <c r="E205" s="54">
        <v>2015</v>
      </c>
      <c r="F205" s="54">
        <v>2016</v>
      </c>
      <c r="G205" s="54">
        <v>2017</v>
      </c>
      <c r="H205" s="54">
        <v>2018</v>
      </c>
      <c r="I205" s="54">
        <v>2019</v>
      </c>
      <c r="J205" s="54">
        <v>2020</v>
      </c>
      <c r="K205" s="54">
        <v>2021</v>
      </c>
      <c r="L205" s="54">
        <v>2022</v>
      </c>
      <c r="M205" s="55">
        <v>2023</v>
      </c>
      <c r="AB205"/>
      <c r="AC205"/>
      <c r="AF205" s="400"/>
      <c r="AG205" s="400"/>
      <c r="AH205" s="400"/>
      <c r="AI205" s="400"/>
      <c r="AJ205" s="400"/>
      <c r="AK205" s="400"/>
      <c r="AL205" s="400"/>
      <c r="AM205" s="400"/>
    </row>
    <row r="206" spans="1:56" x14ac:dyDescent="0.35">
      <c r="B206" s="56">
        <f>$F$3</f>
        <v>0</v>
      </c>
      <c r="C206" s="57"/>
      <c r="D206" s="57"/>
      <c r="E206" s="239"/>
      <c r="F206" s="239"/>
      <c r="G206" s="239"/>
      <c r="H206" s="239"/>
      <c r="I206" s="239"/>
      <c r="J206" s="239"/>
      <c r="K206" s="239"/>
      <c r="L206" s="239"/>
      <c r="M206" s="240"/>
      <c r="AB206"/>
      <c r="AC206"/>
      <c r="AF206" s="400"/>
      <c r="AG206" s="400"/>
      <c r="AH206" s="400"/>
      <c r="AI206" s="400"/>
      <c r="AJ206" s="400"/>
      <c r="AK206" s="400"/>
      <c r="AL206" s="400"/>
      <c r="AM206" s="400"/>
    </row>
    <row r="207" spans="1:56" x14ac:dyDescent="0.35">
      <c r="B207" s="218" t="s">
        <v>24</v>
      </c>
      <c r="C207" s="219"/>
      <c r="D207" s="219"/>
      <c r="E207" s="241" t="str">
        <f>IFERROR(VLOOKUP($F$3,Y_1,20,0),"")</f>
        <v/>
      </c>
      <c r="F207" s="241" t="str">
        <f>IFERROR(VLOOKUP($F$3,Y_2,20,0),"")</f>
        <v/>
      </c>
      <c r="G207" s="241" t="str">
        <f>IFERROR(VLOOKUP($F$3,Y_3,20,0),"")</f>
        <v/>
      </c>
      <c r="H207" s="241" t="str">
        <f>IFERROR(VLOOKUP($F$3,Y_4,20,0),"")</f>
        <v/>
      </c>
      <c r="I207" s="241" t="str">
        <f>IFERROR(VLOOKUP($F$3,Y_5,20,0),"")</f>
        <v/>
      </c>
      <c r="J207" s="241" t="str">
        <f>IFERROR(VLOOKUP($F$3,Y_6,20,0),"")</f>
        <v/>
      </c>
      <c r="K207" s="241" t="str">
        <f>IFERROR(VLOOKUP($F$3,Y_7,20,0),"")</f>
        <v/>
      </c>
      <c r="L207" s="241" t="str">
        <f>IFERROR(VLOOKUP($F$3,Y_8,20,0),"")</f>
        <v/>
      </c>
      <c r="M207" s="242" t="str">
        <f>IFERROR(VLOOKUP($F$3,Y_9,20,0),"")</f>
        <v/>
      </c>
      <c r="AB207"/>
      <c r="AC207"/>
      <c r="AF207" s="400"/>
      <c r="AG207" s="400"/>
      <c r="AH207" s="400"/>
      <c r="AI207" s="400"/>
      <c r="AJ207" s="400"/>
      <c r="AK207" s="400"/>
      <c r="AL207" s="400"/>
      <c r="AM207" s="400"/>
    </row>
    <row r="208" spans="1:56" x14ac:dyDescent="0.35">
      <c r="B208" s="221" t="s">
        <v>21</v>
      </c>
      <c r="C208" s="222"/>
      <c r="D208" s="222"/>
      <c r="E208" s="245" t="str">
        <f>IFERROR(VLOOKUP($F$3,Y_1,21,0),"")</f>
        <v/>
      </c>
      <c r="F208" s="245" t="str">
        <f>IFERROR(VLOOKUP($F$3,Y_2,21,0),"")</f>
        <v/>
      </c>
      <c r="G208" s="245" t="str">
        <f>IFERROR(VLOOKUP($F$3,Y_3,21,0),"")</f>
        <v/>
      </c>
      <c r="H208" s="245" t="str">
        <f>IFERROR(VLOOKUP($F$3,Y_4,21,0),"")</f>
        <v/>
      </c>
      <c r="I208" s="245" t="str">
        <f>IFERROR(VLOOKUP($F$3,Y_5,21,0),"")</f>
        <v/>
      </c>
      <c r="J208" s="245" t="str">
        <f>IFERROR(VLOOKUP($F$3,Y_6,21,0),"")</f>
        <v/>
      </c>
      <c r="K208" s="245" t="str">
        <f>IFERROR(VLOOKUP($F$3,Y_7,21,0),"")</f>
        <v/>
      </c>
      <c r="L208" s="245" t="str">
        <f>IFERROR(VLOOKUP($F$3,Y_8,21,0),"")</f>
        <v/>
      </c>
      <c r="M208" s="246" t="str">
        <f>IFERROR(VLOOKUP($F$3,Y_9,21,0),"")</f>
        <v/>
      </c>
      <c r="AB208"/>
      <c r="AC208"/>
      <c r="AF208" s="400"/>
      <c r="AG208" s="400"/>
      <c r="AH208" s="400"/>
      <c r="AI208" s="400"/>
      <c r="AJ208" s="400"/>
      <c r="AK208" s="400"/>
      <c r="AL208" s="400"/>
      <c r="AM208" s="400"/>
    </row>
    <row r="209" spans="1:56" x14ac:dyDescent="0.35">
      <c r="B209" s="56" t="str">
        <f>$B$48</f>
        <v/>
      </c>
      <c r="C209" s="57"/>
      <c r="D209" s="57"/>
      <c r="E209" s="239"/>
      <c r="F209" s="239"/>
      <c r="G209" s="239"/>
      <c r="H209" s="239"/>
      <c r="I209" s="239"/>
      <c r="J209" s="239"/>
      <c r="K209" s="239"/>
      <c r="L209" s="239"/>
      <c r="M209" s="240"/>
      <c r="AB209"/>
      <c r="AC209"/>
      <c r="AF209" s="400"/>
      <c r="AG209" s="400"/>
      <c r="AH209" s="400"/>
      <c r="AI209" s="400"/>
      <c r="AJ209" s="400"/>
      <c r="AK209" s="400"/>
      <c r="AL209" s="400"/>
      <c r="AM209" s="400"/>
    </row>
    <row r="210" spans="1:56" x14ac:dyDescent="0.35">
      <c r="B210" s="218" t="s">
        <v>24</v>
      </c>
      <c r="C210" s="219"/>
      <c r="D210" s="219"/>
      <c r="E210" s="241" t="str">
        <f>IFERROR(VLOOKUP($F$4,Y_1,20,0),"")</f>
        <v/>
      </c>
      <c r="F210" s="241" t="str">
        <f>IFERROR(VLOOKUP($F$4,Y_2,20,0),"")</f>
        <v/>
      </c>
      <c r="G210" s="241" t="str">
        <f>IFERROR(VLOOKUP($F$4,Y_3,20,0),"")</f>
        <v/>
      </c>
      <c r="H210" s="63" t="str">
        <f>IFERROR(VLOOKUP($F$4,Y_4,20,0),"")</f>
        <v/>
      </c>
      <c r="I210" s="241" t="str">
        <f>IFERROR(VLOOKUP($F$4,Y_5,20,0),"")</f>
        <v/>
      </c>
      <c r="J210" s="241" t="str">
        <f>IFERROR(VLOOKUP($F$4,Y_6,20,0),"")</f>
        <v/>
      </c>
      <c r="K210" s="241" t="str">
        <f>IFERROR(VLOOKUP($F$4,Y_7,20,0),"")</f>
        <v/>
      </c>
      <c r="L210" s="241" t="str">
        <f>IFERROR(VLOOKUP($F$4,Y_8,20,0),"")</f>
        <v/>
      </c>
      <c r="M210" s="242" t="str">
        <f>IFERROR(VLOOKUP($F$4,Y_9,20,0),"")</f>
        <v/>
      </c>
      <c r="AB210"/>
      <c r="AC210"/>
      <c r="AF210" s="400"/>
      <c r="AG210" s="400"/>
      <c r="AH210" s="400"/>
      <c r="AI210" s="400"/>
      <c r="AJ210" s="400"/>
      <c r="AK210" s="400"/>
      <c r="AL210" s="400"/>
      <c r="AM210" s="400"/>
    </row>
    <row r="211" spans="1:56" x14ac:dyDescent="0.35">
      <c r="B211" s="221" t="s">
        <v>21</v>
      </c>
      <c r="C211" s="222"/>
      <c r="D211" s="222"/>
      <c r="E211" s="245" t="str">
        <f>IFERROR(VLOOKUP($F$4,Y_1,21,0),"")</f>
        <v/>
      </c>
      <c r="F211" s="245" t="str">
        <f>IFERROR(VLOOKUP($F$4,Y_2,21,0),"")</f>
        <v/>
      </c>
      <c r="G211" s="245" t="str">
        <f>IFERROR(VLOOKUP($F$4,Y_3,21,0),"")</f>
        <v/>
      </c>
      <c r="H211" s="245" t="str">
        <f>IFERROR(VLOOKUP($F$4,Y_4,21,0),"")</f>
        <v/>
      </c>
      <c r="I211" s="245" t="str">
        <f>IFERROR(VLOOKUP($F$4,Y_5,21,0),"")</f>
        <v/>
      </c>
      <c r="J211" s="245" t="str">
        <f>IFERROR(VLOOKUP($F$4,Y_6,21,0),"")</f>
        <v/>
      </c>
      <c r="K211" s="245" t="str">
        <f>IFERROR(VLOOKUP($F$4,Y_7,21,0),"")</f>
        <v/>
      </c>
      <c r="L211" s="245" t="str">
        <f>IFERROR(VLOOKUP($F$4,Y_8,21,0),"")</f>
        <v/>
      </c>
      <c r="M211" s="246" t="str">
        <f>IFERROR(VLOOKUP($F$4,Y_9,21,0),"")</f>
        <v/>
      </c>
      <c r="AB211"/>
      <c r="AC211"/>
      <c r="AF211" s="400"/>
      <c r="AG211" s="400"/>
      <c r="AH211" s="400"/>
      <c r="AI211" s="400"/>
      <c r="AJ211" s="400"/>
      <c r="AK211" s="400"/>
      <c r="AL211" s="400"/>
      <c r="AM211" s="400"/>
    </row>
    <row r="212" spans="1:56" x14ac:dyDescent="0.35">
      <c r="B212" s="56" t="s">
        <v>13</v>
      </c>
      <c r="C212" s="57"/>
      <c r="D212" s="57"/>
      <c r="E212" s="239"/>
      <c r="F212" s="239"/>
      <c r="G212" s="239"/>
      <c r="H212" s="239"/>
      <c r="I212" s="239"/>
      <c r="J212" s="239"/>
      <c r="K212" s="239"/>
      <c r="L212" s="239"/>
      <c r="M212" s="240"/>
      <c r="AB212"/>
      <c r="AC212"/>
      <c r="AF212" s="400"/>
      <c r="AG212" s="400"/>
      <c r="AH212" s="400"/>
      <c r="AI212" s="400"/>
      <c r="AJ212" s="400"/>
      <c r="AK212" s="400"/>
      <c r="AL212" s="400"/>
      <c r="AM212" s="400"/>
    </row>
    <row r="213" spans="1:56" x14ac:dyDescent="0.35">
      <c r="B213" s="218" t="s">
        <v>24</v>
      </c>
      <c r="C213" s="219"/>
      <c r="D213" s="219"/>
      <c r="E213" s="241">
        <f>IF($F$4&lt;&gt;"",VLOOKUP($B$49,Y_1,20,0),"")</f>
        <v>124.34</v>
      </c>
      <c r="F213" s="241">
        <f>IF($F$4&lt;&gt;"",VLOOKUP($B$49,Y_2,20,0),"")</f>
        <v>128.6</v>
      </c>
      <c r="G213" s="241">
        <f>IF($F$4&lt;&gt;"",VLOOKUP($B$49,Y_3,20,0),"")</f>
        <v>127.95</v>
      </c>
      <c r="H213" s="63">
        <f>IF($F$4&lt;&gt;"",VLOOKUP($B$49,Y_4,20,0),"")</f>
        <v>127.8</v>
      </c>
      <c r="I213" s="241">
        <f>IF($F$4&lt;&gt;"",VLOOKUP($B$49,Y_5,20,0),"")</f>
        <v>128.05000000000001</v>
      </c>
      <c r="J213" s="241">
        <f>IF($F$4&lt;&gt;"",VLOOKUP($B$49,Y_6,20,0),"")</f>
        <v>128.62</v>
      </c>
      <c r="K213" s="241">
        <f>IF($F$4&lt;&gt;"",VLOOKUP($B$49,Y_7,20,0),"")</f>
        <v>133.31</v>
      </c>
      <c r="L213" s="241">
        <f>IF($F$4&lt;&gt;"",VLOOKUP($B$49,Y_8,20,0),"")</f>
        <v>136.72</v>
      </c>
      <c r="M213" s="242">
        <f>IF($F$4&lt;&gt;"",VLOOKUP($B$49,Y_9,20,0),"")</f>
        <v>143.80000000000001</v>
      </c>
      <c r="AB213"/>
      <c r="AC213"/>
      <c r="AF213" s="400"/>
      <c r="AG213" s="400"/>
      <c r="AH213" s="400"/>
      <c r="AI213" s="400"/>
      <c r="AJ213" s="400"/>
      <c r="AK213" s="400"/>
      <c r="AL213" s="400"/>
      <c r="AM213" s="400"/>
    </row>
    <row r="214" spans="1:56" x14ac:dyDescent="0.35">
      <c r="B214" s="221" t="s">
        <v>21</v>
      </c>
      <c r="C214" s="222"/>
      <c r="D214" s="222"/>
      <c r="E214" s="245">
        <f>IF($F$4&lt;&gt;"",VLOOKUP($B$49,Y_1,21,0),"")</f>
        <v>117288</v>
      </c>
      <c r="F214" s="245">
        <f>IF($F$4&lt;&gt;"",VLOOKUP($B$49,Y_2,21,0),"")</f>
        <v>151611</v>
      </c>
      <c r="G214" s="245">
        <f>IF($F$4&lt;&gt;"",VLOOKUP($B$49,Y_3,21,0),"")</f>
        <v>182115</v>
      </c>
      <c r="H214" s="245">
        <f>IF($F$4&lt;&gt;"",VLOOKUP($B$49,Y_4,21,0),"")</f>
        <v>208889</v>
      </c>
      <c r="I214" s="245">
        <f>IF($F$4&lt;&gt;"",VLOOKUP($B$49,Y_5,21,0),"")</f>
        <v>231212</v>
      </c>
      <c r="J214" s="245">
        <f>IF($F$4&lt;&gt;"",VLOOKUP($B$49,Y_6,21,0),"")</f>
        <v>254218</v>
      </c>
      <c r="K214" s="245">
        <f>IF($F$4&lt;&gt;"",VLOOKUP($B$49,Y_7,21,0),"")</f>
        <v>272045</v>
      </c>
      <c r="L214" s="245">
        <f>IF($F$4&lt;&gt;"",VLOOKUP($B$49,Y_8,21,0),"")</f>
        <v>294526</v>
      </c>
      <c r="M214" s="246">
        <f>IF($F$4&lt;&gt;"",VLOOKUP($B$49,Y_9,21,0),"")</f>
        <v>315847</v>
      </c>
      <c r="AB214"/>
      <c r="AC214"/>
      <c r="AF214" s="400"/>
      <c r="AG214" s="400"/>
      <c r="AH214" s="400"/>
      <c r="AI214" s="400"/>
      <c r="AJ214" s="400"/>
      <c r="AK214" s="400"/>
      <c r="AL214" s="400"/>
      <c r="AM214" s="400"/>
    </row>
    <row r="215" spans="1:56" x14ac:dyDescent="0.35">
      <c r="B215" s="31"/>
      <c r="C215" s="32"/>
      <c r="D215" s="32"/>
      <c r="E215" s="32"/>
      <c r="F215" s="32"/>
      <c r="G215" s="32"/>
      <c r="H215" s="32"/>
      <c r="I215" s="32"/>
      <c r="J215" s="32"/>
      <c r="K215" s="32"/>
      <c r="L215" s="32"/>
      <c r="M215" s="48"/>
      <c r="AB215"/>
      <c r="AC215"/>
      <c r="AF215" s="400"/>
      <c r="AG215" s="400"/>
      <c r="AH215" s="400"/>
      <c r="AI215" s="400"/>
      <c r="AJ215" s="400"/>
      <c r="AK215" s="400"/>
      <c r="AL215" s="400"/>
      <c r="AM215" s="400"/>
    </row>
    <row r="216" spans="1:56" x14ac:dyDescent="0.35">
      <c r="B216" s="46" t="s">
        <v>805</v>
      </c>
      <c r="C216" s="47"/>
      <c r="D216" s="47"/>
      <c r="E216" s="47"/>
      <c r="M216" s="49"/>
      <c r="AB216"/>
      <c r="AC216"/>
      <c r="AF216" s="400"/>
      <c r="AG216" s="400"/>
      <c r="AH216" s="400"/>
      <c r="AI216" s="400"/>
      <c r="AJ216" s="400"/>
      <c r="AK216" s="400"/>
      <c r="AL216" s="400"/>
      <c r="AM216" s="400"/>
    </row>
    <row r="217" spans="1:56" x14ac:dyDescent="0.35">
      <c r="B217" s="33"/>
      <c r="C217" s="34"/>
      <c r="D217" s="34"/>
      <c r="E217" s="34"/>
      <c r="F217" s="34"/>
      <c r="G217" s="34"/>
      <c r="H217" s="34"/>
      <c r="I217" s="34"/>
      <c r="J217" s="34"/>
      <c r="K217" s="34"/>
      <c r="L217" s="34"/>
      <c r="M217" s="64"/>
      <c r="AB217"/>
      <c r="AC217"/>
      <c r="AF217" s="400"/>
      <c r="AG217" s="400"/>
      <c r="AH217" s="400"/>
      <c r="AI217" s="400"/>
      <c r="AJ217" s="400"/>
      <c r="AK217" s="400"/>
      <c r="AL217" s="400"/>
      <c r="AM217" s="400"/>
    </row>
    <row r="218" spans="1:56" x14ac:dyDescent="0.35">
      <c r="AB218"/>
      <c r="AC218"/>
      <c r="AF218" s="400"/>
      <c r="AG218" s="400"/>
      <c r="AH218" s="400"/>
      <c r="AI218" s="400"/>
      <c r="AJ218" s="400"/>
      <c r="AK218" s="400"/>
      <c r="AL218" s="400"/>
      <c r="AM218" s="400"/>
    </row>
    <row r="219" spans="1:56" s="316" customFormat="1" x14ac:dyDescent="0.35">
      <c r="A219" s="407">
        <v>6</v>
      </c>
      <c r="N219" s="366"/>
      <c r="AB219"/>
      <c r="AC219"/>
      <c r="AD219" s="158"/>
      <c r="AE219" s="158"/>
      <c r="AF219" s="400"/>
      <c r="AG219" s="400"/>
      <c r="AH219" s="400"/>
      <c r="AI219" s="400"/>
      <c r="AJ219" s="400"/>
      <c r="AK219" s="400"/>
      <c r="AL219" s="400"/>
      <c r="AM219" s="400"/>
      <c r="AN219"/>
      <c r="AO219"/>
      <c r="AP219"/>
      <c r="AQ219"/>
      <c r="AR219"/>
      <c r="AS219"/>
      <c r="AT219"/>
      <c r="AU219"/>
      <c r="AV219"/>
      <c r="AW219"/>
      <c r="AX219"/>
      <c r="AY219"/>
      <c r="AZ219"/>
      <c r="BA219"/>
      <c r="BB219"/>
      <c r="BC219"/>
      <c r="BD219"/>
    </row>
    <row r="220" spans="1:56" s="316" customFormat="1" x14ac:dyDescent="0.35">
      <c r="A220" s="408"/>
      <c r="N220" s="366"/>
      <c r="AB220"/>
      <c r="AC220"/>
      <c r="AD220" s="158"/>
      <c r="AE220" s="158"/>
      <c r="AF220" s="400"/>
      <c r="AG220" s="400"/>
      <c r="AH220" s="400"/>
      <c r="AI220" s="400"/>
      <c r="AJ220" s="400"/>
      <c r="AK220" s="400"/>
      <c r="AL220" s="400"/>
      <c r="AM220" s="400"/>
      <c r="AN220"/>
      <c r="AO220"/>
      <c r="AP220"/>
      <c r="AQ220"/>
      <c r="AR220"/>
      <c r="AS220"/>
      <c r="AT220"/>
      <c r="AU220"/>
      <c r="AV220"/>
      <c r="AW220"/>
      <c r="AX220"/>
      <c r="AY220"/>
      <c r="AZ220"/>
      <c r="BA220"/>
      <c r="BB220"/>
      <c r="BC220"/>
      <c r="BD220"/>
    </row>
    <row r="221" spans="1:56" s="316" customFormat="1" x14ac:dyDescent="0.35">
      <c r="N221" s="366"/>
      <c r="AB221"/>
      <c r="AC221"/>
      <c r="AD221" s="158"/>
      <c r="AE221" s="158"/>
      <c r="AF221" s="400"/>
      <c r="AG221" s="400"/>
      <c r="AH221" s="400"/>
      <c r="AI221" s="400"/>
      <c r="AJ221" s="400"/>
      <c r="AK221" s="400"/>
      <c r="AL221" s="400"/>
      <c r="AM221" s="400"/>
      <c r="AN221"/>
      <c r="AO221"/>
      <c r="AP221"/>
      <c r="AQ221"/>
      <c r="AR221"/>
      <c r="AS221"/>
      <c r="AT221"/>
      <c r="AU221"/>
      <c r="AV221"/>
      <c r="AW221"/>
      <c r="AX221"/>
      <c r="AY221"/>
      <c r="AZ221"/>
      <c r="BA221"/>
      <c r="BB221"/>
      <c r="BC221"/>
      <c r="BD221"/>
    </row>
    <row r="222" spans="1:56" s="316" customFormat="1" x14ac:dyDescent="0.35">
      <c r="N222" s="366"/>
      <c r="AB222"/>
      <c r="AC222"/>
      <c r="AD222" s="158"/>
      <c r="AE222" s="158"/>
      <c r="AF222" s="400"/>
      <c r="AG222" s="400"/>
      <c r="AH222" s="400"/>
      <c r="AI222" s="400"/>
      <c r="AJ222" s="400"/>
      <c r="AK222" s="400"/>
      <c r="AL222" s="400"/>
      <c r="AM222" s="400"/>
      <c r="AN222"/>
      <c r="AO222"/>
      <c r="AP222"/>
      <c r="AQ222"/>
      <c r="AR222"/>
      <c r="AS222"/>
      <c r="AT222"/>
      <c r="AU222"/>
      <c r="AV222"/>
      <c r="AW222"/>
      <c r="AX222"/>
      <c r="AY222"/>
      <c r="AZ222"/>
      <c r="BA222"/>
      <c r="BB222"/>
      <c r="BC222"/>
      <c r="BD222"/>
    </row>
    <row r="223" spans="1:56" s="316" customFormat="1" x14ac:dyDescent="0.35">
      <c r="N223" s="366"/>
      <c r="AB223"/>
      <c r="AC223"/>
      <c r="AD223" s="158"/>
      <c r="AE223" s="158"/>
      <c r="AF223" s="400"/>
      <c r="AG223" s="400"/>
      <c r="AH223" s="400"/>
      <c r="AI223" s="400"/>
      <c r="AJ223" s="400"/>
      <c r="AK223" s="400"/>
      <c r="AL223" s="400"/>
      <c r="AM223" s="400"/>
      <c r="AN223"/>
      <c r="AO223"/>
      <c r="AP223"/>
      <c r="AQ223"/>
      <c r="AR223"/>
      <c r="AS223"/>
      <c r="AT223"/>
      <c r="AU223"/>
      <c r="AV223"/>
      <c r="AW223"/>
      <c r="AX223"/>
      <c r="AY223"/>
      <c r="AZ223"/>
      <c r="BA223"/>
      <c r="BB223"/>
      <c r="BC223"/>
      <c r="BD223"/>
    </row>
    <row r="224" spans="1:56" s="316" customFormat="1" x14ac:dyDescent="0.35">
      <c r="N224" s="366"/>
      <c r="AB224"/>
      <c r="AC224"/>
      <c r="AD224" s="158"/>
      <c r="AE224" s="158"/>
      <c r="AF224" s="400"/>
      <c r="AG224" s="400"/>
      <c r="AH224" s="400"/>
      <c r="AI224" s="400"/>
      <c r="AJ224" s="400"/>
      <c r="AK224" s="400"/>
      <c r="AL224" s="400"/>
      <c r="AM224" s="400"/>
      <c r="AN224"/>
      <c r="AO224"/>
      <c r="AP224"/>
      <c r="AQ224"/>
      <c r="AR224"/>
      <c r="AS224"/>
      <c r="AT224"/>
      <c r="AU224"/>
      <c r="AV224"/>
      <c r="AW224"/>
      <c r="AX224"/>
      <c r="AY224"/>
      <c r="AZ224"/>
      <c r="BA224"/>
      <c r="BB224"/>
      <c r="BC224"/>
      <c r="BD224"/>
    </row>
    <row r="225" spans="14:56" s="316" customFormat="1" x14ac:dyDescent="0.35">
      <c r="N225" s="366"/>
      <c r="AB225"/>
      <c r="AC225"/>
      <c r="AD225" s="158"/>
      <c r="AE225" s="158"/>
      <c r="AF225" s="400"/>
      <c r="AG225" s="400"/>
      <c r="AH225" s="400"/>
      <c r="AI225" s="400"/>
      <c r="AJ225" s="400"/>
      <c r="AK225" s="400"/>
      <c r="AL225" s="400"/>
      <c r="AM225" s="400"/>
      <c r="AN225"/>
      <c r="AO225"/>
      <c r="AP225"/>
      <c r="AQ225"/>
      <c r="AR225"/>
      <c r="AS225"/>
      <c r="AT225"/>
      <c r="AU225"/>
      <c r="AV225"/>
      <c r="AW225"/>
      <c r="AX225"/>
      <c r="AY225"/>
      <c r="AZ225"/>
      <c r="BA225"/>
      <c r="BB225"/>
      <c r="BC225"/>
      <c r="BD225"/>
    </row>
    <row r="226" spans="14:56" s="316" customFormat="1" x14ac:dyDescent="0.35">
      <c r="N226" s="366"/>
      <c r="AB226"/>
      <c r="AC226"/>
      <c r="AD226" s="158"/>
      <c r="AE226" s="158"/>
      <c r="AF226" s="400"/>
      <c r="AG226" s="400"/>
      <c r="AH226" s="400"/>
      <c r="AI226" s="400"/>
      <c r="AJ226" s="400"/>
      <c r="AK226" s="400"/>
      <c r="AL226" s="400"/>
      <c r="AM226" s="400"/>
      <c r="AN226"/>
      <c r="AO226"/>
      <c r="AP226"/>
      <c r="AQ226"/>
      <c r="AR226"/>
      <c r="AS226"/>
      <c r="AT226"/>
      <c r="AU226"/>
      <c r="AV226"/>
      <c r="AW226"/>
      <c r="AX226"/>
      <c r="AY226"/>
      <c r="AZ226"/>
      <c r="BA226"/>
      <c r="BB226"/>
      <c r="BC226"/>
      <c r="BD226"/>
    </row>
    <row r="227" spans="14:56" s="316" customFormat="1" x14ac:dyDescent="0.35">
      <c r="N227" s="366"/>
      <c r="AB227"/>
      <c r="AC227"/>
      <c r="AD227" s="158"/>
      <c r="AE227" s="158"/>
      <c r="AF227" s="400"/>
      <c r="AG227" s="400"/>
      <c r="AH227" s="400"/>
      <c r="AI227" s="400"/>
      <c r="AJ227" s="400"/>
      <c r="AK227" s="400"/>
      <c r="AL227" s="400"/>
      <c r="AM227" s="400"/>
      <c r="AN227"/>
      <c r="AO227"/>
      <c r="AP227"/>
      <c r="AQ227"/>
      <c r="AR227"/>
      <c r="AS227"/>
      <c r="AT227"/>
      <c r="AU227"/>
      <c r="AV227"/>
      <c r="AW227"/>
      <c r="AX227"/>
      <c r="AY227"/>
      <c r="AZ227"/>
      <c r="BA227"/>
      <c r="BB227"/>
      <c r="BC227"/>
      <c r="BD227"/>
    </row>
    <row r="228" spans="14:56" s="316" customFormat="1" x14ac:dyDescent="0.35">
      <c r="N228" s="366"/>
      <c r="AB228"/>
      <c r="AC228"/>
      <c r="AD228" s="158"/>
      <c r="AE228" s="158"/>
      <c r="AF228" s="400"/>
      <c r="AG228" s="400"/>
      <c r="AH228" s="400"/>
      <c r="AI228" s="400"/>
      <c r="AJ228" s="400"/>
      <c r="AK228" s="400"/>
      <c r="AL228" s="400"/>
      <c r="AM228" s="400"/>
      <c r="AN228"/>
      <c r="AO228"/>
      <c r="AP228"/>
      <c r="AQ228"/>
      <c r="AR228"/>
      <c r="AS228"/>
      <c r="AT228"/>
      <c r="AU228"/>
      <c r="AV228"/>
      <c r="AW228"/>
      <c r="AX228"/>
      <c r="AY228"/>
      <c r="AZ228"/>
      <c r="BA228"/>
      <c r="BB228"/>
      <c r="BC228"/>
      <c r="BD228"/>
    </row>
    <row r="229" spans="14:56" s="316" customFormat="1" x14ac:dyDescent="0.35">
      <c r="N229" s="366"/>
      <c r="AB229"/>
      <c r="AC229"/>
      <c r="AD229" s="158"/>
      <c r="AE229" s="158"/>
      <c r="AF229" s="400"/>
      <c r="AG229" s="400"/>
      <c r="AH229" s="400"/>
      <c r="AI229" s="400"/>
      <c r="AJ229" s="400"/>
      <c r="AK229" s="400"/>
      <c r="AL229" s="400"/>
      <c r="AM229" s="400"/>
      <c r="AN229"/>
      <c r="AO229"/>
      <c r="AP229"/>
      <c r="AQ229"/>
      <c r="AR229"/>
      <c r="AS229"/>
      <c r="AT229"/>
      <c r="AU229"/>
      <c r="AV229"/>
      <c r="AW229"/>
      <c r="AX229"/>
      <c r="AY229"/>
      <c r="AZ229"/>
      <c r="BA229"/>
      <c r="BB229"/>
      <c r="BC229"/>
      <c r="BD229"/>
    </row>
    <row r="230" spans="14:56" s="316" customFormat="1" x14ac:dyDescent="0.35">
      <c r="N230" s="366"/>
      <c r="AB230"/>
      <c r="AC230"/>
      <c r="AD230" s="158"/>
      <c r="AE230" s="158"/>
      <c r="AF230" s="400"/>
      <c r="AG230" s="400"/>
      <c r="AH230" s="400"/>
      <c r="AI230" s="400"/>
      <c r="AJ230" s="400"/>
      <c r="AK230" s="400"/>
      <c r="AL230" s="400"/>
      <c r="AM230" s="400"/>
      <c r="AN230"/>
      <c r="AO230"/>
      <c r="AP230"/>
      <c r="AQ230"/>
      <c r="AR230"/>
      <c r="AS230"/>
      <c r="AT230"/>
      <c r="AU230"/>
      <c r="AV230"/>
      <c r="AW230"/>
      <c r="AX230"/>
      <c r="AY230"/>
      <c r="AZ230"/>
      <c r="BA230"/>
      <c r="BB230"/>
      <c r="BC230"/>
      <c r="BD230"/>
    </row>
    <row r="231" spans="14:56" s="316" customFormat="1" x14ac:dyDescent="0.35">
      <c r="N231" s="366"/>
      <c r="AB231"/>
      <c r="AC231"/>
      <c r="AD231" s="158"/>
      <c r="AE231" s="158"/>
      <c r="AF231" s="400"/>
      <c r="AG231" s="400"/>
      <c r="AH231" s="400"/>
      <c r="AI231" s="400"/>
      <c r="AJ231" s="400"/>
      <c r="AK231" s="400"/>
      <c r="AL231" s="400"/>
      <c r="AM231" s="400"/>
      <c r="AN231"/>
      <c r="AO231"/>
      <c r="AP231"/>
      <c r="AQ231"/>
      <c r="AR231"/>
      <c r="AS231"/>
      <c r="AT231"/>
      <c r="AU231"/>
      <c r="AV231"/>
      <c r="AW231"/>
      <c r="AX231"/>
      <c r="AY231"/>
      <c r="AZ231"/>
      <c r="BA231"/>
      <c r="BB231"/>
      <c r="BC231"/>
      <c r="BD231"/>
    </row>
    <row r="232" spans="14:56" s="316" customFormat="1" x14ac:dyDescent="0.35">
      <c r="N232" s="366"/>
      <c r="AB232"/>
      <c r="AC232"/>
      <c r="AD232" s="158"/>
      <c r="AE232" s="158"/>
      <c r="AF232" s="400"/>
      <c r="AG232" s="400"/>
      <c r="AH232" s="400"/>
      <c r="AI232" s="400"/>
      <c r="AJ232" s="400"/>
      <c r="AK232" s="400"/>
      <c r="AL232" s="400"/>
      <c r="AM232" s="400"/>
      <c r="AN232"/>
      <c r="AO232"/>
      <c r="AP232"/>
      <c r="AQ232"/>
      <c r="AR232"/>
      <c r="AS232"/>
      <c r="AT232"/>
      <c r="AU232"/>
      <c r="AV232"/>
      <c r="AW232"/>
      <c r="AX232"/>
      <c r="AY232"/>
      <c r="AZ232"/>
      <c r="BA232"/>
      <c r="BB232"/>
      <c r="BC232"/>
      <c r="BD232"/>
    </row>
    <row r="233" spans="14:56" s="316" customFormat="1" x14ac:dyDescent="0.35">
      <c r="N233" s="366"/>
      <c r="AB233"/>
      <c r="AC233"/>
      <c r="AD233" s="158"/>
      <c r="AE233" s="158"/>
      <c r="AF233" s="400"/>
      <c r="AG233" s="400"/>
      <c r="AH233" s="400"/>
      <c r="AI233" s="400"/>
      <c r="AJ233" s="400"/>
      <c r="AK233" s="400"/>
      <c r="AL233" s="400"/>
      <c r="AM233" s="400"/>
      <c r="AN233"/>
      <c r="AO233"/>
      <c r="AP233"/>
      <c r="AQ233"/>
      <c r="AR233"/>
      <c r="AS233"/>
      <c r="AT233"/>
      <c r="AU233"/>
      <c r="AV233"/>
      <c r="AW233"/>
      <c r="AX233"/>
      <c r="AY233"/>
      <c r="AZ233"/>
      <c r="BA233"/>
      <c r="BB233"/>
      <c r="BC233"/>
      <c r="BD233"/>
    </row>
    <row r="234" spans="14:56" s="316" customFormat="1" x14ac:dyDescent="0.35">
      <c r="N234" s="366"/>
      <c r="AB234"/>
      <c r="AC234"/>
      <c r="AD234" s="158"/>
      <c r="AE234" s="158"/>
      <c r="AF234" s="400"/>
      <c r="AG234" s="400"/>
      <c r="AH234" s="400"/>
      <c r="AI234" s="400"/>
      <c r="AJ234" s="400"/>
      <c r="AK234" s="400"/>
      <c r="AL234" s="400"/>
      <c r="AM234" s="400"/>
      <c r="AN234"/>
      <c r="AO234"/>
      <c r="AP234"/>
      <c r="AQ234"/>
      <c r="AR234"/>
      <c r="AS234"/>
      <c r="AT234"/>
      <c r="AU234"/>
      <c r="AV234"/>
      <c r="AW234"/>
      <c r="AX234"/>
      <c r="AY234"/>
      <c r="AZ234"/>
      <c r="BA234"/>
      <c r="BB234"/>
      <c r="BC234"/>
      <c r="BD234"/>
    </row>
    <row r="235" spans="14:56" s="316" customFormat="1" x14ac:dyDescent="0.35">
      <c r="N235" s="366"/>
      <c r="AB235"/>
      <c r="AC235"/>
      <c r="AD235" s="158"/>
      <c r="AE235" s="158"/>
      <c r="AF235" s="400"/>
      <c r="AG235" s="400"/>
      <c r="AH235" s="400"/>
      <c r="AI235" s="400"/>
      <c r="AJ235" s="400"/>
      <c r="AK235" s="400"/>
      <c r="AL235" s="400"/>
      <c r="AM235" s="400"/>
      <c r="AN235"/>
      <c r="AO235"/>
      <c r="AP235"/>
      <c r="AQ235"/>
      <c r="AR235"/>
      <c r="AS235"/>
      <c r="AT235"/>
      <c r="AU235"/>
      <c r="AV235"/>
      <c r="AW235"/>
      <c r="AX235"/>
      <c r="AY235"/>
      <c r="AZ235"/>
      <c r="BA235"/>
      <c r="BB235"/>
      <c r="BC235"/>
      <c r="BD235"/>
    </row>
    <row r="236" spans="14:56" s="316" customFormat="1" x14ac:dyDescent="0.35">
      <c r="N236" s="366"/>
      <c r="AB236"/>
      <c r="AC236"/>
      <c r="AD236" s="158"/>
      <c r="AE236" s="158"/>
      <c r="AF236" s="400"/>
      <c r="AG236" s="400"/>
      <c r="AH236" s="400"/>
      <c r="AI236" s="400"/>
      <c r="AJ236" s="400"/>
      <c r="AK236" s="400"/>
      <c r="AL236" s="400"/>
      <c r="AM236" s="400"/>
      <c r="AN236"/>
      <c r="AO236"/>
      <c r="AP236"/>
      <c r="AQ236"/>
      <c r="AR236"/>
      <c r="AS236"/>
      <c r="AT236"/>
      <c r="AU236"/>
      <c r="AV236"/>
      <c r="AW236"/>
      <c r="AX236"/>
      <c r="AY236"/>
      <c r="AZ236"/>
      <c r="BA236"/>
      <c r="BB236"/>
      <c r="BC236"/>
      <c r="BD236"/>
    </row>
    <row r="237" spans="14:56" s="316" customFormat="1" x14ac:dyDescent="0.35">
      <c r="N237" s="366"/>
      <c r="AB237"/>
      <c r="AC237"/>
      <c r="AD237" s="158"/>
      <c r="AE237" s="158"/>
      <c r="AF237" s="400"/>
      <c r="AG237" s="400"/>
      <c r="AH237" s="400"/>
      <c r="AI237" s="400"/>
      <c r="AJ237" s="400"/>
      <c r="AK237" s="400"/>
      <c r="AL237" s="400"/>
      <c r="AM237" s="400"/>
      <c r="AN237"/>
      <c r="AO237"/>
      <c r="AP237"/>
      <c r="AQ237"/>
      <c r="AR237"/>
      <c r="AS237"/>
      <c r="AT237"/>
      <c r="AU237"/>
      <c r="AV237"/>
      <c r="AW237"/>
      <c r="AX237"/>
      <c r="AY237"/>
      <c r="AZ237"/>
      <c r="BA237"/>
      <c r="BB237"/>
      <c r="BC237"/>
      <c r="BD237"/>
    </row>
    <row r="238" spans="14:56" s="316" customFormat="1" x14ac:dyDescent="0.35">
      <c r="N238" s="366"/>
      <c r="AB238"/>
      <c r="AC238"/>
      <c r="AD238" s="158"/>
      <c r="AE238" s="158"/>
      <c r="AF238" s="400"/>
      <c r="AG238" s="400"/>
      <c r="AH238" s="400"/>
      <c r="AI238" s="400"/>
      <c r="AJ238" s="400"/>
      <c r="AK238" s="400"/>
      <c r="AL238" s="400"/>
      <c r="AM238" s="400"/>
      <c r="AN238"/>
      <c r="AO238"/>
      <c r="AP238"/>
      <c r="AQ238"/>
      <c r="AR238"/>
      <c r="AS238"/>
      <c r="AT238"/>
      <c r="AU238"/>
      <c r="AV238"/>
      <c r="AW238"/>
      <c r="AX238"/>
      <c r="AY238"/>
      <c r="AZ238"/>
      <c r="BA238"/>
      <c r="BB238"/>
      <c r="BC238"/>
      <c r="BD238"/>
    </row>
    <row r="239" spans="14:56" s="316" customFormat="1" x14ac:dyDescent="0.35">
      <c r="N239" s="366"/>
      <c r="AB239"/>
      <c r="AC239"/>
      <c r="AD239" s="158"/>
      <c r="AE239" s="158"/>
      <c r="AF239" s="400"/>
      <c r="AG239" s="400"/>
      <c r="AH239" s="400"/>
      <c r="AI239" s="400"/>
      <c r="AJ239" s="400"/>
      <c r="AK239" s="400"/>
      <c r="AL239" s="400"/>
      <c r="AM239" s="400"/>
      <c r="AN239"/>
      <c r="AO239"/>
      <c r="AP239"/>
      <c r="AQ239"/>
      <c r="AR239"/>
      <c r="AS239"/>
      <c r="AT239"/>
      <c r="AU239"/>
      <c r="AV239"/>
      <c r="AW239"/>
      <c r="AX239"/>
      <c r="AY239"/>
      <c r="AZ239"/>
      <c r="BA239"/>
      <c r="BB239"/>
      <c r="BC239"/>
      <c r="BD239"/>
    </row>
    <row r="240" spans="14:56" s="316" customFormat="1" x14ac:dyDescent="0.35">
      <c r="N240" s="366"/>
      <c r="AB240"/>
      <c r="AC240"/>
      <c r="AD240" s="158"/>
      <c r="AE240" s="158"/>
      <c r="AF240" s="400"/>
      <c r="AG240" s="400"/>
      <c r="AH240" s="400"/>
      <c r="AI240" s="400"/>
      <c r="AJ240" s="400"/>
      <c r="AK240" s="400"/>
      <c r="AL240" s="400"/>
      <c r="AM240" s="400"/>
      <c r="AN240"/>
      <c r="AO240"/>
      <c r="AP240"/>
      <c r="AQ240"/>
      <c r="AR240"/>
      <c r="AS240"/>
      <c r="AT240"/>
      <c r="AU240"/>
      <c r="AV240"/>
      <c r="AW240"/>
      <c r="AX240"/>
      <c r="AY240"/>
      <c r="AZ240"/>
      <c r="BA240"/>
      <c r="BB240"/>
      <c r="BC240"/>
      <c r="BD240"/>
    </row>
    <row r="241" spans="1:56" s="316" customFormat="1" x14ac:dyDescent="0.35">
      <c r="N241" s="366"/>
      <c r="AB241"/>
      <c r="AC241"/>
      <c r="AD241" s="158"/>
      <c r="AE241" s="158"/>
      <c r="AF241" s="400"/>
      <c r="AG241" s="400"/>
      <c r="AH241" s="400"/>
      <c r="AI241" s="400"/>
      <c r="AJ241" s="400"/>
      <c r="AK241" s="400"/>
      <c r="AL241" s="400"/>
      <c r="AM241" s="400"/>
      <c r="AN241"/>
      <c r="AO241"/>
      <c r="AP241"/>
      <c r="AQ241"/>
      <c r="AR241"/>
      <c r="AS241"/>
      <c r="AT241"/>
      <c r="AU241"/>
      <c r="AV241"/>
      <c r="AW241"/>
      <c r="AX241"/>
      <c r="AY241"/>
      <c r="AZ241"/>
      <c r="BA241"/>
      <c r="BB241"/>
      <c r="BC241"/>
      <c r="BD241"/>
    </row>
    <row r="242" spans="1:56" s="316" customFormat="1" x14ac:dyDescent="0.35">
      <c r="N242" s="366"/>
      <c r="AB242"/>
      <c r="AC242"/>
      <c r="AD242" s="158"/>
      <c r="AE242" s="158"/>
      <c r="AF242" s="400"/>
      <c r="AG242" s="400"/>
      <c r="AH242" s="400"/>
      <c r="AI242" s="400"/>
      <c r="AJ242" s="400"/>
      <c r="AK242" s="400"/>
      <c r="AL242" s="400"/>
      <c r="AM242" s="400"/>
      <c r="AN242"/>
      <c r="AO242"/>
      <c r="AP242"/>
      <c r="AQ242"/>
      <c r="AR242"/>
      <c r="AS242"/>
      <c r="AT242"/>
      <c r="AU242"/>
      <c r="AV242"/>
      <c r="AW242"/>
      <c r="AX242"/>
      <c r="AY242"/>
      <c r="AZ242"/>
      <c r="BA242"/>
      <c r="BB242"/>
      <c r="BC242"/>
      <c r="BD242"/>
    </row>
    <row r="243" spans="1:56" s="316" customFormat="1" x14ac:dyDescent="0.35">
      <c r="N243" s="366"/>
      <c r="AB243"/>
      <c r="AC243"/>
      <c r="AD243" s="158"/>
      <c r="AE243" s="158"/>
      <c r="AF243" s="400"/>
      <c r="AG243" s="400"/>
      <c r="AH243" s="400"/>
      <c r="AI243" s="400"/>
      <c r="AJ243" s="400"/>
      <c r="AK243" s="400"/>
      <c r="AL243" s="400"/>
      <c r="AM243" s="400"/>
      <c r="AN243"/>
      <c r="AO243"/>
      <c r="AP243"/>
      <c r="AQ243"/>
      <c r="AR243"/>
      <c r="AS243"/>
      <c r="AT243"/>
      <c r="AU243"/>
      <c r="AV243"/>
      <c r="AW243"/>
      <c r="AX243"/>
      <c r="AY243"/>
      <c r="AZ243"/>
      <c r="BA243"/>
      <c r="BB243"/>
      <c r="BC243"/>
      <c r="BD243"/>
    </row>
    <row r="244" spans="1:56" s="316" customFormat="1" x14ac:dyDescent="0.35">
      <c r="N244" s="366"/>
      <c r="AB244"/>
      <c r="AC244"/>
      <c r="AD244" s="158"/>
      <c r="AE244" s="158"/>
      <c r="AF244" s="400"/>
      <c r="AG244" s="400"/>
      <c r="AH244" s="400"/>
      <c r="AI244" s="400"/>
      <c r="AJ244" s="400"/>
      <c r="AK244" s="400"/>
      <c r="AL244" s="400"/>
      <c r="AM244" s="400"/>
      <c r="AN244"/>
      <c r="AO244"/>
      <c r="AP244"/>
      <c r="AQ244"/>
      <c r="AR244"/>
      <c r="AS244"/>
      <c r="AT244"/>
      <c r="AU244"/>
      <c r="AV244"/>
      <c r="AW244"/>
      <c r="AX244"/>
      <c r="AY244"/>
      <c r="AZ244"/>
      <c r="BA244"/>
      <c r="BB244"/>
      <c r="BC244"/>
      <c r="BD244"/>
    </row>
    <row r="245" spans="1:56" x14ac:dyDescent="0.35">
      <c r="AB245"/>
      <c r="AC245"/>
      <c r="AF245" s="400"/>
      <c r="AG245" s="400"/>
      <c r="AH245" s="400"/>
      <c r="AI245" s="400"/>
      <c r="AJ245" s="400"/>
      <c r="AK245" s="400"/>
      <c r="AL245" s="400"/>
      <c r="AM245" s="400"/>
    </row>
    <row r="246" spans="1:56" ht="15.5" x14ac:dyDescent="0.35">
      <c r="A246" s="416">
        <v>6</v>
      </c>
      <c r="B246" s="35" t="s">
        <v>778</v>
      </c>
      <c r="C246" s="36"/>
      <c r="D246" s="36"/>
      <c r="E246" s="36"/>
      <c r="F246" s="8"/>
      <c r="G246" s="8"/>
      <c r="H246" s="8"/>
      <c r="I246" s="8"/>
      <c r="J246" s="8"/>
      <c r="K246" s="8"/>
      <c r="L246" s="8"/>
      <c r="M246" s="38"/>
      <c r="AB246"/>
      <c r="AC246"/>
      <c r="AF246" s="400"/>
      <c r="AG246" s="400"/>
      <c r="AH246" s="400"/>
      <c r="AI246" s="400"/>
      <c r="AJ246" s="400"/>
      <c r="AK246" s="400"/>
      <c r="AL246" s="400"/>
      <c r="AM246" s="400"/>
    </row>
    <row r="247" spans="1:56" ht="32.15" customHeight="1" x14ac:dyDescent="0.35">
      <c r="A247" s="417"/>
      <c r="B247" s="420" t="str">
        <f>IF(F3="","Average weekly gross rent (£ per week) and units","Average weekly gross rent (£ per week) and units for "&amp;$F$3&amp;", "&amp;$B$48&amp; " and England")</f>
        <v>Average weekly gross rent (£ per week) and units</v>
      </c>
      <c r="C247" s="421"/>
      <c r="D247" s="421"/>
      <c r="E247" s="421"/>
      <c r="F247" s="421"/>
      <c r="G247" s="421"/>
      <c r="H247" s="421"/>
      <c r="I247" s="421"/>
      <c r="J247" s="421"/>
      <c r="K247" s="52"/>
      <c r="L247" s="52"/>
      <c r="M247" s="39"/>
      <c r="AB247"/>
      <c r="AC247"/>
      <c r="AF247" s="400"/>
      <c r="AG247" s="400"/>
      <c r="AH247" s="400"/>
      <c r="AI247" s="400"/>
      <c r="AJ247" s="400"/>
      <c r="AK247" s="400"/>
      <c r="AL247" s="400"/>
      <c r="AM247" s="400"/>
    </row>
    <row r="248" spans="1:56" x14ac:dyDescent="0.35">
      <c r="B248" s="325" t="str">
        <f>IF(F3="","Average weekly Affordable Rent supported housing/housing for older people gross rent (£ per week)","Average weekly Affordable Rent supported housing/housing for older people gross rent (£ per week) for "&amp;$F$3&amp;", "&amp;$B$48&amp; " and England")</f>
        <v>Average weekly Affordable Rent supported housing/housing for older people gross rent (£ per week)</v>
      </c>
      <c r="C248" s="362"/>
      <c r="D248" s="65"/>
      <c r="E248" s="65"/>
      <c r="F248" s="65"/>
      <c r="G248" s="65"/>
      <c r="H248" s="65"/>
      <c r="I248" s="65"/>
      <c r="J248" s="65"/>
      <c r="K248" s="65"/>
      <c r="L248" s="65"/>
      <c r="M248" s="66"/>
      <c r="AB248"/>
      <c r="AC248"/>
      <c r="AF248" s="400"/>
      <c r="AG248" s="400"/>
      <c r="AH248" s="400"/>
      <c r="AI248" s="400"/>
      <c r="AJ248" s="400"/>
      <c r="AK248" s="400"/>
      <c r="AL248" s="400"/>
      <c r="AM248" s="400"/>
    </row>
    <row r="249" spans="1:56" x14ac:dyDescent="0.35">
      <c r="B249" s="53"/>
      <c r="C249" s="362"/>
      <c r="D249" s="324" t="s">
        <v>801</v>
      </c>
      <c r="E249" s="54">
        <v>2015</v>
      </c>
      <c r="F249" s="54">
        <v>2016</v>
      </c>
      <c r="G249" s="54">
        <v>2017</v>
      </c>
      <c r="H249" s="54">
        <v>2018</v>
      </c>
      <c r="I249" s="54">
        <v>2019</v>
      </c>
      <c r="J249" s="54">
        <v>2020</v>
      </c>
      <c r="K249" s="54">
        <v>2021</v>
      </c>
      <c r="L249" s="54">
        <v>2022</v>
      </c>
      <c r="M249" s="55">
        <v>2023</v>
      </c>
      <c r="AB249"/>
      <c r="AC249"/>
      <c r="AF249" s="400"/>
      <c r="AG249" s="400"/>
      <c r="AH249" s="400"/>
      <c r="AI249" s="400"/>
      <c r="AJ249" s="400"/>
      <c r="AK249" s="400"/>
      <c r="AL249" s="400"/>
      <c r="AM249" s="400"/>
    </row>
    <row r="250" spans="1:56" x14ac:dyDescent="0.35">
      <c r="B250" s="56">
        <f>$F$3</f>
        <v>0</v>
      </c>
      <c r="C250" s="57"/>
      <c r="D250" s="57"/>
      <c r="E250" s="239"/>
      <c r="F250" s="239"/>
      <c r="G250" s="239"/>
      <c r="H250" s="239"/>
      <c r="I250" s="239"/>
      <c r="J250" s="239"/>
      <c r="K250" s="239"/>
      <c r="L250" s="239"/>
      <c r="M250" s="240"/>
      <c r="AB250"/>
      <c r="AC250"/>
      <c r="AF250" s="400"/>
      <c r="AG250" s="400"/>
      <c r="AH250" s="400"/>
      <c r="AI250" s="400"/>
      <c r="AJ250" s="400"/>
      <c r="AK250" s="400"/>
      <c r="AL250" s="400"/>
      <c r="AM250" s="400"/>
    </row>
    <row r="251" spans="1:56" x14ac:dyDescent="0.35">
      <c r="B251" s="218" t="s">
        <v>24</v>
      </c>
      <c r="C251" s="219"/>
      <c r="D251" s="219"/>
      <c r="E251" s="352" t="str">
        <f>IFERROR(VLOOKUP($F$3,Y_1,22,0),"")</f>
        <v/>
      </c>
      <c r="F251" s="352" t="str">
        <f>IFERROR(VLOOKUP($F$3,Y_2,22,0),"")</f>
        <v/>
      </c>
      <c r="G251" s="352" t="str">
        <f>IFERROR(VLOOKUP($F$3,Y_3,22,0),"")</f>
        <v/>
      </c>
      <c r="H251" s="352" t="str">
        <f>IFERROR(VLOOKUP($F$3,Y_4,22,0),"")</f>
        <v/>
      </c>
      <c r="I251" s="352" t="str">
        <f>IFERROR(VLOOKUP($F$3,Y_5,22,0),"")</f>
        <v/>
      </c>
      <c r="J251" s="352" t="str">
        <f>IFERROR(VLOOKUP($F$3,Y_6,22,0),"")</f>
        <v/>
      </c>
      <c r="K251" s="352" t="str">
        <f>IFERROR(VLOOKUP($F$3,Y_7,22,0),"")</f>
        <v/>
      </c>
      <c r="L251" s="352" t="str">
        <f>IFERROR(VLOOKUP($F$3,Y_8,22,0),"")</f>
        <v/>
      </c>
      <c r="M251" s="353" t="str">
        <f>IFERROR(VLOOKUP($F$3,Y_9,22,0),"")</f>
        <v/>
      </c>
      <c r="AB251"/>
      <c r="AC251"/>
      <c r="AF251" s="400"/>
      <c r="AG251" s="400"/>
      <c r="AH251" s="400"/>
      <c r="AI251" s="400"/>
      <c r="AJ251" s="400"/>
      <c r="AK251" s="400"/>
      <c r="AL251" s="400"/>
      <c r="AM251" s="400"/>
    </row>
    <row r="252" spans="1:56" x14ac:dyDescent="0.35">
      <c r="B252" s="221" t="s">
        <v>21</v>
      </c>
      <c r="C252" s="222"/>
      <c r="D252" s="222"/>
      <c r="E252" s="247" t="str">
        <f>IFERROR(VLOOKUP($F$3,Y_1,23,0),"")</f>
        <v/>
      </c>
      <c r="F252" s="247" t="str">
        <f>IFERROR(VLOOKUP($F$3,Y_2,23,0),"")</f>
        <v/>
      </c>
      <c r="G252" s="247" t="str">
        <f>IFERROR(VLOOKUP($F$3,Y_3,23,0),"")</f>
        <v/>
      </c>
      <c r="H252" s="247" t="str">
        <f>IFERROR(VLOOKUP($F$3,Y_4,23,0),"")</f>
        <v/>
      </c>
      <c r="I252" s="247" t="str">
        <f>IFERROR(VLOOKUP($F$3,Y_5,23,0),"")</f>
        <v/>
      </c>
      <c r="J252" s="247" t="str">
        <f>IFERROR(VLOOKUP($F$3,Y_6,23,0),"")</f>
        <v/>
      </c>
      <c r="K252" s="247" t="str">
        <f>IFERROR(VLOOKUP($F$3,Y_7,23,0),"")</f>
        <v/>
      </c>
      <c r="L252" s="247" t="str">
        <f>IFERROR(VLOOKUP($F$3,Y_8,23,0),"")</f>
        <v/>
      </c>
      <c r="M252" s="248" t="str">
        <f>IFERROR(VLOOKUP($F$3,Y_9,23,0),"")</f>
        <v/>
      </c>
      <c r="AB252"/>
      <c r="AC252"/>
      <c r="AF252" s="400"/>
      <c r="AG252" s="400"/>
      <c r="AH252" s="400"/>
      <c r="AI252" s="400"/>
      <c r="AJ252" s="400"/>
      <c r="AK252" s="400"/>
      <c r="AL252" s="400"/>
      <c r="AM252" s="400"/>
    </row>
    <row r="253" spans="1:56" x14ac:dyDescent="0.35">
      <c r="B253" s="56" t="str">
        <f>$B$48</f>
        <v/>
      </c>
      <c r="C253" s="57"/>
      <c r="D253" s="57"/>
      <c r="E253" s="239"/>
      <c r="F253" s="239"/>
      <c r="G253" s="239"/>
      <c r="H253" s="239"/>
      <c r="I253" s="239"/>
      <c r="J253" s="239"/>
      <c r="K253" s="239"/>
      <c r="L253" s="239"/>
      <c r="M253" s="240"/>
      <c r="AB253"/>
      <c r="AC253"/>
      <c r="AF253" s="400"/>
      <c r="AG253" s="400"/>
      <c r="AH253" s="400"/>
      <c r="AI253" s="400"/>
      <c r="AJ253" s="400"/>
      <c r="AK253" s="400"/>
      <c r="AL253" s="400"/>
      <c r="AM253" s="400"/>
    </row>
    <row r="254" spans="1:56" x14ac:dyDescent="0.35">
      <c r="B254" s="218" t="s">
        <v>24</v>
      </c>
      <c r="C254" s="219"/>
      <c r="D254" s="219"/>
      <c r="E254" s="241" t="str">
        <f>IFERROR(VLOOKUP($F$4,Y_1,22,0),"")</f>
        <v/>
      </c>
      <c r="F254" s="241" t="str">
        <f>IFERROR(VLOOKUP($F$4,Y_2,22,0),"")</f>
        <v/>
      </c>
      <c r="G254" s="241" t="str">
        <f>IFERROR(VLOOKUP($F$4,Y_3,22,0),"")</f>
        <v/>
      </c>
      <c r="H254" s="241" t="str">
        <f>IFERROR(VLOOKUP($F$4,Y_4,22,0),"")</f>
        <v/>
      </c>
      <c r="I254" s="241" t="str">
        <f>IFERROR(VLOOKUP($F$4,Y_5,22,0),"")</f>
        <v/>
      </c>
      <c r="J254" s="241" t="str">
        <f>IFERROR(VLOOKUP($F$4,Y_6,22,0),"")</f>
        <v/>
      </c>
      <c r="K254" s="241" t="str">
        <f>IFERROR(VLOOKUP($F$4,Y_7,22,0),"")</f>
        <v/>
      </c>
      <c r="L254" s="241" t="str">
        <f>IFERROR(VLOOKUP($F$4,Y_8,22,0),"")</f>
        <v/>
      </c>
      <c r="M254" s="242" t="str">
        <f>IFERROR(VLOOKUP($F$4,Y_9,22,0),"")</f>
        <v/>
      </c>
      <c r="AB254"/>
      <c r="AC254"/>
      <c r="AF254" s="400"/>
      <c r="AG254" s="400"/>
      <c r="AH254" s="400"/>
      <c r="AI254" s="400"/>
      <c r="AJ254" s="400"/>
      <c r="AK254" s="400"/>
      <c r="AL254" s="400"/>
      <c r="AM254" s="400"/>
    </row>
    <row r="255" spans="1:56" x14ac:dyDescent="0.35">
      <c r="B255" s="221" t="s">
        <v>21</v>
      </c>
      <c r="C255" s="222"/>
      <c r="D255" s="222"/>
      <c r="E255" s="247" t="str">
        <f>IFERROR(VLOOKUP($F$4,Y_1,23,0),"")</f>
        <v/>
      </c>
      <c r="F255" s="247" t="str">
        <f>IFERROR(VLOOKUP($F$4,Y_2,23,0),"")</f>
        <v/>
      </c>
      <c r="G255" s="247" t="str">
        <f>IFERROR(VLOOKUP($F$4,Y_3,23,0),"")</f>
        <v/>
      </c>
      <c r="H255" s="247" t="str">
        <f>IFERROR(VLOOKUP($F$4,Y_4,23,0),"")</f>
        <v/>
      </c>
      <c r="I255" s="247" t="str">
        <f>IFERROR(VLOOKUP($F$4,Y_5,23,0),"")</f>
        <v/>
      </c>
      <c r="J255" s="247" t="str">
        <f>IFERROR(VLOOKUP($F$4,Y_6,23,0),"")</f>
        <v/>
      </c>
      <c r="K255" s="247" t="str">
        <f>IFERROR(VLOOKUP($F$4,Y_7,23,0),"")</f>
        <v/>
      </c>
      <c r="L255" s="247" t="str">
        <f>IFERROR(VLOOKUP($F$4,Y_8,23,0),"")</f>
        <v/>
      </c>
      <c r="M255" s="248" t="str">
        <f>IFERROR(VLOOKUP($F$4,Y_9,23,0),"")</f>
        <v/>
      </c>
      <c r="AB255"/>
      <c r="AC255"/>
      <c r="AF255" s="400"/>
      <c r="AG255" s="400"/>
      <c r="AH255" s="400"/>
      <c r="AI255" s="400"/>
      <c r="AJ255" s="400"/>
      <c r="AK255" s="400"/>
      <c r="AL255" s="400"/>
      <c r="AM255" s="400"/>
    </row>
    <row r="256" spans="1:56" x14ac:dyDescent="0.35">
      <c r="B256" s="56" t="s">
        <v>13</v>
      </c>
      <c r="C256" s="57"/>
      <c r="D256" s="57"/>
      <c r="E256" s="239"/>
      <c r="F256" s="239"/>
      <c r="G256" s="239"/>
      <c r="H256" s="239"/>
      <c r="I256" s="239"/>
      <c r="J256" s="239"/>
      <c r="K256" s="239"/>
      <c r="L256" s="239"/>
      <c r="M256" s="240"/>
      <c r="AB256"/>
      <c r="AC256"/>
      <c r="AF256" s="400"/>
      <c r="AG256" s="400"/>
      <c r="AH256" s="400"/>
      <c r="AI256" s="400"/>
      <c r="AJ256" s="400"/>
      <c r="AK256" s="400"/>
      <c r="AL256" s="400"/>
      <c r="AM256" s="400"/>
    </row>
    <row r="257" spans="1:56" x14ac:dyDescent="0.35">
      <c r="B257" s="218" t="s">
        <v>24</v>
      </c>
      <c r="C257" s="219"/>
      <c r="D257" s="219"/>
      <c r="E257" s="241">
        <f>IF($F$4&lt;&gt;"",VLOOKUP($B$49,Y_1,22,0),"")</f>
        <v>146.38999999999999</v>
      </c>
      <c r="F257" s="241">
        <f>IF($F$4&lt;&gt;"",VLOOKUP($B$49,Y_2,22,0),"")</f>
        <v>154.62</v>
      </c>
      <c r="G257" s="241">
        <f>IF($F$4&lt;&gt;"",VLOOKUP($B$49,Y_3,22,0),"")</f>
        <v>163.69999999999999</v>
      </c>
      <c r="H257" s="241">
        <f>IF($F$4&lt;&gt;"",VLOOKUP($B$49,Y_4,22,0),"")</f>
        <v>166.43</v>
      </c>
      <c r="I257" s="241">
        <f>IF($F$4&lt;&gt;"",VLOOKUP($B$49,Y_5,22,0),"")</f>
        <v>169.93</v>
      </c>
      <c r="J257" s="241">
        <f>IF($F$4&lt;&gt;"",VLOOKUP($B$49,Y_6,22,0),"")</f>
        <v>172.58</v>
      </c>
      <c r="K257" s="241">
        <f>IF($F$4&lt;&gt;"",VLOOKUP($B$49,Y_7,22,0),"")</f>
        <v>176.5</v>
      </c>
      <c r="L257" s="241">
        <f>IF($F$4&lt;&gt;"",VLOOKUP($B$49,Y_8,22,0),"")</f>
        <v>181.29</v>
      </c>
      <c r="M257" s="242">
        <f>IF($F$4&lt;&gt;"",VLOOKUP($B$49,Y_9,22,0),"")</f>
        <v>193.03</v>
      </c>
      <c r="AB257"/>
      <c r="AC257"/>
      <c r="AF257" s="400"/>
      <c r="AG257" s="400"/>
      <c r="AH257" s="400"/>
      <c r="AI257" s="400"/>
      <c r="AJ257" s="400"/>
      <c r="AK257" s="400"/>
      <c r="AL257" s="400"/>
      <c r="AM257" s="400"/>
    </row>
    <row r="258" spans="1:56" x14ac:dyDescent="0.35">
      <c r="B258" s="221" t="s">
        <v>21</v>
      </c>
      <c r="C258" s="222"/>
      <c r="D258" s="222"/>
      <c r="E258" s="247">
        <f>IF($F$4&lt;&gt;"",VLOOKUP($B$49,Y_1,23,0),"")</f>
        <v>5976</v>
      </c>
      <c r="F258" s="247">
        <f>IF($F$4&lt;&gt;"",VLOOKUP($B$49,Y_2,23,0),"")</f>
        <v>9582</v>
      </c>
      <c r="G258" s="247">
        <f>IF($F$4&lt;&gt;"",VLOOKUP($B$49,Y_3,23,0),"")</f>
        <v>10633</v>
      </c>
      <c r="H258" s="247">
        <f>IF($F$4&lt;&gt;"",VLOOKUP($B$49,Y_4,23,0),"")</f>
        <v>12354</v>
      </c>
      <c r="I258" s="247">
        <f>IF($F$4&lt;&gt;"",VLOOKUP($B$49,Y_5,23,0),"")</f>
        <v>13668</v>
      </c>
      <c r="J258" s="247">
        <f>IF($F$4&lt;&gt;"",VLOOKUP($B$49,Y_6,23,0),"")</f>
        <v>14553</v>
      </c>
      <c r="K258" s="247">
        <f>IF($F$4&lt;&gt;"",VLOOKUP($B$49,Y_7,23,0),"")</f>
        <v>16901</v>
      </c>
      <c r="L258" s="247">
        <f>IF($F$4&lt;&gt;"",VLOOKUP($B$49,Y_8,23,0),"")</f>
        <v>14731</v>
      </c>
      <c r="M258" s="248">
        <f>IF($F$4&lt;&gt;"",VLOOKUP($B$49,Y_9,23,0),"")</f>
        <v>15683</v>
      </c>
      <c r="AB258"/>
      <c r="AC258"/>
      <c r="AF258" s="400"/>
      <c r="AG258" s="400"/>
      <c r="AH258" s="400"/>
      <c r="AI258" s="400"/>
      <c r="AJ258" s="400"/>
      <c r="AK258" s="400"/>
      <c r="AL258" s="400"/>
      <c r="AM258" s="400"/>
    </row>
    <row r="259" spans="1:56" x14ac:dyDescent="0.35">
      <c r="B259" s="31"/>
      <c r="C259" s="32"/>
      <c r="D259" s="32"/>
      <c r="E259" s="32"/>
      <c r="F259" s="32"/>
      <c r="G259" s="32"/>
      <c r="H259" s="32"/>
      <c r="I259" s="32"/>
      <c r="J259" s="32"/>
      <c r="K259" s="32"/>
      <c r="L259" s="32"/>
      <c r="M259" s="48"/>
      <c r="AB259"/>
      <c r="AC259"/>
      <c r="AF259" s="400"/>
      <c r="AG259" s="400"/>
      <c r="AH259" s="400"/>
      <c r="AI259" s="400"/>
      <c r="AJ259" s="400"/>
      <c r="AK259" s="400"/>
      <c r="AL259" s="400"/>
      <c r="AM259" s="400"/>
    </row>
    <row r="260" spans="1:56" x14ac:dyDescent="0.35">
      <c r="B260" s="46" t="s">
        <v>805</v>
      </c>
      <c r="C260" s="47"/>
      <c r="D260" s="47"/>
      <c r="E260" s="47"/>
      <c r="M260" s="49"/>
      <c r="AB260"/>
      <c r="AC260"/>
      <c r="AF260" s="400"/>
      <c r="AG260" s="400"/>
      <c r="AH260" s="400"/>
      <c r="AI260" s="400"/>
      <c r="AJ260" s="400"/>
      <c r="AK260" s="400"/>
      <c r="AL260" s="400"/>
      <c r="AM260" s="400"/>
    </row>
    <row r="261" spans="1:56" x14ac:dyDescent="0.35">
      <c r="B261" s="33"/>
      <c r="C261" s="34"/>
      <c r="D261" s="34"/>
      <c r="E261" s="34"/>
      <c r="F261" s="34"/>
      <c r="G261" s="34"/>
      <c r="H261" s="34"/>
      <c r="I261" s="34"/>
      <c r="J261" s="34"/>
      <c r="K261" s="34"/>
      <c r="L261" s="34"/>
      <c r="M261" s="64"/>
      <c r="AB261"/>
      <c r="AC261"/>
      <c r="AF261" s="400"/>
      <c r="AG261" s="400"/>
      <c r="AH261" s="400"/>
      <c r="AI261" s="400"/>
      <c r="AJ261" s="400"/>
      <c r="AK261" s="400"/>
      <c r="AL261" s="400"/>
      <c r="AM261" s="400"/>
    </row>
    <row r="262" spans="1:56" x14ac:dyDescent="0.35">
      <c r="AB262"/>
      <c r="AC262"/>
      <c r="AF262" s="400"/>
      <c r="AG262" s="400"/>
      <c r="AH262" s="400"/>
      <c r="AI262" s="400"/>
      <c r="AJ262" s="400"/>
      <c r="AK262" s="400"/>
      <c r="AL262" s="400"/>
      <c r="AM262" s="400"/>
    </row>
    <row r="263" spans="1:56" s="316" customFormat="1" x14ac:dyDescent="0.35">
      <c r="A263" s="407">
        <v>7</v>
      </c>
      <c r="N263" s="366"/>
      <c r="AB263"/>
      <c r="AC263"/>
      <c r="AD263" s="158"/>
      <c r="AE263" s="158"/>
      <c r="AF263" s="400"/>
      <c r="AG263" s="400"/>
      <c r="AH263" s="400"/>
      <c r="AI263" s="400"/>
      <c r="AJ263" s="400"/>
      <c r="AK263" s="400"/>
      <c r="AL263" s="400"/>
      <c r="AM263" s="400"/>
      <c r="AN263"/>
      <c r="AO263"/>
      <c r="AP263"/>
      <c r="AQ263"/>
      <c r="AR263"/>
      <c r="AS263"/>
      <c r="AT263"/>
      <c r="AU263"/>
      <c r="AV263"/>
      <c r="AW263"/>
      <c r="AX263"/>
      <c r="AY263"/>
      <c r="AZ263"/>
      <c r="BA263"/>
      <c r="BB263"/>
      <c r="BC263"/>
      <c r="BD263"/>
    </row>
    <row r="264" spans="1:56" s="316" customFormat="1" x14ac:dyDescent="0.35">
      <c r="A264" s="408"/>
      <c r="N264" s="366"/>
      <c r="AB264"/>
      <c r="AC264"/>
      <c r="AD264" s="158"/>
      <c r="AE264" s="158"/>
      <c r="AF264" s="400"/>
      <c r="AG264" s="400"/>
      <c r="AH264" s="400"/>
      <c r="AI264" s="400"/>
      <c r="AJ264" s="400"/>
      <c r="AK264" s="400"/>
      <c r="AL264" s="400"/>
      <c r="AM264" s="400"/>
      <c r="AN264"/>
      <c r="AO264"/>
      <c r="AP264"/>
      <c r="AQ264"/>
      <c r="AR264"/>
      <c r="AS264"/>
      <c r="AT264"/>
      <c r="AU264"/>
      <c r="AV264"/>
      <c r="AW264"/>
      <c r="AX264"/>
      <c r="AY264"/>
      <c r="AZ264"/>
      <c r="BA264"/>
      <c r="BB264"/>
      <c r="BC264"/>
      <c r="BD264"/>
    </row>
    <row r="265" spans="1:56" s="316" customFormat="1" x14ac:dyDescent="0.35">
      <c r="N265" s="366"/>
      <c r="AB265"/>
      <c r="AC265"/>
      <c r="AD265" s="158"/>
      <c r="AE265" s="158"/>
      <c r="AF265" s="400"/>
      <c r="AG265" s="400"/>
      <c r="AH265" s="400"/>
      <c r="AI265" s="400"/>
      <c r="AJ265" s="400"/>
      <c r="AK265" s="400"/>
      <c r="AL265" s="400"/>
      <c r="AM265" s="400"/>
      <c r="AN265"/>
      <c r="AO265"/>
      <c r="AP265"/>
      <c r="AQ265"/>
      <c r="AR265"/>
      <c r="AS265"/>
      <c r="AT265"/>
      <c r="AU265"/>
      <c r="AV265"/>
      <c r="AW265"/>
      <c r="AX265"/>
      <c r="AY265"/>
      <c r="AZ265"/>
      <c r="BA265"/>
      <c r="BB265"/>
      <c r="BC265"/>
      <c r="BD265"/>
    </row>
    <row r="266" spans="1:56" s="316" customFormat="1" x14ac:dyDescent="0.35">
      <c r="N266" s="366"/>
      <c r="AB266"/>
      <c r="AC266"/>
      <c r="AD266" s="158"/>
      <c r="AE266" s="158"/>
      <c r="AF266" s="400"/>
      <c r="AG266" s="400"/>
      <c r="AH266" s="400"/>
      <c r="AI266" s="400"/>
      <c r="AJ266" s="400"/>
      <c r="AK266" s="400"/>
      <c r="AL266" s="400"/>
      <c r="AM266" s="400"/>
      <c r="AN266"/>
      <c r="AO266"/>
      <c r="AP266"/>
      <c r="AQ266"/>
      <c r="AR266"/>
      <c r="AS266"/>
      <c r="AT266"/>
      <c r="AU266"/>
      <c r="AV266"/>
      <c r="AW266"/>
      <c r="AX266"/>
      <c r="AY266"/>
      <c r="AZ266"/>
      <c r="BA266"/>
      <c r="BB266"/>
      <c r="BC266"/>
      <c r="BD266"/>
    </row>
    <row r="267" spans="1:56" s="316" customFormat="1" x14ac:dyDescent="0.35">
      <c r="N267" s="366"/>
      <c r="AB267"/>
      <c r="AC267"/>
      <c r="AD267" s="158"/>
      <c r="AE267" s="158"/>
      <c r="AF267" s="400"/>
      <c r="AG267" s="400"/>
      <c r="AH267" s="400"/>
      <c r="AI267" s="400"/>
      <c r="AJ267" s="400"/>
      <c r="AK267" s="400"/>
      <c r="AL267" s="400"/>
      <c r="AM267" s="400"/>
      <c r="AN267"/>
      <c r="AO267"/>
      <c r="AP267"/>
      <c r="AQ267"/>
      <c r="AR267"/>
      <c r="AS267"/>
      <c r="AT267"/>
      <c r="AU267"/>
      <c r="AV267"/>
      <c r="AW267"/>
      <c r="AX267"/>
      <c r="AY267"/>
      <c r="AZ267"/>
      <c r="BA267"/>
      <c r="BB267"/>
      <c r="BC267"/>
      <c r="BD267"/>
    </row>
    <row r="268" spans="1:56" s="316" customFormat="1" x14ac:dyDescent="0.35">
      <c r="N268" s="366"/>
      <c r="AB268"/>
      <c r="AC268"/>
      <c r="AD268" s="158"/>
      <c r="AE268" s="158"/>
      <c r="AF268" s="400"/>
      <c r="AG268" s="400"/>
      <c r="AH268" s="400"/>
      <c r="AI268" s="400"/>
      <c r="AJ268" s="400"/>
      <c r="AK268" s="400"/>
      <c r="AL268" s="400"/>
      <c r="AM268" s="400"/>
      <c r="AN268"/>
      <c r="AO268"/>
      <c r="AP268"/>
      <c r="AQ268"/>
      <c r="AR268"/>
      <c r="AS268"/>
      <c r="AT268"/>
      <c r="AU268"/>
      <c r="AV268"/>
      <c r="AW268"/>
      <c r="AX268"/>
      <c r="AY268"/>
      <c r="AZ268"/>
      <c r="BA268"/>
      <c r="BB268"/>
      <c r="BC268"/>
      <c r="BD268"/>
    </row>
    <row r="269" spans="1:56" s="316" customFormat="1" x14ac:dyDescent="0.35">
      <c r="N269" s="366"/>
      <c r="AB269"/>
      <c r="AC269"/>
      <c r="AD269" s="158"/>
      <c r="AE269" s="158"/>
      <c r="AF269" s="400"/>
      <c r="AG269" s="400"/>
      <c r="AH269" s="400"/>
      <c r="AI269" s="400"/>
      <c r="AJ269" s="400"/>
      <c r="AK269" s="400"/>
      <c r="AL269" s="400"/>
      <c r="AM269" s="400"/>
      <c r="AN269"/>
      <c r="AO269"/>
      <c r="AP269"/>
      <c r="AQ269"/>
      <c r="AR269"/>
      <c r="AS269"/>
      <c r="AT269"/>
      <c r="AU269"/>
      <c r="AV269"/>
      <c r="AW269"/>
      <c r="AX269"/>
      <c r="AY269"/>
      <c r="AZ269"/>
      <c r="BA269"/>
      <c r="BB269"/>
      <c r="BC269"/>
      <c r="BD269"/>
    </row>
    <row r="270" spans="1:56" s="316" customFormat="1" x14ac:dyDescent="0.35">
      <c r="N270" s="366"/>
      <c r="AB270"/>
      <c r="AC270"/>
      <c r="AD270" s="158"/>
      <c r="AE270" s="158"/>
      <c r="AF270" s="400"/>
      <c r="AG270" s="400"/>
      <c r="AH270" s="400"/>
      <c r="AI270" s="400"/>
      <c r="AJ270" s="400"/>
      <c r="AK270" s="400"/>
      <c r="AL270" s="400"/>
      <c r="AM270" s="400"/>
      <c r="AN270"/>
      <c r="AO270"/>
      <c r="AP270"/>
      <c r="AQ270"/>
      <c r="AR270"/>
      <c r="AS270"/>
      <c r="AT270"/>
      <c r="AU270"/>
      <c r="AV270"/>
      <c r="AW270"/>
      <c r="AX270"/>
      <c r="AY270"/>
      <c r="AZ270"/>
      <c r="BA270"/>
      <c r="BB270"/>
      <c r="BC270"/>
      <c r="BD270"/>
    </row>
    <row r="271" spans="1:56" s="316" customFormat="1" x14ac:dyDescent="0.35">
      <c r="N271" s="366"/>
      <c r="Q271" s="369" t="s">
        <v>709</v>
      </c>
      <c r="R271" s="367"/>
      <c r="S271" s="367"/>
      <c r="T271" s="367"/>
      <c r="U271" s="367"/>
      <c r="V271" s="367"/>
      <c r="W271" s="367"/>
      <c r="X271" s="367"/>
      <c r="Y271" s="367"/>
      <c r="Z271" s="367"/>
      <c r="AB271"/>
      <c r="AC271"/>
      <c r="AD271" s="158"/>
      <c r="AE271" s="158"/>
      <c r="AF271" s="400"/>
      <c r="AG271" s="400"/>
      <c r="AH271" s="400"/>
      <c r="AI271" s="400"/>
      <c r="AJ271" s="400"/>
      <c r="AK271" s="400"/>
      <c r="AL271" s="400"/>
      <c r="AM271" s="400"/>
      <c r="AN271"/>
      <c r="AO271"/>
      <c r="AP271"/>
      <c r="AQ271"/>
      <c r="AR271"/>
      <c r="AS271"/>
      <c r="AT271"/>
      <c r="AU271"/>
      <c r="AV271"/>
      <c r="AW271"/>
      <c r="AX271"/>
      <c r="AY271"/>
      <c r="AZ271"/>
      <c r="BA271"/>
      <c r="BB271"/>
      <c r="BC271"/>
      <c r="BD271"/>
    </row>
    <row r="272" spans="1:56" s="316" customFormat="1" x14ac:dyDescent="0.35">
      <c r="N272" s="366"/>
      <c r="Q272" s="370"/>
      <c r="R272" s="371">
        <v>2015</v>
      </c>
      <c r="S272" s="371">
        <v>2016</v>
      </c>
      <c r="T272" s="372">
        <v>2017</v>
      </c>
      <c r="U272" s="372">
        <v>2018</v>
      </c>
      <c r="V272" s="372">
        <v>2019</v>
      </c>
      <c r="W272" s="372">
        <v>2020</v>
      </c>
      <c r="X272" s="372">
        <v>2021</v>
      </c>
      <c r="Y272" s="372">
        <v>2022</v>
      </c>
      <c r="Z272" s="372">
        <v>2023</v>
      </c>
      <c r="AB272"/>
      <c r="AC272"/>
      <c r="AD272" s="158"/>
      <c r="AE272" s="158"/>
      <c r="AF272" s="400"/>
      <c r="AG272" s="400"/>
      <c r="AH272" s="400"/>
      <c r="AI272" s="400"/>
      <c r="AJ272" s="400"/>
      <c r="AK272" s="400"/>
      <c r="AL272" s="400"/>
      <c r="AM272" s="400"/>
      <c r="AN272"/>
      <c r="AO272"/>
      <c r="AP272"/>
      <c r="AQ272"/>
      <c r="AR272"/>
      <c r="AS272"/>
      <c r="AT272"/>
      <c r="AU272"/>
      <c r="AV272"/>
      <c r="AW272"/>
      <c r="AX272"/>
      <c r="AY272"/>
      <c r="AZ272"/>
      <c r="BA272"/>
      <c r="BB272"/>
      <c r="BC272"/>
      <c r="BD272"/>
    </row>
    <row r="273" spans="14:56" s="316" customFormat="1" x14ac:dyDescent="0.35">
      <c r="N273" s="366"/>
      <c r="Q273" s="373" t="s">
        <v>26</v>
      </c>
      <c r="R273" s="157" t="e">
        <f>'PRP LA trend tool 2015-23'!$E$294/SUM('PRP LA trend tool 2015-23'!$E$294:$E$298)</f>
        <v>#VALUE!</v>
      </c>
      <c r="S273" s="157" t="e">
        <f>'PRP LA trend tool 2015-23'!$F$294/SUM('PRP LA trend tool 2015-23'!$F$294:$F$298)</f>
        <v>#VALUE!</v>
      </c>
      <c r="T273" s="157" t="e">
        <f>'PRP LA trend tool 2015-23'!$G$294/SUM('PRP LA trend tool 2015-23'!$G$294:$G$298)</f>
        <v>#VALUE!</v>
      </c>
      <c r="U273" s="157" t="e">
        <f>'PRP LA trend tool 2015-23'!$H$294/SUM('PRP LA trend tool 2015-23'!$H$294:$H$298)</f>
        <v>#VALUE!</v>
      </c>
      <c r="V273" s="157" t="e">
        <f>'PRP LA trend tool 2015-23'!$I$294/SUM('PRP LA trend tool 2015-23'!$I$294:$I$298)</f>
        <v>#VALUE!</v>
      </c>
      <c r="W273" s="157" t="e">
        <f>'PRP LA trend tool 2015-23'!$J$294/SUM('PRP LA trend tool 2015-23'!$J$294:$J$298)</f>
        <v>#VALUE!</v>
      </c>
      <c r="X273" s="157" t="e">
        <f>'PRP LA trend tool 2015-23'!$K$294/SUM('PRP LA trend tool 2015-23'!$K$294:$K$298)</f>
        <v>#VALUE!</v>
      </c>
      <c r="Y273" s="157" t="e">
        <f>'PRP LA trend tool 2015-23'!$L$294/SUM('PRP LA trend tool 2015-23'!$L$294:$L$298)</f>
        <v>#VALUE!</v>
      </c>
      <c r="Z273" s="157" t="e">
        <f>'PRP LA trend tool 2015-23'!$M$294/SUM('PRP LA trend tool 2015-23'!$M$294:$M$298)</f>
        <v>#VALUE!</v>
      </c>
      <c r="AB273"/>
      <c r="AC273"/>
      <c r="AD273" s="158"/>
      <c r="AE273" s="158"/>
      <c r="AF273" s="400"/>
      <c r="AG273" s="400"/>
      <c r="AH273" s="400"/>
      <c r="AI273" s="400"/>
      <c r="AJ273" s="400"/>
      <c r="AK273" s="400"/>
      <c r="AL273" s="400"/>
      <c r="AM273" s="400"/>
      <c r="AN273"/>
      <c r="AO273"/>
      <c r="AP273"/>
      <c r="AQ273"/>
      <c r="AR273"/>
      <c r="AS273"/>
      <c r="AT273"/>
      <c r="AU273"/>
      <c r="AV273"/>
      <c r="AW273"/>
      <c r="AX273"/>
      <c r="AY273"/>
      <c r="AZ273"/>
      <c r="BA273"/>
      <c r="BB273"/>
      <c r="BC273"/>
      <c r="BD273"/>
    </row>
    <row r="274" spans="14:56" s="316" customFormat="1" x14ac:dyDescent="0.35">
      <c r="N274" s="366"/>
      <c r="Q274" s="373" t="s">
        <v>27</v>
      </c>
      <c r="R274" s="157" t="e">
        <f>'PRP LA trend tool 2015-23'!$E$295/SUM('PRP LA trend tool 2015-23'!$E$294:$E$298)</f>
        <v>#VALUE!</v>
      </c>
      <c r="S274" s="157" t="e">
        <f>'PRP LA trend tool 2015-23'!$F$295/SUM('PRP LA trend tool 2015-23'!$F$294:$F$298)</f>
        <v>#VALUE!</v>
      </c>
      <c r="T274" s="157" t="e">
        <f>'PRP LA trend tool 2015-23'!$G$295/SUM('PRP LA trend tool 2015-23'!$G$294:$G$298)</f>
        <v>#VALUE!</v>
      </c>
      <c r="U274" s="157" t="e">
        <f>'PRP LA trend tool 2015-23'!$H$295/SUM('PRP LA trend tool 2015-23'!$H$294:$H$298)</f>
        <v>#VALUE!</v>
      </c>
      <c r="V274" s="157" t="e">
        <f>'PRP LA trend tool 2015-23'!$I$295/SUM('PRP LA trend tool 2015-23'!$I$294:$I$298)</f>
        <v>#VALUE!</v>
      </c>
      <c r="W274" s="157" t="e">
        <f>'PRP LA trend tool 2015-23'!$J$295/SUM('PRP LA trend tool 2015-23'!$J$294:$J$298)</f>
        <v>#VALUE!</v>
      </c>
      <c r="X274" s="157" t="e">
        <f>'PRP LA trend tool 2015-23'!$K$295/SUM('PRP LA trend tool 2015-23'!$K$294:$K$298)</f>
        <v>#VALUE!</v>
      </c>
      <c r="Y274" s="157" t="e">
        <f>'PRP LA trend tool 2015-23'!$L$295/SUM('PRP LA trend tool 2015-23'!$L$294:$L$298)</f>
        <v>#VALUE!</v>
      </c>
      <c r="Z274" s="157" t="e">
        <f>'PRP LA trend tool 2015-23'!$M$295/SUM('PRP LA trend tool 2015-23'!$M$294:$M$298)</f>
        <v>#VALUE!</v>
      </c>
      <c r="AB274"/>
      <c r="AC274"/>
      <c r="AD274" s="158"/>
      <c r="AE274" s="158"/>
      <c r="AF274" s="400"/>
      <c r="AG274" s="400"/>
      <c r="AH274" s="400"/>
      <c r="AI274" s="400"/>
      <c r="AJ274" s="400"/>
      <c r="AK274" s="400"/>
      <c r="AL274" s="400"/>
      <c r="AM274" s="400"/>
      <c r="AN274"/>
      <c r="AO274"/>
      <c r="AP274"/>
      <c r="AQ274"/>
      <c r="AR274"/>
      <c r="AS274"/>
      <c r="AT274"/>
      <c r="AU274"/>
      <c r="AV274"/>
      <c r="AW274"/>
      <c r="AX274"/>
      <c r="AY274"/>
      <c r="AZ274"/>
      <c r="BA274"/>
      <c r="BB274"/>
      <c r="BC274"/>
      <c r="BD274"/>
    </row>
    <row r="275" spans="14:56" s="316" customFormat="1" x14ac:dyDescent="0.35">
      <c r="N275" s="366"/>
      <c r="Q275" s="373" t="s">
        <v>28</v>
      </c>
      <c r="R275" s="157" t="e">
        <f>'PRP LA trend tool 2015-23'!$E$296/SUM('PRP LA trend tool 2015-23'!$E$294:$E$298)</f>
        <v>#VALUE!</v>
      </c>
      <c r="S275" s="157" t="e">
        <f>'PRP LA trend tool 2015-23'!$F$296/SUM('PRP LA trend tool 2015-23'!$F$294:$F$298)</f>
        <v>#VALUE!</v>
      </c>
      <c r="T275" s="157" t="e">
        <f>'PRP LA trend tool 2015-23'!$G$296/SUM('PRP LA trend tool 2015-23'!$G$294:$G$298)</f>
        <v>#VALUE!</v>
      </c>
      <c r="U275" s="157" t="e">
        <f>'PRP LA trend tool 2015-23'!$H$296/SUM('PRP LA trend tool 2015-23'!$H$294:$H$298)</f>
        <v>#VALUE!</v>
      </c>
      <c r="V275" s="157" t="e">
        <f>'PRP LA trend tool 2015-23'!$I$296/SUM('PRP LA trend tool 2015-23'!$I$294:$I$298)</f>
        <v>#VALUE!</v>
      </c>
      <c r="W275" s="157" t="e">
        <f>'PRP LA trend tool 2015-23'!$J$296/SUM('PRP LA trend tool 2015-23'!$J$294:$J$298)</f>
        <v>#VALUE!</v>
      </c>
      <c r="X275" s="157" t="e">
        <f>'PRP LA trend tool 2015-23'!$K$296/SUM('PRP LA trend tool 2015-23'!$K$294:$K$298)</f>
        <v>#VALUE!</v>
      </c>
      <c r="Y275" s="157" t="e">
        <f>'PRP LA trend tool 2015-23'!$L$296/SUM('PRP LA trend tool 2015-23'!$L$294:$L$298)</f>
        <v>#VALUE!</v>
      </c>
      <c r="Z275" s="157" t="e">
        <f>'PRP LA trend tool 2015-23'!$M$296/SUM('PRP LA trend tool 2015-23'!$M$294:$M$298)</f>
        <v>#VALUE!</v>
      </c>
      <c r="AB275"/>
      <c r="AC275"/>
      <c r="AD275" s="158"/>
      <c r="AE275" s="158"/>
      <c r="AF275" s="400"/>
      <c r="AG275" s="400"/>
      <c r="AH275" s="400"/>
      <c r="AI275" s="400"/>
      <c r="AJ275" s="400"/>
      <c r="AK275" s="400"/>
      <c r="AL275" s="400"/>
      <c r="AM275" s="400"/>
      <c r="AN275"/>
      <c r="AO275"/>
      <c r="AP275"/>
      <c r="AQ275"/>
      <c r="AR275"/>
      <c r="AS275"/>
      <c r="AT275"/>
      <c r="AU275"/>
      <c r="AV275"/>
      <c r="AW275"/>
      <c r="AX275"/>
      <c r="AY275"/>
      <c r="AZ275"/>
      <c r="BA275"/>
      <c r="BB275"/>
      <c r="BC275"/>
      <c r="BD275"/>
    </row>
    <row r="276" spans="14:56" s="316" customFormat="1" x14ac:dyDescent="0.35">
      <c r="N276" s="366"/>
      <c r="Q276" s="373" t="s">
        <v>817</v>
      </c>
      <c r="R276" s="157" t="e">
        <f>'PRP LA trend tool 2015-23'!$E$297/SUM('PRP LA trend tool 2015-23'!$E$294:$E$298)</f>
        <v>#VALUE!</v>
      </c>
      <c r="S276" s="157" t="e">
        <f>'PRP LA trend tool 2015-23'!$F$297/SUM('PRP LA trend tool 2015-23'!$F$294:$F$298)</f>
        <v>#VALUE!</v>
      </c>
      <c r="T276" s="157" t="e">
        <f>'PRP LA trend tool 2015-23'!$G$297/SUM('PRP LA trend tool 2015-23'!$G$294:$G$298)</f>
        <v>#VALUE!</v>
      </c>
      <c r="U276" s="157" t="e">
        <f>'PRP LA trend tool 2015-23'!$H$297/SUM('PRP LA trend tool 2015-23'!$H$294:$H$298)</f>
        <v>#VALUE!</v>
      </c>
      <c r="V276" s="157" t="e">
        <f>'PRP LA trend tool 2015-23'!$I$297/SUM('PRP LA trend tool 2015-23'!$I$294:$I$298)</f>
        <v>#VALUE!</v>
      </c>
      <c r="W276" s="157" t="e">
        <f>'PRP LA trend tool 2015-23'!$J$297/SUM('PRP LA trend tool 2015-23'!$J$294:$J$298)</f>
        <v>#VALUE!</v>
      </c>
      <c r="X276" s="157" t="e">
        <f>'PRP LA trend tool 2015-23'!$K$297/SUM('PRP LA trend tool 2015-23'!$K$294:$K$298)</f>
        <v>#VALUE!</v>
      </c>
      <c r="Y276" s="157" t="e">
        <f>'PRP LA trend tool 2015-23'!$L$297/SUM('PRP LA trend tool 2015-23'!$L$294:$L$298)</f>
        <v>#VALUE!</v>
      </c>
      <c r="Z276" s="157" t="e">
        <f>'PRP LA trend tool 2015-23'!$M$297/SUM('PRP LA trend tool 2015-23'!$M$294:$M$298)</f>
        <v>#VALUE!</v>
      </c>
      <c r="AB276"/>
      <c r="AC276"/>
      <c r="AD276" s="158"/>
      <c r="AE276" s="158"/>
      <c r="AF276" s="400"/>
      <c r="AG276" s="400"/>
      <c r="AH276" s="400"/>
      <c r="AI276" s="400"/>
      <c r="AJ276" s="400"/>
      <c r="AK276" s="400"/>
      <c r="AL276" s="400"/>
      <c r="AM276" s="400"/>
      <c r="AN276"/>
      <c r="AO276"/>
      <c r="AP276"/>
      <c r="AQ276"/>
      <c r="AR276"/>
      <c r="AS276"/>
      <c r="AT276"/>
      <c r="AU276"/>
      <c r="AV276"/>
      <c r="AW276"/>
      <c r="AX276"/>
      <c r="AY276"/>
      <c r="AZ276"/>
      <c r="BA276"/>
      <c r="BB276"/>
      <c r="BC276"/>
      <c r="BD276"/>
    </row>
    <row r="277" spans="14:56" s="316" customFormat="1" x14ac:dyDescent="0.35">
      <c r="N277" s="366"/>
      <c r="Q277" s="373" t="s">
        <v>818</v>
      </c>
      <c r="R277" s="157" t="e">
        <f>'PRP LA trend tool 2015-23'!$E$298/SUM('PRP LA trend tool 2015-23'!$E$294:$E$298)</f>
        <v>#VALUE!</v>
      </c>
      <c r="S277" s="157" t="e">
        <f>'PRP LA trend tool 2015-23'!$F$298/SUM('PRP LA trend tool 2015-23'!$F$294:$F$298)</f>
        <v>#VALUE!</v>
      </c>
      <c r="T277" s="157" t="e">
        <f>'PRP LA trend tool 2015-23'!$G$298/SUM('PRP LA trend tool 2015-23'!$G$294:$G$298)</f>
        <v>#VALUE!</v>
      </c>
      <c r="U277" s="157" t="e">
        <f>'PRP LA trend tool 2015-23'!$H$298/SUM('PRP LA trend tool 2015-23'!$H$294:$H$298)</f>
        <v>#VALUE!</v>
      </c>
      <c r="V277" s="157" t="e">
        <f>'PRP LA trend tool 2015-23'!$I$298/SUM('PRP LA trend tool 2015-23'!$I$294:$I$298)</f>
        <v>#VALUE!</v>
      </c>
      <c r="W277" s="157" t="e">
        <f>'PRP LA trend tool 2015-23'!$J$298/SUM('PRP LA trend tool 2015-23'!$J$294:$J$298)</f>
        <v>#VALUE!</v>
      </c>
      <c r="X277" s="157" t="e">
        <f>'PRP LA trend tool 2015-23'!$K$298/SUM('PRP LA trend tool 2015-23'!$K$294:$K$298)</f>
        <v>#VALUE!</v>
      </c>
      <c r="Y277" s="157" t="e">
        <f>'PRP LA trend tool 2015-23'!$L$298/SUM('PRP LA trend tool 2015-23'!$L$294:$L$298)</f>
        <v>#VALUE!</v>
      </c>
      <c r="Z277" s="157" t="e">
        <f>'PRP LA trend tool 2015-23'!$M$298/SUM('PRP LA trend tool 2015-23'!$M$294:$M$298)</f>
        <v>#VALUE!</v>
      </c>
      <c r="AB277"/>
      <c r="AC277"/>
      <c r="AD277" s="158"/>
      <c r="AE277" s="158"/>
      <c r="AF277" s="400"/>
      <c r="AG277" s="400"/>
      <c r="AH277" s="400"/>
      <c r="AI277" s="400"/>
      <c r="AJ277" s="400"/>
      <c r="AK277" s="400"/>
      <c r="AL277" s="400"/>
      <c r="AM277" s="400"/>
      <c r="AN277"/>
      <c r="AO277"/>
      <c r="AP277"/>
      <c r="AQ277"/>
      <c r="AR277"/>
      <c r="AS277"/>
      <c r="AT277"/>
      <c r="AU277"/>
      <c r="AV277"/>
      <c r="AW277"/>
      <c r="AX277"/>
      <c r="AY277"/>
      <c r="AZ277"/>
      <c r="BA277"/>
      <c r="BB277"/>
      <c r="BC277"/>
      <c r="BD277"/>
    </row>
    <row r="278" spans="14:56" s="316" customFormat="1" x14ac:dyDescent="0.35">
      <c r="N278" s="366"/>
      <c r="Q278" s="373" t="s">
        <v>708</v>
      </c>
      <c r="R278" s="374" t="e">
        <f t="shared" ref="R278:X278" si="12">SUM(R273:R277)</f>
        <v>#VALUE!</v>
      </c>
      <c r="S278" s="374" t="e">
        <f t="shared" si="12"/>
        <v>#VALUE!</v>
      </c>
      <c r="T278" s="374" t="e">
        <f t="shared" si="12"/>
        <v>#VALUE!</v>
      </c>
      <c r="U278" s="374" t="e">
        <f t="shared" si="12"/>
        <v>#VALUE!</v>
      </c>
      <c r="V278" s="374" t="e">
        <f t="shared" si="12"/>
        <v>#VALUE!</v>
      </c>
      <c r="W278" s="374" t="e">
        <f t="shared" si="12"/>
        <v>#VALUE!</v>
      </c>
      <c r="X278" s="374" t="e">
        <f t="shared" si="12"/>
        <v>#VALUE!</v>
      </c>
      <c r="Y278" s="374" t="e">
        <f t="shared" ref="Y278" si="13">SUM(Y273:Y277)</f>
        <v>#VALUE!</v>
      </c>
      <c r="Z278" s="374" t="e">
        <f t="shared" ref="Z278" si="14">SUM(Z273:Z277)</f>
        <v>#VALUE!</v>
      </c>
      <c r="AB278"/>
      <c r="AC278"/>
      <c r="AD278" s="158"/>
      <c r="AE278" s="158"/>
      <c r="AF278" s="400"/>
      <c r="AG278" s="400"/>
      <c r="AH278" s="400"/>
      <c r="AI278" s="400"/>
      <c r="AJ278" s="400"/>
      <c r="AK278" s="400"/>
      <c r="AL278" s="400"/>
      <c r="AM278" s="400"/>
      <c r="AN278"/>
      <c r="AO278"/>
      <c r="AP278"/>
      <c r="AQ278"/>
      <c r="AR278"/>
      <c r="AS278"/>
      <c r="AT278"/>
      <c r="AU278"/>
      <c r="AV278"/>
      <c r="AW278"/>
      <c r="AX278"/>
      <c r="AY278"/>
      <c r="AZ278"/>
      <c r="BA278"/>
      <c r="BB278"/>
      <c r="BC278"/>
      <c r="BD278"/>
    </row>
    <row r="279" spans="14:56" s="316" customFormat="1" x14ac:dyDescent="0.35">
      <c r="N279" s="366"/>
      <c r="AB279"/>
      <c r="AC279"/>
      <c r="AD279" s="158"/>
      <c r="AE279" s="158"/>
      <c r="AF279" s="400"/>
      <c r="AG279" s="400"/>
      <c r="AH279" s="400"/>
      <c r="AI279" s="400"/>
      <c r="AJ279" s="400"/>
      <c r="AK279" s="400"/>
      <c r="AL279" s="400"/>
      <c r="AM279" s="400"/>
      <c r="AN279"/>
      <c r="AO279"/>
      <c r="AP279"/>
      <c r="AQ279"/>
      <c r="AR279"/>
      <c r="AS279"/>
      <c r="AT279"/>
      <c r="AU279"/>
      <c r="AV279"/>
      <c r="AW279"/>
      <c r="AX279"/>
      <c r="AY279"/>
      <c r="AZ279"/>
      <c r="BA279"/>
      <c r="BB279"/>
      <c r="BC279"/>
      <c r="BD279"/>
    </row>
    <row r="280" spans="14:56" s="316" customFormat="1" x14ac:dyDescent="0.35">
      <c r="N280" s="366"/>
      <c r="AB280"/>
      <c r="AC280"/>
      <c r="AD280" s="158"/>
      <c r="AE280" s="158"/>
      <c r="AF280" s="400"/>
      <c r="AG280" s="400"/>
      <c r="AH280" s="400"/>
      <c r="AI280" s="400"/>
      <c r="AJ280" s="400"/>
      <c r="AK280" s="400"/>
      <c r="AL280" s="400"/>
      <c r="AM280" s="400"/>
      <c r="AN280"/>
      <c r="AO280"/>
      <c r="AP280"/>
      <c r="AQ280"/>
      <c r="AR280"/>
      <c r="AS280"/>
      <c r="AT280"/>
      <c r="AU280"/>
      <c r="AV280"/>
      <c r="AW280"/>
      <c r="AX280"/>
      <c r="AY280"/>
      <c r="AZ280"/>
      <c r="BA280"/>
      <c r="BB280"/>
      <c r="BC280"/>
      <c r="BD280"/>
    </row>
    <row r="281" spans="14:56" s="316" customFormat="1" x14ac:dyDescent="0.35">
      <c r="N281" s="366"/>
      <c r="AB281"/>
      <c r="AC281"/>
      <c r="AD281" s="158"/>
      <c r="AE281" s="158"/>
      <c r="AF281" s="400"/>
      <c r="AG281" s="400"/>
      <c r="AH281" s="400"/>
      <c r="AI281" s="400"/>
      <c r="AJ281" s="400"/>
      <c r="AK281" s="400"/>
      <c r="AL281" s="400"/>
      <c r="AM281" s="400"/>
      <c r="AN281"/>
      <c r="AO281"/>
      <c r="AP281"/>
      <c r="AQ281"/>
      <c r="AR281"/>
      <c r="AS281"/>
      <c r="AT281"/>
      <c r="AU281"/>
      <c r="AV281"/>
      <c r="AW281"/>
      <c r="AX281"/>
      <c r="AY281"/>
      <c r="AZ281"/>
      <c r="BA281"/>
      <c r="BB281"/>
      <c r="BC281"/>
      <c r="BD281"/>
    </row>
    <row r="282" spans="14:56" s="316" customFormat="1" x14ac:dyDescent="0.35">
      <c r="N282" s="366"/>
      <c r="AB282"/>
      <c r="AC282"/>
      <c r="AD282" s="158"/>
      <c r="AE282" s="158"/>
      <c r="AF282" s="400"/>
      <c r="AG282" s="400"/>
      <c r="AH282" s="400"/>
      <c r="AI282" s="400"/>
      <c r="AJ282" s="400"/>
      <c r="AK282" s="400"/>
      <c r="AL282" s="400"/>
      <c r="AM282" s="400"/>
      <c r="AN282"/>
      <c r="AO282"/>
      <c r="AP282"/>
      <c r="AQ282"/>
      <c r="AR282"/>
      <c r="AS282"/>
      <c r="AT282"/>
      <c r="AU282"/>
      <c r="AV282"/>
      <c r="AW282"/>
      <c r="AX282"/>
      <c r="AY282"/>
      <c r="AZ282"/>
      <c r="BA282"/>
      <c r="BB282"/>
      <c r="BC282"/>
      <c r="BD282"/>
    </row>
    <row r="283" spans="14:56" s="316" customFormat="1" x14ac:dyDescent="0.35">
      <c r="N283" s="366"/>
      <c r="AB283"/>
      <c r="AC283"/>
      <c r="AD283" s="158"/>
      <c r="AE283" s="158"/>
      <c r="AF283" s="400"/>
      <c r="AG283" s="400"/>
      <c r="AH283" s="400"/>
      <c r="AI283" s="400"/>
      <c r="AJ283" s="400"/>
      <c r="AK283" s="400"/>
      <c r="AL283" s="400"/>
      <c r="AM283" s="400"/>
      <c r="AN283"/>
      <c r="AO283"/>
      <c r="AP283"/>
      <c r="AQ283"/>
      <c r="AR283"/>
      <c r="AS283"/>
      <c r="AT283"/>
      <c r="AU283"/>
      <c r="AV283"/>
      <c r="AW283"/>
      <c r="AX283"/>
      <c r="AY283"/>
      <c r="AZ283"/>
      <c r="BA283"/>
      <c r="BB283"/>
      <c r="BC283"/>
      <c r="BD283"/>
    </row>
    <row r="284" spans="14:56" s="316" customFormat="1" x14ac:dyDescent="0.35">
      <c r="N284" s="366"/>
      <c r="AB284"/>
      <c r="AC284"/>
      <c r="AD284" s="158"/>
      <c r="AE284" s="158"/>
      <c r="AF284" s="400"/>
      <c r="AG284" s="400"/>
      <c r="AH284" s="400"/>
      <c r="AI284" s="400"/>
      <c r="AJ284" s="400"/>
      <c r="AK284" s="400"/>
      <c r="AL284" s="400"/>
      <c r="AM284" s="400"/>
      <c r="AN284"/>
      <c r="AO284"/>
      <c r="AP284"/>
      <c r="AQ284"/>
      <c r="AR284"/>
      <c r="AS284"/>
      <c r="AT284"/>
      <c r="AU284"/>
      <c r="AV284"/>
      <c r="AW284"/>
      <c r="AX284"/>
      <c r="AY284"/>
      <c r="AZ284"/>
      <c r="BA284"/>
      <c r="BB284"/>
      <c r="BC284"/>
      <c r="BD284"/>
    </row>
    <row r="285" spans="14:56" s="316" customFormat="1" x14ac:dyDescent="0.35">
      <c r="N285" s="366"/>
      <c r="AB285"/>
      <c r="AC285"/>
      <c r="AD285" s="158"/>
      <c r="AE285" s="158"/>
      <c r="AF285" s="400"/>
      <c r="AG285" s="400"/>
      <c r="AH285" s="400"/>
      <c r="AI285" s="400"/>
      <c r="AJ285" s="400"/>
      <c r="AK285" s="400"/>
      <c r="AL285" s="400"/>
      <c r="AM285" s="400"/>
      <c r="AN285"/>
      <c r="AO285"/>
      <c r="AP285"/>
      <c r="AQ285"/>
      <c r="AR285"/>
      <c r="AS285"/>
      <c r="AT285"/>
      <c r="AU285"/>
      <c r="AV285"/>
      <c r="AW285"/>
      <c r="AX285"/>
      <c r="AY285"/>
      <c r="AZ285"/>
      <c r="BA285"/>
      <c r="BB285"/>
      <c r="BC285"/>
      <c r="BD285"/>
    </row>
    <row r="286" spans="14:56" s="316" customFormat="1" x14ac:dyDescent="0.35">
      <c r="N286" s="366"/>
      <c r="AB286"/>
      <c r="AC286"/>
      <c r="AD286" s="158"/>
      <c r="AE286" s="158"/>
      <c r="AF286" s="400"/>
      <c r="AG286" s="400"/>
      <c r="AH286" s="400"/>
      <c r="AI286" s="400"/>
      <c r="AJ286" s="400"/>
      <c r="AK286" s="400"/>
      <c r="AL286" s="400"/>
      <c r="AM286" s="400"/>
      <c r="AN286"/>
      <c r="AO286"/>
      <c r="AP286"/>
      <c r="AQ286"/>
      <c r="AR286"/>
      <c r="AS286"/>
      <c r="AT286"/>
      <c r="AU286"/>
      <c r="AV286"/>
      <c r="AW286"/>
      <c r="AX286"/>
      <c r="AY286"/>
      <c r="AZ286"/>
      <c r="BA286"/>
      <c r="BB286"/>
      <c r="BC286"/>
      <c r="BD286"/>
    </row>
    <row r="287" spans="14:56" s="316" customFormat="1" x14ac:dyDescent="0.35">
      <c r="N287" s="366"/>
      <c r="AB287"/>
      <c r="AC287"/>
      <c r="AD287" s="158"/>
      <c r="AE287" s="158"/>
      <c r="AF287" s="400"/>
      <c r="AG287" s="400"/>
      <c r="AH287" s="400"/>
      <c r="AI287" s="400"/>
      <c r="AJ287" s="400"/>
      <c r="AK287" s="400"/>
      <c r="AL287" s="400"/>
      <c r="AM287" s="400"/>
      <c r="AN287"/>
      <c r="AO287"/>
      <c r="AP287"/>
      <c r="AQ287"/>
      <c r="AR287"/>
      <c r="AS287"/>
      <c r="AT287"/>
      <c r="AU287"/>
      <c r="AV287"/>
      <c r="AW287"/>
      <c r="AX287"/>
      <c r="AY287"/>
      <c r="AZ287"/>
      <c r="BA287"/>
      <c r="BB287"/>
      <c r="BC287"/>
      <c r="BD287"/>
    </row>
    <row r="288" spans="14:56" s="316" customFormat="1" x14ac:dyDescent="0.35">
      <c r="N288" s="366"/>
      <c r="AB288"/>
      <c r="AC288"/>
      <c r="AD288" s="158"/>
      <c r="AE288" s="158"/>
      <c r="AF288" s="400"/>
      <c r="AG288" s="400"/>
      <c r="AH288" s="400"/>
      <c r="AI288" s="400"/>
      <c r="AJ288" s="400"/>
      <c r="AK288" s="400"/>
      <c r="AL288" s="400"/>
      <c r="AM288" s="400"/>
      <c r="AN288"/>
      <c r="AO288"/>
      <c r="AP288"/>
      <c r="AQ288"/>
      <c r="AR288"/>
      <c r="AS288"/>
      <c r="AT288"/>
      <c r="AU288"/>
      <c r="AV288"/>
      <c r="AW288"/>
      <c r="AX288"/>
      <c r="AY288"/>
      <c r="AZ288"/>
      <c r="BA288"/>
      <c r="BB288"/>
      <c r="BC288"/>
      <c r="BD288"/>
    </row>
    <row r="289" spans="1:39" x14ac:dyDescent="0.35">
      <c r="AB289"/>
      <c r="AC289"/>
      <c r="AF289" s="400"/>
      <c r="AG289" s="400"/>
      <c r="AH289" s="400"/>
      <c r="AI289" s="400"/>
      <c r="AJ289" s="400"/>
      <c r="AK289" s="400"/>
      <c r="AL289" s="400"/>
      <c r="AM289" s="400"/>
    </row>
    <row r="290" spans="1:39" ht="15.5" x14ac:dyDescent="0.35">
      <c r="A290" s="416">
        <v>7</v>
      </c>
      <c r="B290" s="6" t="s">
        <v>791</v>
      </c>
      <c r="C290" s="7"/>
      <c r="D290" s="7"/>
      <c r="E290" s="19"/>
      <c r="F290" s="19"/>
      <c r="G290" s="19"/>
      <c r="H290" s="67"/>
      <c r="I290" s="67"/>
      <c r="J290" s="67"/>
      <c r="K290" s="67"/>
      <c r="L290" s="67"/>
      <c r="M290" s="68"/>
      <c r="AB290"/>
      <c r="AC290"/>
      <c r="AF290" s="400"/>
      <c r="AG290" s="400"/>
      <c r="AH290" s="400"/>
      <c r="AI290" s="400"/>
      <c r="AJ290" s="400"/>
      <c r="AK290" s="400"/>
      <c r="AL290" s="400"/>
      <c r="AM290" s="400"/>
    </row>
    <row r="291" spans="1:39" ht="32.15" customHeight="1" x14ac:dyDescent="0.35">
      <c r="A291" s="417"/>
      <c r="B291" s="381" t="str">
        <f>IF(F3="","",$F$3&amp;", "&amp;$B$48&amp;" and England")</f>
        <v/>
      </c>
      <c r="C291" s="11"/>
      <c r="D291" s="11"/>
      <c r="E291" s="11"/>
      <c r="F291" s="11"/>
      <c r="G291" s="11"/>
      <c r="H291" s="11"/>
      <c r="I291" s="11"/>
      <c r="J291" s="11"/>
      <c r="K291" s="327" t="str">
        <f>IF(F3="","Percentage of sales per year by type for large PRPs","Percentage of sales per year by type for large PRPs in "&amp;$F$3)</f>
        <v>Percentage of sales per year by type for large PRPs</v>
      </c>
      <c r="L291" s="327"/>
      <c r="M291" s="39"/>
      <c r="AB291"/>
      <c r="AC291"/>
      <c r="AF291" s="400"/>
      <c r="AG291" s="400"/>
      <c r="AH291" s="400"/>
      <c r="AI291" s="400"/>
      <c r="AJ291" s="400"/>
      <c r="AK291" s="400"/>
      <c r="AL291" s="400"/>
      <c r="AM291" s="400"/>
    </row>
    <row r="292" spans="1:39" x14ac:dyDescent="0.35">
      <c r="B292" s="69"/>
      <c r="C292" s="363"/>
      <c r="D292" s="326" t="s">
        <v>801</v>
      </c>
      <c r="E292" s="70">
        <v>2015</v>
      </c>
      <c r="F292" s="70">
        <v>2016</v>
      </c>
      <c r="G292" s="70">
        <v>2017</v>
      </c>
      <c r="H292" s="70">
        <v>2018</v>
      </c>
      <c r="I292" s="70">
        <v>2019</v>
      </c>
      <c r="J292" s="70">
        <v>2020</v>
      </c>
      <c r="K292" s="70">
        <v>2021</v>
      </c>
      <c r="L292" s="70">
        <v>2022</v>
      </c>
      <c r="M292" s="71">
        <v>2023</v>
      </c>
      <c r="AB292"/>
      <c r="AC292"/>
      <c r="AF292" s="400"/>
      <c r="AG292" s="400"/>
      <c r="AH292" s="400"/>
      <c r="AI292" s="400"/>
      <c r="AJ292" s="400"/>
      <c r="AK292" s="400"/>
      <c r="AL292" s="400"/>
      <c r="AM292" s="400"/>
    </row>
    <row r="293" spans="1:39" x14ac:dyDescent="0.35">
      <c r="B293" s="72">
        <f>$F$3</f>
        <v>0</v>
      </c>
      <c r="C293" s="30"/>
      <c r="D293" s="30"/>
      <c r="E293" s="239"/>
      <c r="F293" s="239"/>
      <c r="G293" s="239"/>
      <c r="H293" s="239"/>
      <c r="I293" s="239"/>
      <c r="J293" s="239"/>
      <c r="K293" s="239"/>
      <c r="L293" s="239"/>
      <c r="M293" s="240"/>
      <c r="AB293"/>
      <c r="AC293"/>
      <c r="AF293" s="400"/>
      <c r="AG293" s="400"/>
      <c r="AH293" s="400"/>
      <c r="AI293" s="400"/>
      <c r="AJ293" s="400"/>
      <c r="AK293" s="400"/>
      <c r="AL293" s="400"/>
      <c r="AM293" s="400"/>
    </row>
    <row r="294" spans="1:39" x14ac:dyDescent="0.35">
      <c r="B294" s="249" t="s">
        <v>26</v>
      </c>
      <c r="C294" s="250"/>
      <c r="D294" s="250"/>
      <c r="E294" s="73" t="str">
        <f>IFERROR(VLOOKUP($F$3,Y_1,24,0),"")</f>
        <v/>
      </c>
      <c r="F294" s="73" t="str">
        <f>IFERROR(VLOOKUP($F$3,Y_2,24,0),"")</f>
        <v/>
      </c>
      <c r="G294" s="73" t="str">
        <f>IFERROR(VLOOKUP($F$3,Y_3,24,0),"")</f>
        <v/>
      </c>
      <c r="H294" s="73" t="str">
        <f>IFERROR(VLOOKUP($F$3,Y_4,24,0),"")</f>
        <v/>
      </c>
      <c r="I294" s="73" t="str">
        <f>IFERROR(VLOOKUP($F$3,Y_5,24,0),"")</f>
        <v/>
      </c>
      <c r="J294" s="73" t="str">
        <f>IFERROR(VLOOKUP($F$3,Y_6,24,0),"")</f>
        <v/>
      </c>
      <c r="K294" s="73" t="str">
        <f>IFERROR(VLOOKUP($F$3,Y_7,24,0),"")</f>
        <v/>
      </c>
      <c r="L294" s="73" t="str">
        <f>IFERROR(VLOOKUP($F$3,Y_8,24,0),"")</f>
        <v/>
      </c>
      <c r="M294" s="74" t="str">
        <f>IFERROR(VLOOKUP($F$3,Y_9,24,0),"")</f>
        <v/>
      </c>
      <c r="AB294"/>
      <c r="AC294"/>
      <c r="AF294" s="400"/>
      <c r="AG294" s="400"/>
      <c r="AH294" s="400"/>
      <c r="AI294" s="400"/>
      <c r="AJ294" s="400"/>
      <c r="AK294" s="400"/>
      <c r="AL294" s="400"/>
      <c r="AM294" s="400"/>
    </row>
    <row r="295" spans="1:39" x14ac:dyDescent="0.35">
      <c r="B295" s="163" t="s">
        <v>27</v>
      </c>
      <c r="C295" s="164"/>
      <c r="D295" s="164"/>
      <c r="E295" s="75" t="str">
        <f>IFERROR(VLOOKUP($F$3,Y_1,25,0),"")</f>
        <v/>
      </c>
      <c r="F295" s="75" t="str">
        <f>IFERROR(VLOOKUP($F$3,Y_2,25,0),"")</f>
        <v/>
      </c>
      <c r="G295" s="75" t="str">
        <f>IFERROR(VLOOKUP($F$3,Y_3,25,0),"")</f>
        <v/>
      </c>
      <c r="H295" s="75" t="str">
        <f>IFERROR(VLOOKUP($F$3,Y_4,25,0),"")</f>
        <v/>
      </c>
      <c r="I295" s="75" t="str">
        <f>IFERROR(VLOOKUP($F$3,Y_5,25,0),"")</f>
        <v/>
      </c>
      <c r="J295" s="75" t="str">
        <f>IFERROR(VLOOKUP($F$3,Y_6,25,0),"")</f>
        <v/>
      </c>
      <c r="K295" s="75" t="str">
        <f>IFERROR(VLOOKUP($F$3,Y_7,25,0),"")</f>
        <v/>
      </c>
      <c r="L295" s="75" t="str">
        <f>IFERROR(VLOOKUP($F$3,Y_8,25,0),"")</f>
        <v/>
      </c>
      <c r="M295" s="76" t="str">
        <f>IFERROR(VLOOKUP($F$3,Y_9,25,0),"")</f>
        <v/>
      </c>
      <c r="AB295"/>
      <c r="AC295"/>
      <c r="AF295" s="400"/>
      <c r="AG295" s="400"/>
      <c r="AH295" s="400"/>
      <c r="AI295" s="400"/>
      <c r="AJ295" s="400"/>
      <c r="AK295" s="400"/>
      <c r="AL295" s="400"/>
      <c r="AM295" s="400"/>
    </row>
    <row r="296" spans="1:39" x14ac:dyDescent="0.35">
      <c r="B296" s="163" t="s">
        <v>28</v>
      </c>
      <c r="C296" s="164"/>
      <c r="D296" s="164"/>
      <c r="E296" s="75" t="str">
        <f>IFERROR(VLOOKUP($F$3,Y_1,26,0),"")</f>
        <v/>
      </c>
      <c r="F296" s="75" t="str">
        <f>IFERROR(VLOOKUP($F$3,Y_2,26,0),"")</f>
        <v/>
      </c>
      <c r="G296" s="75" t="str">
        <f>IFERROR(VLOOKUP($F$3,Y_3,26,0),"")</f>
        <v/>
      </c>
      <c r="H296" s="75" t="str">
        <f>IFERROR(VLOOKUP($F$3,Y_4,26,0),"")</f>
        <v/>
      </c>
      <c r="I296" s="75" t="str">
        <f>IFERROR(VLOOKUP($F$3,Y_5,26,0),"")</f>
        <v/>
      </c>
      <c r="J296" s="75" t="str">
        <f>IFERROR(VLOOKUP($F$3,Y_6,26,0),"")</f>
        <v/>
      </c>
      <c r="K296" s="75" t="str">
        <f>IFERROR(VLOOKUP($F$3,Y_7,26,0),"")</f>
        <v/>
      </c>
      <c r="L296" s="75" t="str">
        <f>IFERROR(VLOOKUP($F$3,Y_8,26,0),"")</f>
        <v/>
      </c>
      <c r="M296" s="76" t="str">
        <f>IFERROR(VLOOKUP($F$3,Y_9,26,0),"")</f>
        <v/>
      </c>
      <c r="AB296"/>
      <c r="AC296"/>
      <c r="AF296" s="400"/>
      <c r="AG296" s="400"/>
      <c r="AH296" s="400"/>
      <c r="AI296" s="400"/>
      <c r="AJ296" s="400"/>
      <c r="AK296" s="400"/>
      <c r="AL296" s="400"/>
      <c r="AM296" s="400"/>
    </row>
    <row r="297" spans="1:39" x14ac:dyDescent="0.35">
      <c r="B297" s="163" t="s">
        <v>817</v>
      </c>
      <c r="C297" s="164"/>
      <c r="D297" s="164"/>
      <c r="E297" s="75" t="str">
        <f>IFERROR(VLOOKUP($F$3,Y_1,27,0),"")</f>
        <v/>
      </c>
      <c r="F297" s="75" t="str">
        <f>IFERROR(VLOOKUP($F$3,Y_2,27,0),"")</f>
        <v/>
      </c>
      <c r="G297" s="75" t="str">
        <f>IFERROR(VLOOKUP($F$3,Y_3,27,0),"")</f>
        <v/>
      </c>
      <c r="H297" s="75" t="str">
        <f>IFERROR(VLOOKUP($F$3,Y_4,27,0),"")</f>
        <v/>
      </c>
      <c r="I297" s="75" t="str">
        <f>IFERROR(VLOOKUP($F$3,Y_5,27,0),"")</f>
        <v/>
      </c>
      <c r="J297" s="75" t="str">
        <f>IFERROR(VLOOKUP($F$3,Y_6,27,0),"")</f>
        <v/>
      </c>
      <c r="K297" s="75" t="str">
        <f>IFERROR(VLOOKUP($F$3,Y_7,27,0),"")</f>
        <v/>
      </c>
      <c r="L297" s="75" t="str">
        <f>IFERROR(VLOOKUP($F$3,Y_8,27,0),"")</f>
        <v/>
      </c>
      <c r="M297" s="76" t="str">
        <f>IFERROR(VLOOKUP($F$3,Y_9,27,0),"")</f>
        <v/>
      </c>
      <c r="AB297"/>
      <c r="AC297"/>
      <c r="AF297" s="400"/>
      <c r="AG297" s="400"/>
      <c r="AH297" s="400"/>
      <c r="AI297" s="400"/>
      <c r="AJ297" s="400"/>
      <c r="AK297" s="400"/>
      <c r="AL297" s="400"/>
      <c r="AM297" s="400"/>
    </row>
    <row r="298" spans="1:39" x14ac:dyDescent="0.35">
      <c r="B298" s="251" t="s">
        <v>818</v>
      </c>
      <c r="C298" s="252"/>
      <c r="D298" s="252"/>
      <c r="E298" s="77" t="str">
        <f>IFERROR(VLOOKUP($F$3,Y_1,28,0),"")</f>
        <v/>
      </c>
      <c r="F298" s="77" t="str">
        <f>IFERROR(VLOOKUP($F$3,Y_2,28,0),"")</f>
        <v/>
      </c>
      <c r="G298" s="77" t="str">
        <f>IFERROR(VLOOKUP($F$3,Y_3,28,0),"")</f>
        <v/>
      </c>
      <c r="H298" s="77" t="str">
        <f>IFERROR(VLOOKUP($F$3,Y_4,28,0),"")</f>
        <v/>
      </c>
      <c r="I298" s="77" t="str">
        <f>IFERROR(VLOOKUP($F$3,Y_5,28,0),"")</f>
        <v/>
      </c>
      <c r="J298" s="77" t="str">
        <f>IFERROR(VLOOKUP($F$3,Y_6,28,0),"")</f>
        <v/>
      </c>
      <c r="K298" s="77" t="str">
        <f>IFERROR(VLOOKUP($F$3,Y_7,28,0),"")</f>
        <v/>
      </c>
      <c r="L298" s="77" t="str">
        <f>IFERROR(VLOOKUP($F$3,Y_8,28,0),"")</f>
        <v/>
      </c>
      <c r="M298" s="78" t="str">
        <f>IFERROR(VLOOKUP($F$3,Y_9,28,0),"")</f>
        <v/>
      </c>
      <c r="AB298"/>
      <c r="AC298"/>
      <c r="AF298" s="400"/>
      <c r="AG298" s="400"/>
      <c r="AH298" s="400"/>
      <c r="AI298" s="400"/>
      <c r="AJ298" s="400"/>
      <c r="AK298" s="400"/>
      <c r="AL298" s="400"/>
      <c r="AM298" s="400"/>
    </row>
    <row r="299" spans="1:39" x14ac:dyDescent="0.35">
      <c r="B299" s="56" t="str">
        <f>$B$48</f>
        <v/>
      </c>
      <c r="C299" s="79"/>
      <c r="D299" s="79"/>
      <c r="E299" s="239"/>
      <c r="F299" s="239"/>
      <c r="G299" s="239"/>
      <c r="H299" s="239"/>
      <c r="I299" s="239"/>
      <c r="J299" s="239"/>
      <c r="K299" s="239"/>
      <c r="L299" s="239"/>
      <c r="M299" s="240"/>
      <c r="AB299"/>
      <c r="AC299"/>
      <c r="AF299" s="400"/>
      <c r="AG299" s="400"/>
      <c r="AH299" s="400"/>
      <c r="AI299" s="400"/>
      <c r="AJ299" s="400"/>
      <c r="AK299" s="400"/>
      <c r="AL299" s="400"/>
      <c r="AM299" s="400"/>
    </row>
    <row r="300" spans="1:39" x14ac:dyDescent="0.35">
      <c r="B300" s="249" t="s">
        <v>26</v>
      </c>
      <c r="C300" s="250"/>
      <c r="D300" s="250"/>
      <c r="E300" s="80" t="str">
        <f>IFERROR(VLOOKUP($F$4,Y_1,24,0),"")</f>
        <v/>
      </c>
      <c r="F300" s="80" t="str">
        <f>IFERROR(VLOOKUP($F$4,Y_2,24,0),"")</f>
        <v/>
      </c>
      <c r="G300" s="80" t="str">
        <f>IFERROR(VLOOKUP($F$4,Y_3,24,0),"")</f>
        <v/>
      </c>
      <c r="H300" s="80" t="str">
        <f>IFERROR(VLOOKUP($F$4,Y_4,24,0),"")</f>
        <v/>
      </c>
      <c r="I300" s="80" t="str">
        <f>IFERROR(VLOOKUP($F$4,Y_5,24,0),"")</f>
        <v/>
      </c>
      <c r="J300" s="80" t="str">
        <f>IFERROR(VLOOKUP($F$4,Y_6,24,0),"")</f>
        <v/>
      </c>
      <c r="K300" s="80" t="str">
        <f>IFERROR(VLOOKUP($F$4,Y_7,24,0),"")</f>
        <v/>
      </c>
      <c r="L300" s="80" t="str">
        <f>IFERROR(VLOOKUP($F$4,Y_8,24,0),"")</f>
        <v/>
      </c>
      <c r="M300" s="81" t="str">
        <f>IFERROR(VLOOKUP($F$4,Y_9,24,0),"")</f>
        <v/>
      </c>
      <c r="AB300"/>
      <c r="AC300"/>
      <c r="AF300" s="400"/>
      <c r="AG300" s="400"/>
      <c r="AH300" s="400"/>
      <c r="AI300" s="400"/>
      <c r="AJ300" s="400"/>
      <c r="AK300" s="400"/>
      <c r="AL300" s="400"/>
      <c r="AM300" s="400"/>
    </row>
    <row r="301" spans="1:39" x14ac:dyDescent="0.35">
      <c r="B301" s="163" t="s">
        <v>27</v>
      </c>
      <c r="C301" s="164"/>
      <c r="D301" s="164"/>
      <c r="E301" s="82" t="str">
        <f>IFERROR(VLOOKUP($F$4,Y_1,25,0),"")</f>
        <v/>
      </c>
      <c r="F301" s="82" t="str">
        <f>IFERROR(VLOOKUP($F$4,Y_2,25,0),"")</f>
        <v/>
      </c>
      <c r="G301" s="82" t="str">
        <f>IFERROR(VLOOKUP($F$4,Y_3,25,0),"")</f>
        <v/>
      </c>
      <c r="H301" s="82" t="str">
        <f>IFERROR(VLOOKUP($F$4,Y_4,25,0),"")</f>
        <v/>
      </c>
      <c r="I301" s="82" t="str">
        <f>IFERROR(VLOOKUP($F$4,Y_5,25,0),"")</f>
        <v/>
      </c>
      <c r="J301" s="82" t="str">
        <f>IFERROR(VLOOKUP($F$4,Y_6,25,0),"")</f>
        <v/>
      </c>
      <c r="K301" s="82" t="str">
        <f>IFERROR(VLOOKUP($F$4,Y_7,25,0),"")</f>
        <v/>
      </c>
      <c r="L301" s="82" t="str">
        <f>IFERROR(VLOOKUP($F$4,Y_8,25,0),"")</f>
        <v/>
      </c>
      <c r="M301" s="83" t="str">
        <f>IFERROR(VLOOKUP($F$4,Y_9,25,0),"")</f>
        <v/>
      </c>
      <c r="AB301"/>
      <c r="AC301"/>
      <c r="AF301" s="400"/>
      <c r="AG301" s="400"/>
      <c r="AH301" s="400"/>
      <c r="AI301" s="400"/>
      <c r="AJ301" s="400"/>
      <c r="AK301" s="400"/>
      <c r="AL301" s="400"/>
      <c r="AM301" s="400"/>
    </row>
    <row r="302" spans="1:39" x14ac:dyDescent="0.35">
      <c r="B302" s="163" t="s">
        <v>28</v>
      </c>
      <c r="C302" s="164"/>
      <c r="D302" s="164"/>
      <c r="E302" s="82" t="str">
        <f>IFERROR(VLOOKUP($F$4,Y_1,26,0),"")</f>
        <v/>
      </c>
      <c r="F302" s="82" t="str">
        <f>IFERROR(VLOOKUP($F$4,Y_2,26,0),"")</f>
        <v/>
      </c>
      <c r="G302" s="82" t="str">
        <f>IFERROR(VLOOKUP($F$4,Y_3,26,0),"")</f>
        <v/>
      </c>
      <c r="H302" s="82" t="str">
        <f>IFERROR(VLOOKUP($F$4,Y_4,26,0),"")</f>
        <v/>
      </c>
      <c r="I302" s="82" t="str">
        <f>IFERROR(VLOOKUP($F$4,Y_5,26,0),"")</f>
        <v/>
      </c>
      <c r="J302" s="82" t="str">
        <f>IFERROR(VLOOKUP($F$4,Y_6,26,0),"")</f>
        <v/>
      </c>
      <c r="K302" s="82" t="str">
        <f>IFERROR(VLOOKUP($F$4,Y_7,26,0),"")</f>
        <v/>
      </c>
      <c r="L302" s="82" t="str">
        <f>IFERROR(VLOOKUP($F$4,Y_8,26,0),"")</f>
        <v/>
      </c>
      <c r="M302" s="83" t="str">
        <f>IFERROR(VLOOKUP($F$4,Y_9,26,0),"")</f>
        <v/>
      </c>
      <c r="AB302"/>
      <c r="AC302"/>
      <c r="AF302" s="400"/>
      <c r="AG302" s="400"/>
      <c r="AH302" s="400"/>
      <c r="AI302" s="400"/>
      <c r="AJ302" s="400"/>
      <c r="AK302" s="400"/>
      <c r="AL302" s="400"/>
      <c r="AM302" s="400"/>
    </row>
    <row r="303" spans="1:39" x14ac:dyDescent="0.35">
      <c r="B303" s="163" t="s">
        <v>817</v>
      </c>
      <c r="C303" s="164"/>
      <c r="D303" s="164"/>
      <c r="E303" s="82" t="str">
        <f>IFERROR(VLOOKUP($F$4,Y_1,27,0),"")</f>
        <v/>
      </c>
      <c r="F303" s="82" t="str">
        <f>IFERROR(VLOOKUP($F$4,Y_2,27,0),"")</f>
        <v/>
      </c>
      <c r="G303" s="82" t="str">
        <f>IFERROR(VLOOKUP($F$4,Y_3,27,0),"")</f>
        <v/>
      </c>
      <c r="H303" s="82" t="str">
        <f>IFERROR(VLOOKUP($F$4,Y_4,27,0),"")</f>
        <v/>
      </c>
      <c r="I303" s="82" t="str">
        <f>IFERROR(VLOOKUP($F$4,Y_5,27,0),"")</f>
        <v/>
      </c>
      <c r="J303" s="82" t="str">
        <f>IFERROR(VLOOKUP($F$4,Y_6,27,0),"")</f>
        <v/>
      </c>
      <c r="K303" s="82" t="str">
        <f>IFERROR(VLOOKUP($F$4,Y_7,27,0),"")</f>
        <v/>
      </c>
      <c r="L303" s="82" t="str">
        <f>IFERROR(VLOOKUP($F$4,Y_8,27,0),"")</f>
        <v/>
      </c>
      <c r="M303" s="83" t="str">
        <f>IFERROR(VLOOKUP($F$4,Y_9,27,0),"")</f>
        <v/>
      </c>
      <c r="AB303"/>
      <c r="AC303"/>
      <c r="AF303" s="400"/>
      <c r="AG303" s="400"/>
      <c r="AH303" s="400"/>
      <c r="AI303" s="400"/>
      <c r="AJ303" s="400"/>
      <c r="AK303" s="400"/>
      <c r="AL303" s="400"/>
      <c r="AM303" s="400"/>
    </row>
    <row r="304" spans="1:39" x14ac:dyDescent="0.35">
      <c r="B304" s="251" t="s">
        <v>818</v>
      </c>
      <c r="C304" s="252"/>
      <c r="D304" s="252"/>
      <c r="E304" s="84" t="str">
        <f>IFERROR(VLOOKUP($F$4,Y_1,28,0),"")</f>
        <v/>
      </c>
      <c r="F304" s="84" t="str">
        <f>IFERROR(VLOOKUP($F$4,Y_2,28,0),"")</f>
        <v/>
      </c>
      <c r="G304" s="84" t="str">
        <f>IFERROR(VLOOKUP($F$4,Y_3,28,0),"")</f>
        <v/>
      </c>
      <c r="H304" s="84" t="str">
        <f>IFERROR(VLOOKUP($F$4,Y_4,28,0),"")</f>
        <v/>
      </c>
      <c r="I304" s="84" t="str">
        <f>IFERROR(VLOOKUP($F$4,Y_5,28,0),"")</f>
        <v/>
      </c>
      <c r="J304" s="84" t="str">
        <f>IFERROR(VLOOKUP($F$4,Y_6,28,0),"")</f>
        <v/>
      </c>
      <c r="K304" s="84" t="str">
        <f>IFERROR(VLOOKUP($F$4,Y_7,28,0),"")</f>
        <v/>
      </c>
      <c r="L304" s="84" t="str">
        <f>IFERROR(VLOOKUP($F$4,Y_8,28,0),"")</f>
        <v/>
      </c>
      <c r="M304" s="85" t="str">
        <f>IFERROR(VLOOKUP($F$4,Y_9,28,0),"")</f>
        <v/>
      </c>
      <c r="AB304"/>
      <c r="AC304"/>
      <c r="AF304" s="400"/>
      <c r="AG304" s="400"/>
      <c r="AH304" s="400"/>
      <c r="AI304" s="400"/>
      <c r="AJ304" s="400"/>
      <c r="AK304" s="400"/>
      <c r="AL304" s="400"/>
      <c r="AM304" s="400"/>
    </row>
    <row r="305" spans="1:56" x14ac:dyDescent="0.35">
      <c r="B305" s="56" t="s">
        <v>13</v>
      </c>
      <c r="C305" s="57"/>
      <c r="D305" s="57"/>
      <c r="E305" s="239"/>
      <c r="F305" s="239"/>
      <c r="G305" s="239"/>
      <c r="H305" s="239"/>
      <c r="I305" s="239"/>
      <c r="J305" s="239"/>
      <c r="K305" s="239"/>
      <c r="L305" s="239"/>
      <c r="M305" s="240"/>
      <c r="AB305"/>
      <c r="AC305"/>
      <c r="AF305" s="400"/>
      <c r="AG305" s="400"/>
      <c r="AH305" s="400"/>
      <c r="AI305" s="400"/>
      <c r="AJ305" s="400"/>
      <c r="AK305" s="400"/>
      <c r="AL305" s="400"/>
      <c r="AM305" s="400"/>
    </row>
    <row r="306" spans="1:56" x14ac:dyDescent="0.35">
      <c r="B306" s="249" t="s">
        <v>26</v>
      </c>
      <c r="C306" s="250"/>
      <c r="D306" s="250"/>
      <c r="E306" s="80">
        <f>IF($F$4&lt;&gt;"",VLOOKUP($B$49,Y_1,24,0),"")</f>
        <v>4098</v>
      </c>
      <c r="F306" s="80">
        <f>IF($F$4&lt;&gt;"",VLOOKUP($B$49,Y_2,24,0),"")</f>
        <v>3897</v>
      </c>
      <c r="G306" s="229">
        <f>IF($F$4&lt;&gt;"",VLOOKUP($B$49,Y_3,24,0),"")</f>
        <v>4184</v>
      </c>
      <c r="H306" s="225">
        <f>IF($F$4&lt;&gt;"",VLOOKUP($B$49,Y_4,24,0),"")</f>
        <v>4046</v>
      </c>
      <c r="I306" s="225">
        <f>IF($F$4&lt;&gt;"",VLOOKUP($B$49,Y_5,24,0),"")</f>
        <v>6074</v>
      </c>
      <c r="J306" s="225">
        <f>IF($F$4&lt;&gt;"",VLOOKUP($B$49,Y_6,24,0),"")</f>
        <v>5109</v>
      </c>
      <c r="K306" s="225">
        <f>IF($F$4&lt;&gt;"",VLOOKUP($B$49,Y_7,24,0),"")</f>
        <v>5225</v>
      </c>
      <c r="L306" s="225">
        <f>IF($F$4&lt;&gt;"",VLOOKUP($B$49,Y_8,24,0),"")</f>
        <v>8745</v>
      </c>
      <c r="M306" s="226">
        <f>IF($F$4&lt;&gt;"",VLOOKUP($B$49,Y_9,24,0),"")</f>
        <v>4878</v>
      </c>
      <c r="AB306"/>
      <c r="AC306"/>
      <c r="AF306" s="400"/>
      <c r="AG306" s="400"/>
      <c r="AH306" s="400"/>
      <c r="AI306" s="400"/>
      <c r="AJ306" s="400"/>
      <c r="AK306" s="400"/>
      <c r="AL306" s="400"/>
      <c r="AM306" s="400"/>
    </row>
    <row r="307" spans="1:56" x14ac:dyDescent="0.35">
      <c r="B307" s="163" t="s">
        <v>27</v>
      </c>
      <c r="C307" s="164"/>
      <c r="D307" s="164"/>
      <c r="E307" s="82">
        <f>IF($F$4&lt;&gt;"",VLOOKUP($B$49,Y_1,25,0),"")</f>
        <v>5162</v>
      </c>
      <c r="F307" s="82">
        <f>IF($F$4&lt;&gt;"",VLOOKUP($B$49,Y_2,25,0),"")</f>
        <v>5335</v>
      </c>
      <c r="G307" s="237">
        <f>IF($F$4&lt;&gt;"",VLOOKUP($B$49,Y_3,25,0),"")</f>
        <v>5643</v>
      </c>
      <c r="H307" s="227">
        <f>IF($F$4&lt;&gt;"",VLOOKUP($B$49,Y_4,25,0),"")</f>
        <v>5512</v>
      </c>
      <c r="I307" s="227">
        <f>IF($F$4&lt;&gt;"",VLOOKUP($B$49,Y_5,25,0),"")</f>
        <v>4977</v>
      </c>
      <c r="J307" s="227">
        <f>IF($F$4&lt;&gt;"",VLOOKUP($B$49,Y_6,25,0),"")</f>
        <v>5951</v>
      </c>
      <c r="K307" s="227">
        <f>IF($F$4&lt;&gt;"",VLOOKUP($B$49,Y_7,25,0),"")</f>
        <v>3193</v>
      </c>
      <c r="L307" s="227">
        <f>IF($F$4&lt;&gt;"",VLOOKUP($B$49,Y_8,25,0),"")</f>
        <v>4812</v>
      </c>
      <c r="M307" s="228">
        <f>IF($F$4&lt;&gt;"",VLOOKUP($B$49,Y_9,25,0),"")</f>
        <v>4581</v>
      </c>
      <c r="AB307"/>
      <c r="AC307"/>
      <c r="AF307" s="400"/>
      <c r="AG307" s="400"/>
      <c r="AH307" s="400"/>
      <c r="AI307" s="400"/>
      <c r="AJ307" s="400"/>
      <c r="AK307" s="400"/>
      <c r="AL307" s="400"/>
      <c r="AM307" s="400"/>
    </row>
    <row r="308" spans="1:56" x14ac:dyDescent="0.35">
      <c r="B308" s="163" t="s">
        <v>28</v>
      </c>
      <c r="C308" s="164"/>
      <c r="D308" s="164"/>
      <c r="E308" s="82">
        <f>IF($F$4&lt;&gt;"",VLOOKUP($B$49,Y_1,26,0),"")</f>
        <v>2803</v>
      </c>
      <c r="F308" s="82">
        <f>IF($F$4&lt;&gt;"",VLOOKUP($B$49,Y_2,26,0),"")</f>
        <v>4099</v>
      </c>
      <c r="G308" s="237">
        <f>IF($F$4&lt;&gt;"",VLOOKUP($B$49,Y_3,26,0),"")</f>
        <v>1982</v>
      </c>
      <c r="H308" s="227">
        <f>IF($F$4&lt;&gt;"",VLOOKUP($B$49,Y_4,26,0),"")</f>
        <v>3318</v>
      </c>
      <c r="I308" s="227">
        <f>IF($F$4&lt;&gt;"",VLOOKUP($B$49,Y_5,26,0),"")</f>
        <v>3110</v>
      </c>
      <c r="J308" s="227">
        <f>IF($F$4&lt;&gt;"",VLOOKUP($B$49,Y_6,26,0),"")</f>
        <v>2792</v>
      </c>
      <c r="K308" s="227">
        <f>IF($F$4&lt;&gt;"",VLOOKUP($B$49,Y_7,26,0),"")</f>
        <v>2531</v>
      </c>
      <c r="L308" s="227">
        <f>IF($F$4&lt;&gt;"",VLOOKUP($B$49,Y_8,26,0),"")</f>
        <v>2816</v>
      </c>
      <c r="M308" s="228">
        <f>IF($F$4&lt;&gt;"",VLOOKUP($B$49,Y_9,26,0),"")</f>
        <v>2675</v>
      </c>
      <c r="AB308"/>
      <c r="AC308"/>
      <c r="AF308" s="400"/>
      <c r="AG308" s="400"/>
      <c r="AH308" s="400"/>
      <c r="AI308" s="400"/>
      <c r="AJ308" s="400"/>
      <c r="AK308" s="400"/>
      <c r="AL308" s="400"/>
      <c r="AM308" s="400"/>
    </row>
    <row r="309" spans="1:56" x14ac:dyDescent="0.35">
      <c r="B309" s="163" t="s">
        <v>817</v>
      </c>
      <c r="C309" s="164"/>
      <c r="D309" s="164"/>
      <c r="E309" s="82">
        <f>IF($F$4&lt;&gt;"",VLOOKUP($B$49,Y_1,27,0),"")</f>
        <v>7734</v>
      </c>
      <c r="F309" s="82">
        <f>IF($F$4&lt;&gt;"",VLOOKUP($B$49,Y_2,27,0),"")</f>
        <v>9960</v>
      </c>
      <c r="G309" s="237">
        <f>IF($F$4&lt;&gt;"",VLOOKUP($B$49,Y_3,27,0),"")</f>
        <v>10143</v>
      </c>
      <c r="H309" s="227">
        <f>IF($F$4&lt;&gt;"",VLOOKUP($B$49,Y_4,27,0),"")</f>
        <v>9799</v>
      </c>
      <c r="I309" s="227">
        <f>IF($F$4&lt;&gt;"",VLOOKUP($B$49,Y_5,27,0),"")</f>
        <v>11306</v>
      </c>
      <c r="J309" s="227">
        <f>IF($F$4&lt;&gt;"",VLOOKUP($B$49,Y_6,27,0),"")</f>
        <v>12396</v>
      </c>
      <c r="K309" s="227">
        <f>IF($F$4&lt;&gt;"",VLOOKUP($B$49,Y_7,27,0),"")</f>
        <v>12576</v>
      </c>
      <c r="L309" s="227">
        <f>IF($F$4&lt;&gt;"",VLOOKUP($B$49,Y_8,27,0),"")</f>
        <v>16861</v>
      </c>
      <c r="M309" s="228">
        <f>IF($F$4&lt;&gt;"",VLOOKUP($B$49,Y_9,27,0),"")</f>
        <v>17126</v>
      </c>
      <c r="AB309" s="144"/>
      <c r="AC309" s="144"/>
      <c r="AF309" s="400"/>
      <c r="AG309" s="400"/>
      <c r="AH309" s="400"/>
      <c r="AI309" s="400"/>
      <c r="AJ309" s="400"/>
      <c r="AK309" s="400"/>
      <c r="AL309" s="400"/>
      <c r="AM309" s="400"/>
    </row>
    <row r="310" spans="1:56" x14ac:dyDescent="0.35">
      <c r="B310" s="251" t="s">
        <v>818</v>
      </c>
      <c r="C310" s="252"/>
      <c r="D310" s="252"/>
      <c r="E310" s="84">
        <f>IF($F$4&lt;&gt;"",VLOOKUP($B$49,Y_1,28,0),"")</f>
        <v>4862</v>
      </c>
      <c r="F310" s="84">
        <f>IF($F$4&lt;&gt;"",VLOOKUP($B$49,Y_2,28,0),"")</f>
        <v>5744</v>
      </c>
      <c r="G310" s="235">
        <f>IF($F$4&lt;&gt;"",VLOOKUP($B$49,Y_3,28,0),"")</f>
        <v>5119</v>
      </c>
      <c r="H310" s="245">
        <f>IF($F$4&lt;&gt;"",VLOOKUP($B$49,Y_4,28,0),"")</f>
        <v>4137</v>
      </c>
      <c r="I310" s="245">
        <f>IF($F$4&lt;&gt;"",VLOOKUP($B$49,Y_5,28,0),"")</f>
        <v>4063</v>
      </c>
      <c r="J310" s="245">
        <f>IF($F$4&lt;&gt;"",VLOOKUP($B$49,Y_6,28,0),"")</f>
        <v>4424</v>
      </c>
      <c r="K310" s="245">
        <f>IF($F$4&lt;&gt;"",VLOOKUP($B$49,Y_7,28,0),"")</f>
        <v>4297</v>
      </c>
      <c r="L310" s="245">
        <f>IF($F$4&lt;&gt;"",VLOOKUP($B$49,Y_8,28,0),"")</f>
        <v>5982</v>
      </c>
      <c r="M310" s="246">
        <f>IF($F$4&lt;&gt;"",VLOOKUP($B$49,Y_9,28,0),"")</f>
        <v>5517</v>
      </c>
      <c r="AB310" s="144"/>
      <c r="AC310" s="144"/>
      <c r="AF310" s="400"/>
      <c r="AG310" s="400"/>
      <c r="AH310" s="400"/>
      <c r="AI310" s="400"/>
      <c r="AJ310" s="400"/>
      <c r="AK310" s="400"/>
      <c r="AL310" s="400"/>
      <c r="AM310" s="400"/>
    </row>
    <row r="311" spans="1:56" x14ac:dyDescent="0.35">
      <c r="B311" s="164"/>
      <c r="C311" s="164"/>
      <c r="D311" s="164"/>
      <c r="E311" s="82"/>
      <c r="F311" s="82"/>
      <c r="G311" s="237"/>
      <c r="H311" s="227"/>
      <c r="I311" s="227"/>
      <c r="J311" s="227"/>
      <c r="K311" s="227"/>
      <c r="L311" s="227"/>
      <c r="M311" s="227"/>
      <c r="AB311" s="144"/>
      <c r="AC311" s="144"/>
      <c r="AF311" s="400"/>
      <c r="AG311" s="400"/>
      <c r="AH311" s="400"/>
      <c r="AI311" s="400"/>
      <c r="AJ311" s="400"/>
      <c r="AK311" s="400"/>
      <c r="AL311" s="400"/>
      <c r="AM311" s="400"/>
    </row>
    <row r="312" spans="1:56" s="316" customFormat="1" x14ac:dyDescent="0.35">
      <c r="A312" s="407">
        <v>8</v>
      </c>
      <c r="B312" s="375"/>
      <c r="C312" s="375"/>
      <c r="D312" s="375"/>
      <c r="E312" s="376"/>
      <c r="F312" s="376"/>
      <c r="G312" s="377"/>
      <c r="H312" s="378"/>
      <c r="I312" s="378"/>
      <c r="J312" s="378"/>
      <c r="K312" s="378"/>
      <c r="L312" s="378"/>
      <c r="M312" s="378"/>
      <c r="N312" s="366"/>
      <c r="AB312" s="144"/>
      <c r="AC312" s="144"/>
      <c r="AD312" s="158"/>
      <c r="AE312" s="158"/>
      <c r="AF312" s="400"/>
      <c r="AG312" s="400"/>
      <c r="AH312" s="400"/>
      <c r="AI312" s="400"/>
      <c r="AJ312" s="400"/>
      <c r="AK312" s="400"/>
      <c r="AL312" s="400"/>
      <c r="AM312" s="400"/>
      <c r="AN312"/>
      <c r="AO312"/>
      <c r="AP312"/>
      <c r="AQ312"/>
      <c r="AR312"/>
      <c r="AS312"/>
      <c r="AT312"/>
      <c r="AU312"/>
      <c r="AV312"/>
      <c r="AW312"/>
      <c r="AX312"/>
      <c r="AY312"/>
      <c r="AZ312"/>
      <c r="BA312"/>
      <c r="BB312"/>
      <c r="BC312"/>
      <c r="BD312"/>
    </row>
    <row r="313" spans="1:56" s="316" customFormat="1" x14ac:dyDescent="0.35">
      <c r="A313" s="408"/>
      <c r="B313" s="375"/>
      <c r="C313" s="375"/>
      <c r="D313" s="375"/>
      <c r="E313" s="376"/>
      <c r="F313" s="376"/>
      <c r="G313" s="377"/>
      <c r="H313" s="378"/>
      <c r="I313" s="378"/>
      <c r="J313" s="378"/>
      <c r="K313" s="378"/>
      <c r="L313" s="378"/>
      <c r="M313" s="378"/>
      <c r="N313" s="366"/>
      <c r="AB313" s="144"/>
      <c r="AC313" s="144"/>
      <c r="AD313" s="158"/>
      <c r="AE313" s="158"/>
      <c r="AF313" s="400"/>
      <c r="AG313" s="400"/>
      <c r="AH313" s="400"/>
      <c r="AI313" s="400"/>
      <c r="AJ313" s="400"/>
      <c r="AK313" s="400"/>
      <c r="AL313" s="400"/>
      <c r="AM313" s="400"/>
      <c r="AN313"/>
      <c r="AO313"/>
      <c r="AP313"/>
      <c r="AQ313"/>
      <c r="AR313"/>
      <c r="AS313"/>
      <c r="AT313"/>
      <c r="AU313"/>
      <c r="AV313"/>
      <c r="AW313"/>
      <c r="AX313"/>
      <c r="AY313"/>
      <c r="AZ313"/>
      <c r="BA313"/>
      <c r="BB313"/>
      <c r="BC313"/>
      <c r="BD313"/>
    </row>
    <row r="314" spans="1:56" s="316" customFormat="1" x14ac:dyDescent="0.35">
      <c r="B314" s="375"/>
      <c r="C314" s="375"/>
      <c r="D314" s="375"/>
      <c r="E314" s="376"/>
      <c r="F314" s="376"/>
      <c r="G314" s="377"/>
      <c r="H314" s="378"/>
      <c r="I314" s="378"/>
      <c r="J314" s="378"/>
      <c r="K314" s="378"/>
      <c r="L314" s="378"/>
      <c r="M314" s="378"/>
      <c r="N314" s="366"/>
      <c r="AB314" s="144"/>
      <c r="AC314" s="144"/>
      <c r="AD314" s="158"/>
      <c r="AE314" s="158"/>
      <c r="AF314" s="400"/>
      <c r="AG314" s="400"/>
      <c r="AH314" s="400"/>
      <c r="AI314" s="400"/>
      <c r="AJ314" s="400"/>
      <c r="AK314" s="400"/>
      <c r="AL314" s="400"/>
      <c r="AM314" s="400"/>
      <c r="AN314"/>
      <c r="AO314"/>
      <c r="AP314"/>
      <c r="AQ314"/>
      <c r="AR314"/>
      <c r="AS314"/>
      <c r="AT314"/>
      <c r="AU314"/>
      <c r="AV314"/>
      <c r="AW314"/>
      <c r="AX314"/>
      <c r="AY314"/>
      <c r="AZ314"/>
      <c r="BA314"/>
      <c r="BB314"/>
      <c r="BC314"/>
      <c r="BD314"/>
    </row>
    <row r="315" spans="1:56" s="316" customFormat="1" x14ac:dyDescent="0.35">
      <c r="B315" s="375"/>
      <c r="C315" s="375"/>
      <c r="D315" s="375"/>
      <c r="E315" s="376"/>
      <c r="F315" s="376"/>
      <c r="G315" s="377"/>
      <c r="H315" s="378"/>
      <c r="I315" s="378"/>
      <c r="J315" s="378"/>
      <c r="K315" s="378"/>
      <c r="L315" s="378"/>
      <c r="M315" s="378"/>
      <c r="N315" s="366"/>
      <c r="AB315" s="144"/>
      <c r="AC315" s="144"/>
      <c r="AD315" s="158"/>
      <c r="AE315" s="158"/>
      <c r="AF315" s="400"/>
      <c r="AG315" s="400"/>
      <c r="AH315" s="400"/>
      <c r="AI315" s="400"/>
      <c r="AJ315" s="400"/>
      <c r="AK315" s="400"/>
      <c r="AL315" s="400"/>
      <c r="AM315" s="400"/>
      <c r="AN315"/>
      <c r="AO315"/>
      <c r="AP315"/>
      <c r="AQ315"/>
      <c r="AR315"/>
      <c r="AS315"/>
      <c r="AT315"/>
      <c r="AU315"/>
      <c r="AV315"/>
      <c r="AW315"/>
      <c r="AX315"/>
      <c r="AY315"/>
      <c r="AZ315"/>
      <c r="BA315"/>
      <c r="BB315"/>
      <c r="BC315"/>
      <c r="BD315"/>
    </row>
    <row r="316" spans="1:56" s="316" customFormat="1" x14ac:dyDescent="0.35">
      <c r="B316" s="375"/>
      <c r="C316" s="375"/>
      <c r="D316" s="375"/>
      <c r="E316" s="376"/>
      <c r="F316" s="376"/>
      <c r="G316" s="377"/>
      <c r="H316" s="378"/>
      <c r="I316" s="378"/>
      <c r="J316" s="378"/>
      <c r="K316" s="378"/>
      <c r="L316" s="378"/>
      <c r="M316" s="378"/>
      <c r="N316" s="366"/>
      <c r="AB316" s="144"/>
      <c r="AC316" s="144"/>
      <c r="AD316" s="158"/>
      <c r="AE316" s="158"/>
      <c r="AF316" s="400"/>
      <c r="AG316" s="400"/>
      <c r="AH316" s="400"/>
      <c r="AI316" s="400"/>
      <c r="AJ316" s="400"/>
      <c r="AK316" s="400"/>
      <c r="AL316" s="400"/>
      <c r="AM316" s="400"/>
      <c r="AN316"/>
      <c r="AO316"/>
      <c r="AP316"/>
      <c r="AQ316"/>
      <c r="AR316"/>
      <c r="AS316"/>
      <c r="AT316"/>
      <c r="AU316"/>
      <c r="AV316"/>
      <c r="AW316"/>
      <c r="AX316"/>
      <c r="AY316"/>
      <c r="AZ316"/>
      <c r="BA316"/>
      <c r="BB316"/>
      <c r="BC316"/>
      <c r="BD316"/>
    </row>
    <row r="317" spans="1:56" s="316" customFormat="1" x14ac:dyDescent="0.35">
      <c r="B317" s="375"/>
      <c r="C317" s="375"/>
      <c r="D317" s="375"/>
      <c r="E317" s="376"/>
      <c r="F317" s="376"/>
      <c r="G317" s="377"/>
      <c r="H317" s="378"/>
      <c r="I317" s="378"/>
      <c r="J317" s="378"/>
      <c r="K317" s="378"/>
      <c r="L317" s="378"/>
      <c r="M317" s="378"/>
      <c r="N317" s="366"/>
      <c r="AB317" s="158"/>
      <c r="AC317" s="158"/>
      <c r="AD317" s="158"/>
      <c r="AE317" s="158"/>
      <c r="AF317" s="400"/>
      <c r="AG317" s="400"/>
      <c r="AH317" s="400"/>
      <c r="AI317" s="400"/>
      <c r="AJ317" s="400"/>
      <c r="AK317" s="400"/>
      <c r="AL317" s="400"/>
      <c r="AM317" s="400"/>
      <c r="AN317"/>
      <c r="AO317"/>
      <c r="AP317"/>
      <c r="AQ317"/>
      <c r="AR317"/>
      <c r="AS317"/>
      <c r="AT317"/>
      <c r="AU317"/>
      <c r="AV317"/>
      <c r="AW317"/>
      <c r="AX317"/>
      <c r="AY317"/>
      <c r="AZ317"/>
      <c r="BA317"/>
      <c r="BB317"/>
      <c r="BC317"/>
      <c r="BD317"/>
    </row>
    <row r="318" spans="1:56" s="316" customFormat="1" x14ac:dyDescent="0.35">
      <c r="B318" s="375"/>
      <c r="C318" s="375"/>
      <c r="D318" s="375"/>
      <c r="E318" s="376"/>
      <c r="F318" s="376"/>
      <c r="G318" s="377"/>
      <c r="H318" s="378"/>
      <c r="I318" s="378"/>
      <c r="J318" s="378"/>
      <c r="K318" s="378"/>
      <c r="L318" s="378"/>
      <c r="M318" s="378"/>
      <c r="N318" s="366"/>
      <c r="AB318" s="158"/>
      <c r="AC318" s="158"/>
      <c r="AD318" s="158"/>
      <c r="AE318" s="158"/>
      <c r="AF318" s="159"/>
      <c r="AG318" s="159"/>
      <c r="AH318" s="158"/>
      <c r="AI318" s="158"/>
      <c r="AJ318" s="158"/>
      <c r="AK318" s="158"/>
      <c r="AL318" s="158"/>
      <c r="AM318" s="158"/>
      <c r="AN318"/>
      <c r="AO318"/>
      <c r="AP318"/>
      <c r="AQ318"/>
      <c r="AR318"/>
      <c r="AS318"/>
      <c r="AT318"/>
      <c r="AU318"/>
      <c r="AV318"/>
      <c r="AW318"/>
      <c r="AX318"/>
      <c r="AY318"/>
      <c r="AZ318"/>
      <c r="BA318"/>
      <c r="BB318"/>
      <c r="BC318"/>
      <c r="BD318"/>
    </row>
    <row r="319" spans="1:56" s="316" customFormat="1" x14ac:dyDescent="0.35">
      <c r="B319" s="375"/>
      <c r="C319" s="375"/>
      <c r="D319" s="375"/>
      <c r="E319" s="376"/>
      <c r="F319" s="376"/>
      <c r="G319" s="377"/>
      <c r="H319" s="378"/>
      <c r="I319" s="378"/>
      <c r="J319" s="378"/>
      <c r="K319" s="378"/>
      <c r="L319" s="378"/>
      <c r="M319" s="378"/>
      <c r="N319" s="366"/>
      <c r="AB319" s="158"/>
      <c r="AC319" s="158"/>
      <c r="AD319" s="158"/>
      <c r="AE319" s="158"/>
      <c r="AF319" s="158"/>
      <c r="AG319" s="158"/>
      <c r="AH319" s="158"/>
      <c r="AI319" s="158"/>
      <c r="AJ319" s="158"/>
      <c r="AK319" s="158"/>
      <c r="AL319" s="158"/>
      <c r="AM319" s="158"/>
      <c r="AN319"/>
      <c r="AO319"/>
      <c r="AP319"/>
      <c r="AQ319"/>
      <c r="AR319"/>
      <c r="AS319"/>
      <c r="AT319"/>
      <c r="AU319"/>
      <c r="AV319"/>
      <c r="AW319"/>
      <c r="AX319"/>
      <c r="AY319"/>
      <c r="AZ319"/>
      <c r="BA319"/>
      <c r="BB319"/>
      <c r="BC319"/>
      <c r="BD319"/>
    </row>
    <row r="320" spans="1:56" s="316" customFormat="1" x14ac:dyDescent="0.35">
      <c r="B320" s="375"/>
      <c r="C320" s="375"/>
      <c r="D320" s="375"/>
      <c r="E320" s="376"/>
      <c r="F320" s="376"/>
      <c r="G320" s="377"/>
      <c r="H320" s="378"/>
      <c r="I320" s="378"/>
      <c r="J320" s="378"/>
      <c r="K320" s="378"/>
      <c r="L320" s="378"/>
      <c r="M320" s="378"/>
      <c r="N320" s="366"/>
      <c r="AB320" s="158"/>
      <c r="AC320" s="158"/>
      <c r="AD320" s="158"/>
      <c r="AE320" s="158"/>
      <c r="AF320" s="158"/>
      <c r="AG320" s="158"/>
      <c r="AH320" s="158"/>
      <c r="AI320" s="158"/>
      <c r="AJ320" s="158"/>
      <c r="AK320" s="158"/>
      <c r="AL320" s="158"/>
      <c r="AM320" s="158"/>
      <c r="AN320"/>
      <c r="AO320"/>
      <c r="AP320"/>
      <c r="AQ320"/>
      <c r="AR320"/>
      <c r="AS320"/>
      <c r="AT320"/>
      <c r="AU320"/>
      <c r="AV320"/>
      <c r="AW320"/>
      <c r="AX320"/>
      <c r="AY320"/>
      <c r="AZ320"/>
      <c r="BA320"/>
      <c r="BB320"/>
      <c r="BC320"/>
      <c r="BD320"/>
    </row>
    <row r="321" spans="2:56" s="316" customFormat="1" x14ac:dyDescent="0.35">
      <c r="B321" s="375"/>
      <c r="C321" s="375"/>
      <c r="D321" s="375"/>
      <c r="E321" s="376"/>
      <c r="F321" s="376"/>
      <c r="G321" s="377"/>
      <c r="H321" s="378"/>
      <c r="I321" s="378"/>
      <c r="J321" s="378"/>
      <c r="K321" s="378"/>
      <c r="L321" s="378"/>
      <c r="M321" s="378"/>
      <c r="N321" s="366"/>
      <c r="AB321" s="158"/>
      <c r="AC321" s="158"/>
      <c r="AD321" s="158"/>
      <c r="AE321" s="158"/>
      <c r="AF321" s="158"/>
      <c r="AG321" s="158"/>
      <c r="AH321" s="158"/>
      <c r="AI321" s="158"/>
      <c r="AJ321" s="158"/>
      <c r="AK321" s="158"/>
      <c r="AL321" s="158"/>
      <c r="AM321" s="158"/>
      <c r="AN321"/>
      <c r="AO321"/>
      <c r="AP321"/>
      <c r="AQ321"/>
      <c r="AR321"/>
      <c r="AS321"/>
      <c r="AT321"/>
      <c r="AU321"/>
      <c r="AV321"/>
      <c r="AW321"/>
      <c r="AX321"/>
      <c r="AY321"/>
      <c r="AZ321"/>
      <c r="BA321"/>
      <c r="BB321"/>
      <c r="BC321"/>
      <c r="BD321"/>
    </row>
    <row r="322" spans="2:56" s="316" customFormat="1" x14ac:dyDescent="0.35">
      <c r="B322" s="375"/>
      <c r="C322" s="375"/>
      <c r="D322" s="375"/>
      <c r="E322" s="376"/>
      <c r="F322" s="376"/>
      <c r="G322" s="377"/>
      <c r="H322" s="378"/>
      <c r="I322" s="378"/>
      <c r="J322" s="378"/>
      <c r="K322" s="378"/>
      <c r="L322" s="378"/>
      <c r="M322" s="378"/>
      <c r="N322" s="366"/>
      <c r="AB322" s="158"/>
      <c r="AC322" s="158"/>
      <c r="AD322" s="158"/>
      <c r="AE322" s="158"/>
      <c r="AF322" s="158"/>
      <c r="AG322" s="158"/>
      <c r="AH322" s="158"/>
      <c r="AI322" s="158"/>
      <c r="AJ322" s="158"/>
      <c r="AK322" s="158"/>
      <c r="AL322" s="158"/>
      <c r="AM322" s="158"/>
      <c r="AN322"/>
      <c r="AO322"/>
      <c r="AP322"/>
      <c r="AQ322"/>
      <c r="AR322"/>
      <c r="AS322"/>
      <c r="AT322"/>
      <c r="AU322"/>
      <c r="AV322"/>
      <c r="AW322"/>
      <c r="AX322"/>
      <c r="AY322"/>
      <c r="AZ322"/>
      <c r="BA322"/>
      <c r="BB322"/>
      <c r="BC322"/>
      <c r="BD322"/>
    </row>
    <row r="323" spans="2:56" s="316" customFormat="1" x14ac:dyDescent="0.35">
      <c r="B323" s="375"/>
      <c r="C323" s="375"/>
      <c r="D323" s="375"/>
      <c r="E323" s="376"/>
      <c r="F323" s="376"/>
      <c r="G323" s="377"/>
      <c r="H323" s="378"/>
      <c r="I323" s="378"/>
      <c r="J323" s="378"/>
      <c r="K323" s="378"/>
      <c r="L323" s="378"/>
      <c r="M323" s="378"/>
      <c r="N323" s="366"/>
      <c r="AB323" s="158"/>
      <c r="AC323" s="158"/>
      <c r="AD323" s="158"/>
      <c r="AE323" s="158"/>
      <c r="AF323" s="158"/>
      <c r="AG323" s="158"/>
      <c r="AH323" s="158"/>
      <c r="AI323" s="158"/>
      <c r="AJ323" s="158"/>
      <c r="AK323" s="158"/>
      <c r="AL323" s="158"/>
      <c r="AM323" s="158"/>
      <c r="AN323"/>
      <c r="AO323"/>
      <c r="AP323"/>
      <c r="AQ323"/>
      <c r="AR323"/>
      <c r="AS323"/>
      <c r="AT323"/>
      <c r="AU323"/>
      <c r="AV323"/>
      <c r="AW323"/>
      <c r="AX323"/>
      <c r="AY323"/>
      <c r="AZ323"/>
      <c r="BA323"/>
      <c r="BB323"/>
      <c r="BC323"/>
      <c r="BD323"/>
    </row>
    <row r="324" spans="2:56" s="316" customFormat="1" x14ac:dyDescent="0.35">
      <c r="B324" s="375"/>
      <c r="C324" s="375"/>
      <c r="D324" s="375"/>
      <c r="E324" s="376"/>
      <c r="F324" s="376"/>
      <c r="G324" s="377"/>
      <c r="H324" s="378"/>
      <c r="I324" s="378"/>
      <c r="J324" s="378"/>
      <c r="K324" s="378"/>
      <c r="L324" s="378"/>
      <c r="M324" s="378"/>
      <c r="N324" s="366"/>
      <c r="AB324" s="158"/>
      <c r="AC324" s="158"/>
      <c r="AD324" s="158"/>
      <c r="AE324" s="158"/>
      <c r="AF324" s="158"/>
      <c r="AG324" s="158"/>
      <c r="AH324" s="158"/>
      <c r="AI324" s="158"/>
      <c r="AJ324" s="158"/>
      <c r="AK324" s="158"/>
      <c r="AL324" s="158"/>
      <c r="AM324" s="158"/>
      <c r="AN324"/>
      <c r="AO324"/>
      <c r="AP324"/>
      <c r="AQ324"/>
      <c r="AR324"/>
      <c r="AS324"/>
      <c r="AT324"/>
      <c r="AU324"/>
      <c r="AV324"/>
      <c r="AW324"/>
      <c r="AX324"/>
      <c r="AY324"/>
      <c r="AZ324"/>
      <c r="BA324"/>
      <c r="BB324"/>
      <c r="BC324"/>
      <c r="BD324"/>
    </row>
    <row r="325" spans="2:56" s="316" customFormat="1" x14ac:dyDescent="0.35">
      <c r="B325" s="375"/>
      <c r="C325" s="375"/>
      <c r="D325" s="375"/>
      <c r="E325" s="376"/>
      <c r="F325" s="376"/>
      <c r="G325" s="377"/>
      <c r="H325" s="378"/>
      <c r="I325" s="378"/>
      <c r="J325" s="378"/>
      <c r="K325" s="378"/>
      <c r="L325" s="378"/>
      <c r="M325" s="378"/>
      <c r="N325" s="366"/>
      <c r="AB325" s="158"/>
      <c r="AC325" s="158"/>
      <c r="AD325" s="158"/>
      <c r="AE325" s="158"/>
      <c r="AF325" s="158"/>
      <c r="AG325" s="158"/>
      <c r="AH325" s="158"/>
      <c r="AI325" s="158"/>
      <c r="AJ325" s="158"/>
      <c r="AK325" s="158"/>
      <c r="AL325" s="158"/>
      <c r="AM325" s="158"/>
      <c r="AN325"/>
      <c r="AO325"/>
      <c r="AP325"/>
      <c r="AQ325"/>
      <c r="AR325"/>
      <c r="AS325"/>
      <c r="AT325"/>
      <c r="AU325"/>
      <c r="AV325"/>
      <c r="AW325"/>
      <c r="AX325"/>
      <c r="AY325"/>
      <c r="AZ325"/>
      <c r="BA325"/>
      <c r="BB325"/>
      <c r="BC325"/>
      <c r="BD325"/>
    </row>
    <row r="326" spans="2:56" s="316" customFormat="1" x14ac:dyDescent="0.35">
      <c r="B326" s="375"/>
      <c r="C326" s="375"/>
      <c r="D326" s="375"/>
      <c r="E326" s="376"/>
      <c r="F326" s="376"/>
      <c r="G326" s="377"/>
      <c r="H326" s="378"/>
      <c r="I326" s="378"/>
      <c r="J326" s="378"/>
      <c r="K326" s="378"/>
      <c r="L326" s="378"/>
      <c r="M326" s="378"/>
      <c r="N326" s="366"/>
      <c r="AB326" s="158"/>
      <c r="AC326" s="158"/>
      <c r="AD326" s="158"/>
      <c r="AE326" s="158"/>
      <c r="AF326" s="158"/>
      <c r="AG326" s="158"/>
      <c r="AH326" s="158"/>
      <c r="AI326" s="158"/>
      <c r="AJ326" s="158"/>
      <c r="AK326" s="158"/>
      <c r="AL326" s="158"/>
      <c r="AM326" s="158"/>
      <c r="AN326"/>
      <c r="AO326"/>
      <c r="AP326"/>
      <c r="AQ326"/>
      <c r="AR326"/>
      <c r="AS326"/>
      <c r="AT326"/>
      <c r="AU326"/>
      <c r="AV326"/>
      <c r="AW326"/>
      <c r="AX326"/>
      <c r="AY326"/>
      <c r="AZ326"/>
      <c r="BA326"/>
      <c r="BB326"/>
      <c r="BC326"/>
      <c r="BD326"/>
    </row>
    <row r="327" spans="2:56" s="316" customFormat="1" x14ac:dyDescent="0.35">
      <c r="B327" s="375"/>
      <c r="C327" s="375"/>
      <c r="D327" s="375"/>
      <c r="E327" s="376"/>
      <c r="F327" s="376"/>
      <c r="G327" s="377"/>
      <c r="H327" s="378"/>
      <c r="I327" s="378"/>
      <c r="J327" s="378"/>
      <c r="K327" s="378"/>
      <c r="L327" s="378"/>
      <c r="M327" s="378"/>
      <c r="N327" s="366"/>
      <c r="AB327" s="158"/>
      <c r="AC327" s="158"/>
      <c r="AD327" s="158"/>
      <c r="AE327" s="158"/>
      <c r="AF327" s="158"/>
      <c r="AG327" s="158"/>
      <c r="AH327" s="158"/>
      <c r="AI327" s="158"/>
      <c r="AJ327" s="158"/>
      <c r="AK327" s="158"/>
      <c r="AL327" s="158"/>
      <c r="AM327" s="158"/>
      <c r="AN327"/>
      <c r="AO327"/>
      <c r="AP327"/>
      <c r="AQ327"/>
      <c r="AR327"/>
      <c r="AS327"/>
      <c r="AT327"/>
      <c r="AU327"/>
      <c r="AV327"/>
      <c r="AW327"/>
      <c r="AX327"/>
      <c r="AY327"/>
      <c r="AZ327"/>
      <c r="BA327"/>
      <c r="BB327"/>
      <c r="BC327"/>
      <c r="BD327"/>
    </row>
    <row r="328" spans="2:56" s="316" customFormat="1" x14ac:dyDescent="0.35">
      <c r="B328" s="375"/>
      <c r="C328" s="375"/>
      <c r="D328" s="375"/>
      <c r="E328" s="376"/>
      <c r="F328" s="376"/>
      <c r="G328" s="377"/>
      <c r="H328" s="378"/>
      <c r="I328" s="378"/>
      <c r="J328" s="378"/>
      <c r="K328" s="378"/>
      <c r="L328" s="378"/>
      <c r="M328" s="378"/>
      <c r="N328" s="366"/>
      <c r="AB328" s="158"/>
      <c r="AC328" s="158"/>
      <c r="AD328" s="158"/>
      <c r="AE328" s="158"/>
      <c r="AF328" s="158"/>
      <c r="AG328" s="158"/>
      <c r="AH328" s="158"/>
      <c r="AI328" s="158"/>
      <c r="AJ328" s="158"/>
      <c r="AK328" s="158"/>
      <c r="AL328" s="158"/>
      <c r="AM328" s="158"/>
      <c r="AN328"/>
      <c r="AO328"/>
      <c r="AP328"/>
      <c r="AQ328"/>
      <c r="AR328"/>
      <c r="AS328"/>
      <c r="AT328"/>
      <c r="AU328"/>
      <c r="AV328"/>
      <c r="AW328"/>
      <c r="AX328"/>
      <c r="AY328"/>
      <c r="AZ328"/>
      <c r="BA328"/>
      <c r="BB328"/>
      <c r="BC328"/>
      <c r="BD328"/>
    </row>
    <row r="329" spans="2:56" s="316" customFormat="1" x14ac:dyDescent="0.35">
      <c r="B329" s="375"/>
      <c r="C329" s="375"/>
      <c r="D329" s="375"/>
      <c r="E329" s="376"/>
      <c r="F329" s="376"/>
      <c r="G329" s="377"/>
      <c r="H329" s="378"/>
      <c r="I329" s="378"/>
      <c r="J329" s="378"/>
      <c r="K329" s="378"/>
      <c r="L329" s="378"/>
      <c r="M329" s="378"/>
      <c r="N329" s="366"/>
      <c r="AB329" s="158"/>
      <c r="AC329" s="158"/>
      <c r="AD329" s="158"/>
      <c r="AE329" s="158"/>
      <c r="AF329" s="158"/>
      <c r="AG329" s="158"/>
      <c r="AH329" s="158"/>
      <c r="AI329" s="158"/>
      <c r="AJ329" s="158"/>
      <c r="AK329" s="158"/>
      <c r="AL329" s="158"/>
      <c r="AM329" s="158"/>
      <c r="AN329"/>
      <c r="AO329"/>
      <c r="AP329"/>
      <c r="AQ329"/>
      <c r="AR329"/>
      <c r="AS329"/>
      <c r="AT329"/>
      <c r="AU329"/>
      <c r="AV329"/>
      <c r="AW329"/>
      <c r="AX329"/>
      <c r="AY329"/>
      <c r="AZ329"/>
      <c r="BA329"/>
      <c r="BB329"/>
      <c r="BC329"/>
      <c r="BD329"/>
    </row>
    <row r="330" spans="2:56" s="316" customFormat="1" x14ac:dyDescent="0.35">
      <c r="B330" s="375"/>
      <c r="C330" s="375"/>
      <c r="D330" s="375"/>
      <c r="E330" s="376"/>
      <c r="F330" s="376"/>
      <c r="G330" s="377"/>
      <c r="H330" s="378"/>
      <c r="I330" s="378"/>
      <c r="J330" s="378"/>
      <c r="K330" s="378"/>
      <c r="L330" s="378"/>
      <c r="M330" s="378"/>
      <c r="N330" s="366"/>
      <c r="AB330" s="158"/>
      <c r="AC330" s="158"/>
      <c r="AD330" s="158"/>
      <c r="AE330" s="158"/>
      <c r="AF330" s="158"/>
      <c r="AG330" s="158"/>
      <c r="AH330" s="158"/>
      <c r="AI330" s="158"/>
      <c r="AJ330" s="158"/>
      <c r="AK330" s="158"/>
      <c r="AL330" s="158"/>
      <c r="AM330" s="158"/>
      <c r="AN330"/>
      <c r="AO330"/>
      <c r="AP330"/>
      <c r="AQ330"/>
      <c r="AR330"/>
      <c r="AS330"/>
      <c r="AT330"/>
      <c r="AU330"/>
      <c r="AV330"/>
      <c r="AW330"/>
      <c r="AX330"/>
      <c r="AY330"/>
      <c r="AZ330"/>
      <c r="BA330"/>
      <c r="BB330"/>
      <c r="BC330"/>
      <c r="BD330"/>
    </row>
    <row r="331" spans="2:56" s="316" customFormat="1" x14ac:dyDescent="0.35">
      <c r="B331" s="375"/>
      <c r="C331" s="375"/>
      <c r="D331" s="375"/>
      <c r="E331" s="376"/>
      <c r="F331" s="376"/>
      <c r="G331" s="377"/>
      <c r="H331" s="378"/>
      <c r="I331" s="378"/>
      <c r="J331" s="378"/>
      <c r="K331" s="378"/>
      <c r="L331" s="378"/>
      <c r="M331" s="378"/>
      <c r="N331" s="366"/>
      <c r="AB331" s="158"/>
      <c r="AC331" s="158"/>
      <c r="AD331" s="158"/>
      <c r="AE331" s="158"/>
      <c r="AF331" s="158"/>
      <c r="AG331" s="158"/>
      <c r="AH331" s="158"/>
      <c r="AI331" s="158"/>
      <c r="AJ331" s="158"/>
      <c r="AK331" s="158"/>
      <c r="AL331" s="158"/>
      <c r="AM331" s="158"/>
      <c r="AN331"/>
      <c r="AO331"/>
      <c r="AP331"/>
      <c r="AQ331"/>
      <c r="AR331"/>
      <c r="AS331"/>
      <c r="AT331"/>
      <c r="AU331"/>
      <c r="AV331"/>
      <c r="AW331"/>
      <c r="AX331"/>
      <c r="AY331"/>
      <c r="AZ331"/>
      <c r="BA331"/>
      <c r="BB331"/>
      <c r="BC331"/>
      <c r="BD331"/>
    </row>
    <row r="332" spans="2:56" s="316" customFormat="1" x14ac:dyDescent="0.35">
      <c r="B332" s="375"/>
      <c r="C332" s="375"/>
      <c r="D332" s="375"/>
      <c r="E332" s="376"/>
      <c r="F332" s="376"/>
      <c r="G332" s="377"/>
      <c r="H332" s="378"/>
      <c r="I332" s="378"/>
      <c r="J332" s="378"/>
      <c r="K332" s="378"/>
      <c r="L332" s="378"/>
      <c r="M332" s="378"/>
      <c r="N332" s="366"/>
      <c r="AB332" s="158"/>
      <c r="AC332" s="158"/>
      <c r="AD332" s="158"/>
      <c r="AE332" s="158"/>
      <c r="AF332" s="158"/>
      <c r="AG332" s="158"/>
      <c r="AH332" s="158"/>
      <c r="AI332" s="158"/>
      <c r="AJ332" s="158"/>
      <c r="AK332" s="158"/>
      <c r="AL332" s="158"/>
      <c r="AM332" s="158"/>
      <c r="AN332"/>
      <c r="AO332"/>
      <c r="AP332"/>
      <c r="AQ332"/>
      <c r="AR332"/>
      <c r="AS332"/>
      <c r="AT332"/>
      <c r="AU332"/>
      <c r="AV332"/>
      <c r="AW332"/>
      <c r="AX332"/>
      <c r="AY332"/>
      <c r="AZ332"/>
      <c r="BA332"/>
      <c r="BB332"/>
      <c r="BC332"/>
      <c r="BD332"/>
    </row>
    <row r="333" spans="2:56" s="316" customFormat="1" x14ac:dyDescent="0.35">
      <c r="B333" s="375"/>
      <c r="C333" s="375"/>
      <c r="D333" s="375"/>
      <c r="E333" s="376"/>
      <c r="F333" s="376"/>
      <c r="G333" s="377"/>
      <c r="H333" s="378"/>
      <c r="I333" s="378"/>
      <c r="J333" s="378"/>
      <c r="K333" s="378"/>
      <c r="L333" s="378"/>
      <c r="M333" s="378"/>
      <c r="N333" s="366"/>
      <c r="AB333" s="158"/>
      <c r="AC333" s="158"/>
      <c r="AD333" s="158"/>
      <c r="AE333" s="158"/>
      <c r="AF333" s="158"/>
      <c r="AG333" s="158"/>
      <c r="AH333" s="158"/>
      <c r="AI333" s="158"/>
      <c r="AJ333" s="158"/>
      <c r="AK333" s="158"/>
      <c r="AL333" s="158"/>
      <c r="AM333" s="158"/>
      <c r="AN333"/>
      <c r="AO333"/>
      <c r="AP333"/>
      <c r="AQ333"/>
      <c r="AR333"/>
      <c r="AS333"/>
      <c r="AT333"/>
      <c r="AU333"/>
      <c r="AV333"/>
      <c r="AW333"/>
      <c r="AX333"/>
      <c r="AY333"/>
      <c r="AZ333"/>
      <c r="BA333"/>
      <c r="BB333"/>
      <c r="BC333"/>
      <c r="BD333"/>
    </row>
    <row r="334" spans="2:56" s="316" customFormat="1" x14ac:dyDescent="0.35">
      <c r="B334" s="375"/>
      <c r="C334" s="375"/>
      <c r="D334" s="375"/>
      <c r="E334" s="376"/>
      <c r="F334" s="376"/>
      <c r="G334" s="377"/>
      <c r="H334" s="378"/>
      <c r="I334" s="378"/>
      <c r="J334" s="378"/>
      <c r="K334" s="378"/>
      <c r="L334" s="378"/>
      <c r="M334" s="378"/>
      <c r="N334" s="366"/>
      <c r="AB334" s="158"/>
      <c r="AC334" s="158"/>
      <c r="AD334" s="158"/>
      <c r="AE334" s="158"/>
      <c r="AF334" s="158"/>
      <c r="AG334" s="158"/>
      <c r="AH334" s="158"/>
      <c r="AI334" s="158"/>
      <c r="AJ334" s="158"/>
      <c r="AK334" s="158"/>
      <c r="AL334" s="158"/>
      <c r="AM334" s="158"/>
      <c r="AN334"/>
      <c r="AO334"/>
      <c r="AP334"/>
      <c r="AQ334"/>
      <c r="AR334"/>
      <c r="AS334"/>
      <c r="AT334"/>
      <c r="AU334"/>
      <c r="AV334"/>
      <c r="AW334"/>
      <c r="AX334"/>
      <c r="AY334"/>
      <c r="AZ334"/>
      <c r="BA334"/>
      <c r="BB334"/>
      <c r="BC334"/>
      <c r="BD334"/>
    </row>
    <row r="335" spans="2:56" s="316" customFormat="1" x14ac:dyDescent="0.35">
      <c r="B335" s="375"/>
      <c r="C335" s="375"/>
      <c r="D335" s="375"/>
      <c r="E335" s="376"/>
      <c r="F335" s="376"/>
      <c r="G335" s="377"/>
      <c r="H335" s="378"/>
      <c r="I335" s="378"/>
      <c r="J335" s="378"/>
      <c r="K335" s="378"/>
      <c r="L335" s="378"/>
      <c r="M335" s="378"/>
      <c r="N335" s="366"/>
      <c r="AB335" s="158"/>
      <c r="AC335" s="158"/>
      <c r="AD335" s="158"/>
      <c r="AE335" s="158"/>
      <c r="AF335" s="158"/>
      <c r="AG335" s="158"/>
      <c r="AH335" s="158"/>
      <c r="AI335" s="158"/>
      <c r="AJ335" s="158"/>
      <c r="AK335" s="158"/>
      <c r="AL335" s="158"/>
      <c r="AM335" s="158"/>
      <c r="AN335"/>
      <c r="AO335"/>
      <c r="AP335"/>
      <c r="AQ335"/>
      <c r="AR335"/>
      <c r="AS335"/>
      <c r="AT335"/>
      <c r="AU335"/>
      <c r="AV335"/>
      <c r="AW335"/>
      <c r="AX335"/>
      <c r="AY335"/>
      <c r="AZ335"/>
      <c r="BA335"/>
      <c r="BB335"/>
      <c r="BC335"/>
      <c r="BD335"/>
    </row>
    <row r="336" spans="2:56" s="316" customFormat="1" x14ac:dyDescent="0.35">
      <c r="B336" s="375"/>
      <c r="C336" s="375"/>
      <c r="D336" s="375"/>
      <c r="E336" s="376"/>
      <c r="F336" s="376"/>
      <c r="G336" s="377"/>
      <c r="H336" s="378"/>
      <c r="I336" s="378"/>
      <c r="J336" s="378"/>
      <c r="K336" s="378"/>
      <c r="L336" s="378"/>
      <c r="M336" s="378"/>
      <c r="N336" s="366"/>
      <c r="AB336" s="158"/>
      <c r="AC336" s="158"/>
      <c r="AD336" s="158"/>
      <c r="AE336" s="158"/>
      <c r="AF336" s="158"/>
      <c r="AG336" s="158"/>
      <c r="AH336" s="158"/>
      <c r="AI336" s="158"/>
      <c r="AJ336" s="158"/>
      <c r="AK336" s="158"/>
      <c r="AL336" s="158"/>
      <c r="AM336" s="158"/>
      <c r="AN336"/>
      <c r="AO336"/>
      <c r="AP336"/>
      <c r="AQ336"/>
      <c r="AR336"/>
      <c r="AS336"/>
      <c r="AT336"/>
      <c r="AU336"/>
      <c r="AV336"/>
      <c r="AW336"/>
      <c r="AX336"/>
      <c r="AY336"/>
      <c r="AZ336"/>
      <c r="BA336"/>
      <c r="BB336"/>
      <c r="BC336"/>
      <c r="BD336"/>
    </row>
    <row r="337" spans="1:56" s="316" customFormat="1" x14ac:dyDescent="0.35">
      <c r="B337" s="375"/>
      <c r="C337" s="375"/>
      <c r="D337" s="375"/>
      <c r="E337" s="376"/>
      <c r="F337" s="376"/>
      <c r="G337" s="377"/>
      <c r="H337" s="378"/>
      <c r="I337" s="378"/>
      <c r="J337" s="378"/>
      <c r="K337" s="378"/>
      <c r="L337" s="378"/>
      <c r="M337" s="378"/>
      <c r="N337" s="366"/>
      <c r="AB337" s="158"/>
      <c r="AC337" s="158"/>
      <c r="AD337" s="158"/>
      <c r="AE337" s="158"/>
      <c r="AF337" s="158"/>
      <c r="AG337" s="158"/>
      <c r="AH337" s="158"/>
      <c r="AI337" s="158"/>
      <c r="AJ337" s="158"/>
      <c r="AK337" s="158"/>
      <c r="AL337" s="158"/>
      <c r="AM337" s="158"/>
      <c r="AN337"/>
      <c r="AO337"/>
      <c r="AP337"/>
      <c r="AQ337"/>
      <c r="AR337"/>
      <c r="AS337"/>
      <c r="AT337"/>
      <c r="AU337"/>
      <c r="AV337"/>
      <c r="AW337"/>
      <c r="AX337"/>
      <c r="AY337"/>
      <c r="AZ337"/>
      <c r="BA337"/>
      <c r="BB337"/>
      <c r="BC337"/>
      <c r="BD337"/>
    </row>
    <row r="338" spans="1:56" x14ac:dyDescent="0.35">
      <c r="B338" s="164"/>
      <c r="C338" s="164"/>
      <c r="D338" s="164"/>
      <c r="E338" s="82"/>
      <c r="F338" s="82"/>
      <c r="G338" s="237"/>
      <c r="H338" s="227"/>
      <c r="I338" s="227"/>
      <c r="J338" s="227"/>
      <c r="K338" s="227"/>
      <c r="L338" s="227"/>
      <c r="M338" s="227"/>
    </row>
    <row r="339" spans="1:56" ht="15.5" x14ac:dyDescent="0.35">
      <c r="A339" s="416">
        <v>8</v>
      </c>
      <c r="B339" s="418" t="s">
        <v>29</v>
      </c>
      <c r="C339" s="419"/>
      <c r="D339" s="419"/>
      <c r="E339" s="419"/>
      <c r="F339" s="419"/>
      <c r="G339" s="419"/>
      <c r="H339" s="419"/>
      <c r="I339" s="419"/>
      <c r="J339" s="419"/>
      <c r="K339" s="312"/>
      <c r="L339" s="312"/>
      <c r="M339" s="86"/>
    </row>
    <row r="340" spans="1:56" ht="32.15" customHeight="1" x14ac:dyDescent="0.35">
      <c r="A340" s="417"/>
      <c r="B340" s="420" t="str">
        <f>IF(E56="","",$F$3&amp;", "&amp;$B$48&amp;" and England")</f>
        <v>,  and England</v>
      </c>
      <c r="C340" s="421"/>
      <c r="D340" s="421"/>
      <c r="E340" s="421"/>
      <c r="F340" s="421"/>
      <c r="G340" s="421"/>
      <c r="H340" s="421"/>
      <c r="I340" s="421"/>
      <c r="J340" s="421"/>
      <c r="K340" s="52"/>
      <c r="L340" s="52"/>
      <c r="M340" s="39"/>
    </row>
    <row r="341" spans="1:56" x14ac:dyDescent="0.35">
      <c r="B341" s="253"/>
      <c r="C341" s="254"/>
      <c r="D341" s="254"/>
      <c r="E341" s="87">
        <v>2015</v>
      </c>
      <c r="F341" s="87">
        <v>2016</v>
      </c>
      <c r="G341" s="87">
        <v>2017</v>
      </c>
      <c r="H341" s="87">
        <v>2018</v>
      </c>
      <c r="I341" s="70">
        <v>2019</v>
      </c>
      <c r="J341" s="70">
        <v>2020</v>
      </c>
      <c r="K341" s="70">
        <v>2021</v>
      </c>
      <c r="L341" s="70">
        <v>2022</v>
      </c>
      <c r="M341" s="71">
        <v>2023</v>
      </c>
    </row>
    <row r="342" spans="1:56" x14ac:dyDescent="0.35">
      <c r="B342" s="56">
        <f>$F$3</f>
        <v>0</v>
      </c>
      <c r="C342" s="57"/>
      <c r="D342" s="57"/>
      <c r="E342" s="255"/>
      <c r="F342" s="323"/>
      <c r="G342" s="323"/>
      <c r="H342" s="323"/>
      <c r="I342" s="323"/>
      <c r="J342" s="323"/>
      <c r="K342" s="323"/>
      <c r="L342" s="323"/>
      <c r="M342" s="256"/>
    </row>
    <row r="343" spans="1:56" x14ac:dyDescent="0.35">
      <c r="B343" s="88" t="s">
        <v>30</v>
      </c>
      <c r="C343" s="89"/>
      <c r="D343" s="89"/>
      <c r="E343" s="257" t="str">
        <f>IFERROR(VLOOKUP($B$342,Y_1,29,0),"")</f>
        <v/>
      </c>
      <c r="F343" s="258" t="str">
        <f>IFERROR(VLOOKUP($B$342,Y_2,29,0),"")</f>
        <v/>
      </c>
      <c r="G343" s="257" t="str">
        <f>IFERROR(VLOOKUP($B$342,Y_3,29,0),"")</f>
        <v/>
      </c>
      <c r="H343" s="257" t="str">
        <f>IFERROR(VLOOKUP($B$342,Y_4,29,0),"")</f>
        <v/>
      </c>
      <c r="I343" s="257" t="str">
        <f>IFERROR(VLOOKUP($B$342,Y_5,29,0),"")</f>
        <v/>
      </c>
      <c r="J343" s="257" t="str">
        <f>IFERROR(VLOOKUP($B$342,Y_6,29,0),"")</f>
        <v/>
      </c>
      <c r="K343" s="257" t="str">
        <f>IFERROR(VLOOKUP($B$342,Y_7,29,0),"")</f>
        <v/>
      </c>
      <c r="L343" s="257" t="str">
        <f>IFERROR(VLOOKUP($B$342,Y_8,29,0),"")</f>
        <v/>
      </c>
      <c r="M343" s="259" t="str">
        <f>IFERROR(VLOOKUP($B$342,Y_9,29,0),"")</f>
        <v/>
      </c>
    </row>
    <row r="344" spans="1:56" x14ac:dyDescent="0.35">
      <c r="B344" s="90" t="s">
        <v>31</v>
      </c>
      <c r="C344" s="91"/>
      <c r="D344" s="91"/>
      <c r="E344" s="92" t="str">
        <f>IFERROR(VLOOKUP($B$342,Y_1,30,0),"")</f>
        <v/>
      </c>
      <c r="F344" s="92" t="str">
        <f>IFERROR(VLOOKUP($B$342,Y_2,30,0),"")</f>
        <v/>
      </c>
      <c r="G344" s="92" t="str">
        <f>IFERROR(VLOOKUP($B$342,Y_3,30,0),"")</f>
        <v/>
      </c>
      <c r="H344" s="92" t="str">
        <f>IFERROR(VLOOKUP($B$342,Y_4,30,0),"")</f>
        <v/>
      </c>
      <c r="I344" s="92" t="str">
        <f>IFERROR(VLOOKUP($B$342,Y_5,30,0),"")</f>
        <v/>
      </c>
      <c r="J344" s="92" t="str">
        <f>IFERROR(VLOOKUP($B$342,Y_6,30,0),"")</f>
        <v/>
      </c>
      <c r="K344" s="92" t="str">
        <f>IFERROR(VLOOKUP($B$342,Y_7,30,0),"")</f>
        <v/>
      </c>
      <c r="L344" s="92" t="str">
        <f>IFERROR(VLOOKUP($B$342,Y_8,30,0),"")</f>
        <v/>
      </c>
      <c r="M344" s="93" t="str">
        <f>IFERROR(VLOOKUP($B$342,Y_9,30,0),"")</f>
        <v/>
      </c>
    </row>
    <row r="345" spans="1:56" x14ac:dyDescent="0.35">
      <c r="B345" s="94" t="s">
        <v>32</v>
      </c>
      <c r="C345" s="95"/>
      <c r="D345" s="95"/>
      <c r="E345" s="96" t="str">
        <f>IFERROR(VLOOKUP($B$342,Y_1,31,0),"")</f>
        <v/>
      </c>
      <c r="F345" s="96" t="str">
        <f>IFERROR(VLOOKUP($B$342,Y_2,31,0),"")</f>
        <v/>
      </c>
      <c r="G345" s="96" t="str">
        <f>IFERROR(VLOOKUP($B$342,Y_3,31,0),"")</f>
        <v/>
      </c>
      <c r="H345" s="96" t="str">
        <f>IFERROR(VLOOKUP($B$342,Y_4,31,0),"")</f>
        <v/>
      </c>
      <c r="I345" s="96" t="str">
        <f>IFERROR(VLOOKUP($B$342,Y_5,31,0),"")</f>
        <v/>
      </c>
      <c r="J345" s="96" t="str">
        <f>IFERROR(VLOOKUP($B$342,Y_6,31,0),"")</f>
        <v/>
      </c>
      <c r="K345" s="96" t="str">
        <f>IFERROR(VLOOKUP($B$342,Y_7,31,0),"")</f>
        <v/>
      </c>
      <c r="L345" s="96" t="str">
        <f>IFERROR(VLOOKUP($B$342,Y_8,31,0),"")</f>
        <v/>
      </c>
      <c r="M345" s="97" t="str">
        <f>IFERROR(VLOOKUP($B$342,Y_9,31,0),"")</f>
        <v/>
      </c>
    </row>
    <row r="346" spans="1:56" x14ac:dyDescent="0.35">
      <c r="B346" s="98" t="s">
        <v>33</v>
      </c>
      <c r="C346" s="99"/>
      <c r="D346" s="99"/>
      <c r="E346" s="100" t="str">
        <f>IFERROR(VLOOKUP($B$342,Y_1,32,0),"")</f>
        <v/>
      </c>
      <c r="F346" s="101" t="str">
        <f>IFERROR(VLOOKUP($B$342,Y_2,32,0),"")</f>
        <v/>
      </c>
      <c r="G346" s="102" t="str">
        <f>IFERROR(VLOOKUP($B$342,Y_3,32,0),"")</f>
        <v/>
      </c>
      <c r="H346" s="102" t="str">
        <f>IFERROR(VLOOKUP($B$342,Y_4,32,0),"")</f>
        <v/>
      </c>
      <c r="I346" s="102" t="str">
        <f>IFERROR(VLOOKUP($B$342,Y_5,32,0),"")</f>
        <v/>
      </c>
      <c r="J346" s="102" t="str">
        <f>IFERROR(VLOOKUP($B$342,Y_6,32,0),"")</f>
        <v/>
      </c>
      <c r="K346" s="102" t="str">
        <f>IFERROR(VLOOKUP($B$342,Y_7,32,0),"")</f>
        <v/>
      </c>
      <c r="L346" s="102" t="str">
        <f>IFERROR(VLOOKUP($B$342,Y_8,32,0),"")</f>
        <v/>
      </c>
      <c r="M346" s="103" t="str">
        <f>IFERROR(VLOOKUP($B$342,Y_9,32,0),"")</f>
        <v/>
      </c>
    </row>
    <row r="347" spans="1:56" x14ac:dyDescent="0.35">
      <c r="B347" s="163" t="s">
        <v>34</v>
      </c>
      <c r="C347" s="164"/>
      <c r="D347" s="164"/>
      <c r="E347" s="165" t="str">
        <f>IFERROR($E$346/$E$343,"")</f>
        <v/>
      </c>
      <c r="F347" s="165" t="str">
        <f>IFERROR($F$346/$F$343,"")</f>
        <v/>
      </c>
      <c r="G347" s="165" t="str">
        <f>IFERROR($G$346/$G$343,"")</f>
        <v/>
      </c>
      <c r="H347" s="165" t="str">
        <f>IFERROR($H$346/$H$343,"")</f>
        <v/>
      </c>
      <c r="I347" s="165" t="str">
        <f>IFERROR($I$346/$I$343,"")</f>
        <v/>
      </c>
      <c r="J347" s="165" t="str">
        <f>IFERROR($J$346/$J$343,"")</f>
        <v/>
      </c>
      <c r="K347" s="165" t="str">
        <f>IFERROR($K$346/$K$343,"")</f>
        <v/>
      </c>
      <c r="L347" s="165" t="str">
        <f>IFERROR($L$346/$L$343,"")</f>
        <v/>
      </c>
      <c r="M347" s="328" t="str">
        <f>IFERROR($M$346/$M$343,"")</f>
        <v/>
      </c>
    </row>
    <row r="348" spans="1:56" x14ac:dyDescent="0.35">
      <c r="B348" s="104" t="s">
        <v>35</v>
      </c>
      <c r="C348" s="105"/>
      <c r="D348" s="105"/>
      <c r="E348" s="106" t="str">
        <f>IFERROR($E$344/$E$343,"")</f>
        <v/>
      </c>
      <c r="F348" s="165" t="str">
        <f>IFERROR($F$344/$F$343,"")</f>
        <v/>
      </c>
      <c r="G348" s="165" t="str">
        <f>IFERROR($G$344/$G$343,"")</f>
        <v/>
      </c>
      <c r="H348" s="165" t="str">
        <f>IFERROR($H$344/$H$343,"")</f>
        <v/>
      </c>
      <c r="I348" s="165" t="str">
        <f>IFERROR($I$344/$I$343,"")</f>
        <v/>
      </c>
      <c r="J348" s="165" t="str">
        <f>IFERROR($J$344/$J$343,"")</f>
        <v/>
      </c>
      <c r="K348" s="165" t="str">
        <f>IFERROR($K$344/$K$343,"")</f>
        <v/>
      </c>
      <c r="L348" s="165" t="str">
        <f>IFERROR($L$344/$L$343,"")</f>
        <v/>
      </c>
      <c r="M348" s="166" t="str">
        <f>IFERROR($M$344/$M$343,"")</f>
        <v/>
      </c>
    </row>
    <row r="349" spans="1:56" x14ac:dyDescent="0.35">
      <c r="B349" s="104" t="s">
        <v>802</v>
      </c>
      <c r="C349" s="105"/>
      <c r="D349" s="105"/>
      <c r="E349" s="106" t="str">
        <f>IFERROR($E$345/$E$343,"")</f>
        <v/>
      </c>
      <c r="F349" s="165" t="str">
        <f>IFERROR($F$345/$F$343,"")</f>
        <v/>
      </c>
      <c r="G349" s="165" t="str">
        <f>IFERROR($G$345/$G$343,"")</f>
        <v/>
      </c>
      <c r="H349" s="165" t="str">
        <f>IFERROR($H$345/$H$343,"")</f>
        <v/>
      </c>
      <c r="I349" s="165" t="str">
        <f>IFERROR($I$345/$I$343,"")</f>
        <v/>
      </c>
      <c r="J349" s="165" t="str">
        <f>IFERROR($J$345/$J$343,"")</f>
        <v/>
      </c>
      <c r="K349" s="165" t="str">
        <f>IFERROR($K$345/$K$343,"")</f>
        <v/>
      </c>
      <c r="L349" s="165" t="str">
        <f>IFERROR($L$345/$L$343,"")</f>
        <v/>
      </c>
      <c r="M349" s="166" t="str">
        <f>IFERROR($M$345/$M$343,"")</f>
        <v/>
      </c>
    </row>
    <row r="350" spans="1:56" x14ac:dyDescent="0.35">
      <c r="B350" s="104"/>
      <c r="C350" s="105"/>
      <c r="D350" s="105"/>
      <c r="E350" s="106"/>
      <c r="F350" s="165"/>
      <c r="G350" s="165"/>
      <c r="H350" s="165"/>
      <c r="I350" s="165"/>
      <c r="J350" s="165"/>
      <c r="K350" s="165"/>
      <c r="L350" s="165"/>
      <c r="M350" s="166"/>
    </row>
    <row r="351" spans="1:56" x14ac:dyDescent="0.35">
      <c r="B351" s="56" t="str">
        <f>$B$48</f>
        <v/>
      </c>
      <c r="C351" s="57"/>
      <c r="D351" s="57"/>
      <c r="E351" s="258"/>
      <c r="F351" s="322"/>
      <c r="G351" s="322"/>
      <c r="H351" s="322"/>
      <c r="I351" s="322"/>
      <c r="J351" s="322"/>
      <c r="K351" s="322"/>
      <c r="L351" s="322"/>
      <c r="M351" s="260"/>
    </row>
    <row r="352" spans="1:56" x14ac:dyDescent="0.35">
      <c r="B352" s="88" t="s">
        <v>30</v>
      </c>
      <c r="C352" s="89"/>
      <c r="D352" s="89"/>
      <c r="E352" s="257" t="str">
        <f>IFERROR(VLOOKUP($B$351,Y_1,29,0),"")</f>
        <v/>
      </c>
      <c r="F352" s="257" t="str">
        <f>IFERROR(VLOOKUP($B$351,Y_2,29,0),"")</f>
        <v/>
      </c>
      <c r="G352" s="257" t="str">
        <f>IFERROR(VLOOKUP($B$351,Y_3,29,0),"")</f>
        <v/>
      </c>
      <c r="H352" s="257" t="str">
        <f>IFERROR(VLOOKUP($B$351,Y_4,29,0),"")</f>
        <v/>
      </c>
      <c r="I352" s="257" t="str">
        <f>IFERROR(VLOOKUP($B$351,Y_5,29,0),"")</f>
        <v/>
      </c>
      <c r="J352" s="257" t="str">
        <f>IFERROR(VLOOKUP($B$351,Y_6,29,0),"")</f>
        <v/>
      </c>
      <c r="K352" s="257" t="str">
        <f>IFERROR(VLOOKUP($B$351,Y_7,29,0),"")</f>
        <v/>
      </c>
      <c r="L352" s="257" t="str">
        <f>IFERROR(VLOOKUP($B$351,Y_8,29,0),"")</f>
        <v/>
      </c>
      <c r="M352" s="259" t="str">
        <f>IFERROR(VLOOKUP($B$351,Y_9,29,0),"")</f>
        <v/>
      </c>
    </row>
    <row r="353" spans="2:15" x14ac:dyDescent="0.35">
      <c r="B353" s="104" t="s">
        <v>31</v>
      </c>
      <c r="C353" s="105"/>
      <c r="D353" s="105"/>
      <c r="E353" s="107" t="str">
        <f>IFERROR(VLOOKUP($B$351,Y_1,30,0),"")</f>
        <v/>
      </c>
      <c r="F353" s="107" t="str">
        <f>IFERROR(VLOOKUP($B$351,Y_2,30,0),"")</f>
        <v/>
      </c>
      <c r="G353" s="107" t="str">
        <f>IFERROR(VLOOKUP($B$351,Y_3,30,0),"")</f>
        <v/>
      </c>
      <c r="H353" s="107" t="str">
        <f>IFERROR(VLOOKUP($B$351,Y_4,30,0),"")</f>
        <v/>
      </c>
      <c r="I353" s="107" t="str">
        <f>IFERROR(VLOOKUP($B$351,Y_5,30,0),"")</f>
        <v/>
      </c>
      <c r="J353" s="107" t="str">
        <f>IFERROR(VLOOKUP($B$351,Y_6,30,0),"")</f>
        <v/>
      </c>
      <c r="K353" s="107" t="str">
        <f>IFERROR(VLOOKUP($B$351,Y_7,30,0),"")</f>
        <v/>
      </c>
      <c r="L353" s="107" t="str">
        <f>IFERROR(VLOOKUP($B$351,Y_8,30,0),"")</f>
        <v/>
      </c>
      <c r="M353" s="108" t="str">
        <f>IFERROR(VLOOKUP($B$351,Y_9,30,0),"")</f>
        <v/>
      </c>
    </row>
    <row r="354" spans="2:15" x14ac:dyDescent="0.35">
      <c r="B354" s="94" t="s">
        <v>32</v>
      </c>
      <c r="C354" s="95"/>
      <c r="D354" s="95"/>
      <c r="E354" s="109" t="str">
        <f>IFERROR(VLOOKUP($B$351,Y_1,31,0),"")</f>
        <v/>
      </c>
      <c r="F354" s="109" t="str">
        <f>IFERROR(VLOOKUP($B$351,Y_2,31,0),"")</f>
        <v/>
      </c>
      <c r="G354" s="109" t="str">
        <f>IFERROR(VLOOKUP($B$351,Y_3,31,0),"")</f>
        <v/>
      </c>
      <c r="H354" s="109" t="str">
        <f>IFERROR(VLOOKUP($B$351,Y_4,31,0),"")</f>
        <v/>
      </c>
      <c r="I354" s="109" t="str">
        <f>IFERROR(VLOOKUP($B$351,Y_5,31,0),"")</f>
        <v/>
      </c>
      <c r="J354" s="109" t="str">
        <f>IFERROR(VLOOKUP($B$351,Y_6,31,0),"")</f>
        <v/>
      </c>
      <c r="K354" s="109" t="str">
        <f>IFERROR(VLOOKUP($B$351,Y_7,31,0),"")</f>
        <v/>
      </c>
      <c r="L354" s="109" t="str">
        <f>IFERROR(VLOOKUP($B$351,Y_8,31,0),"")</f>
        <v/>
      </c>
      <c r="M354" s="110" t="str">
        <f>IFERROR(VLOOKUP($B$351,Y_9,31,0),"")</f>
        <v/>
      </c>
    </row>
    <row r="355" spans="2:15" x14ac:dyDescent="0.35">
      <c r="B355" s="111" t="s">
        <v>33</v>
      </c>
      <c r="C355" s="112"/>
      <c r="D355" s="112"/>
      <c r="E355" s="113" t="str">
        <f>IFERROR(VLOOKUP($B$351,Y_1,32,0),"")</f>
        <v/>
      </c>
      <c r="F355" s="113" t="str">
        <f>IFERROR(VLOOKUP($B$351,Y_2,32,0),"")</f>
        <v/>
      </c>
      <c r="G355" s="113" t="str">
        <f>IFERROR(VLOOKUP($B$351,Y_3,32,0),"")</f>
        <v/>
      </c>
      <c r="H355" s="113" t="str">
        <f>IFERROR(VLOOKUP($B$351,Y_4,32,0),"")</f>
        <v/>
      </c>
      <c r="I355" s="113" t="str">
        <f>IFERROR(VLOOKUP($B$351,Y_5,32,0),"")</f>
        <v/>
      </c>
      <c r="J355" s="113" t="str">
        <f>IFERROR(VLOOKUP($B$351,Y_6,32,0),"")</f>
        <v/>
      </c>
      <c r="K355" s="113" t="str">
        <f>IFERROR(VLOOKUP($B$351,Y_7,32,0),"")</f>
        <v/>
      </c>
      <c r="L355" s="113" t="str">
        <f>IFERROR(VLOOKUP($B$351,Y_8,32,0),"")</f>
        <v/>
      </c>
      <c r="M355" s="114" t="str">
        <f>IFERROR(VLOOKUP($B$351,Y_9,32,0),"")</f>
        <v/>
      </c>
    </row>
    <row r="356" spans="2:15" x14ac:dyDescent="0.35">
      <c r="B356" s="163" t="s">
        <v>34</v>
      </c>
      <c r="C356" s="164"/>
      <c r="D356" s="115"/>
      <c r="E356" s="106" t="str">
        <f>IFERROR($E$355/$E$352,"")</f>
        <v/>
      </c>
      <c r="F356" s="106" t="str">
        <f>IFERROR($F$355/$F$352,"")</f>
        <v/>
      </c>
      <c r="G356" s="106" t="str">
        <f>IFERROR($G$355/$G$352,"")</f>
        <v/>
      </c>
      <c r="H356" s="106" t="str">
        <f>IFERROR($H$355/$H$352,"")</f>
        <v/>
      </c>
      <c r="I356" s="106" t="str">
        <f>IFERROR($I$355/$I$352,"")</f>
        <v/>
      </c>
      <c r="J356" s="106" t="str">
        <f>IFERROR($J$355/$J$352,"")</f>
        <v/>
      </c>
      <c r="K356" s="106" t="str">
        <f>IFERROR($K$355/$K$352,"")</f>
        <v/>
      </c>
      <c r="L356" s="106" t="str">
        <f>IFERROR($L$355/$L$352,"")</f>
        <v/>
      </c>
      <c r="M356" s="356" t="str">
        <f>IFERROR($M$355/$M$352,"")</f>
        <v/>
      </c>
    </row>
    <row r="357" spans="2:15" x14ac:dyDescent="0.35">
      <c r="B357" s="104" t="s">
        <v>35</v>
      </c>
      <c r="C357" s="105"/>
      <c r="D357" s="105"/>
      <c r="E357" s="106" t="str">
        <f>IFERROR($E$353/$E$352,"")</f>
        <v/>
      </c>
      <c r="F357" s="106" t="str">
        <f>IFERROR($F$353/$F$352,"")</f>
        <v/>
      </c>
      <c r="G357" s="165" t="str">
        <f>IFERROR($G$353/$G$352,"")</f>
        <v/>
      </c>
      <c r="H357" s="165" t="str">
        <f>IFERROR($H$353/$H$352,"")</f>
        <v/>
      </c>
      <c r="I357" s="165" t="str">
        <f>IFERROR($I$353/$I$352,"")</f>
        <v/>
      </c>
      <c r="J357" s="165" t="str">
        <f>IFERROR($J$353/$J$352,"")</f>
        <v/>
      </c>
      <c r="K357" s="165" t="str">
        <f>IFERROR($K$353/$K$352,"")</f>
        <v/>
      </c>
      <c r="L357" s="165" t="str">
        <f>IFERROR($L$353/$L$352,"")</f>
        <v/>
      </c>
      <c r="M357" s="166" t="str">
        <f>IFERROR($M$353/$M$352,"")</f>
        <v/>
      </c>
    </row>
    <row r="358" spans="2:15" x14ac:dyDescent="0.35">
      <c r="B358" s="104" t="s">
        <v>802</v>
      </c>
      <c r="C358" s="105"/>
      <c r="D358" s="105"/>
      <c r="E358" s="106" t="str">
        <f>IFERROR($E$354/$E$352,"")</f>
        <v/>
      </c>
      <c r="F358" s="106" t="str">
        <f>IFERROR($F$354/$F$352,"")</f>
        <v/>
      </c>
      <c r="G358" s="165" t="str">
        <f>IFERROR($G$354/$G$352,"")</f>
        <v/>
      </c>
      <c r="H358" s="165" t="str">
        <f>IFERROR($H$354/$H$352,"")</f>
        <v/>
      </c>
      <c r="I358" s="165" t="str">
        <f>IFERROR($I$354/$I$352,"")</f>
        <v/>
      </c>
      <c r="J358" s="165" t="str">
        <f>IFERROR($J$354/$J$352,"")</f>
        <v/>
      </c>
      <c r="K358" s="165" t="str">
        <f>IFERROR($K$354/$K$352,"")</f>
        <v/>
      </c>
      <c r="L358" s="165" t="str">
        <f>IFERROR($L$354/$L$352,"")</f>
        <v/>
      </c>
      <c r="M358" s="166" t="str">
        <f>IFERROR($M$354/$M$352,"")</f>
        <v/>
      </c>
    </row>
    <row r="359" spans="2:15" x14ac:dyDescent="0.35">
      <c r="B359" s="104"/>
      <c r="C359" s="105"/>
      <c r="D359" s="105"/>
      <c r="E359" s="106"/>
      <c r="F359" s="165"/>
      <c r="G359" s="165"/>
      <c r="H359" s="165"/>
      <c r="I359" s="165"/>
      <c r="J359" s="165"/>
      <c r="K359" s="165"/>
      <c r="L359" s="165"/>
      <c r="M359" s="166"/>
    </row>
    <row r="360" spans="2:15" x14ac:dyDescent="0.35">
      <c r="B360" s="56" t="s">
        <v>13</v>
      </c>
      <c r="C360" s="57"/>
      <c r="D360" s="57"/>
      <c r="E360" s="258"/>
      <c r="F360" s="322"/>
      <c r="G360" s="322"/>
      <c r="H360" s="322"/>
      <c r="I360" s="322"/>
      <c r="J360" s="322"/>
      <c r="K360" s="322"/>
      <c r="L360" s="322"/>
      <c r="M360" s="260"/>
    </row>
    <row r="361" spans="2:15" x14ac:dyDescent="0.35">
      <c r="B361" s="88" t="s">
        <v>30</v>
      </c>
      <c r="C361" s="89"/>
      <c r="D361" s="89"/>
      <c r="E361" s="257">
        <f>VLOOKUP($B$360,Y_1,29,0)</f>
        <v>1967526</v>
      </c>
      <c r="F361" s="257">
        <f>VLOOKUP($B$360,Y_2,29,0)</f>
        <v>2008229</v>
      </c>
      <c r="G361" s="257">
        <f>VLOOKUP($B$360,Y_3,29,0)</f>
        <v>2049681</v>
      </c>
      <c r="H361" s="257">
        <f>VLOOKUP($B$360,Y_4,29,0)</f>
        <v>2073839</v>
      </c>
      <c r="I361" s="257">
        <f>VLOOKUP($B$360,Y_5,29,0)</f>
        <v>2093758</v>
      </c>
      <c r="J361" s="257">
        <f>VLOOKUP($B$360,Y_6,29,0)</f>
        <v>2115391</v>
      </c>
      <c r="K361" s="257">
        <f>VLOOKUP($B$360,Y_7,29,0)</f>
        <v>2127268</v>
      </c>
      <c r="L361" s="257">
        <f>VLOOKUP($B$360,Y_8,29,0)</f>
        <v>2150753</v>
      </c>
      <c r="M361" s="259">
        <f>VLOOKUP($B$360,Y_9,29,0)</f>
        <v>2178923</v>
      </c>
    </row>
    <row r="362" spans="2:15" x14ac:dyDescent="0.35">
      <c r="B362" s="104" t="s">
        <v>31</v>
      </c>
      <c r="C362" s="105"/>
      <c r="D362" s="105"/>
      <c r="E362" s="107">
        <f>VLOOKUP($B$360,Y_1,30,0)</f>
        <v>15068</v>
      </c>
      <c r="F362" s="107">
        <f>VLOOKUP($B$360,Y_2,30,0)</f>
        <v>12436</v>
      </c>
      <c r="G362" s="107">
        <f>VLOOKUP($B$360,Y_3,30,0)</f>
        <v>11473</v>
      </c>
      <c r="H362" s="107">
        <f>VLOOKUP($B$360,Y_4,30,0)</f>
        <v>11579</v>
      </c>
      <c r="I362" s="107">
        <f>VLOOKUP($B$360,Y_5,30,0)</f>
        <v>12562</v>
      </c>
      <c r="J362" s="107">
        <f>VLOOKUP($B$360,Y_6,30,0)</f>
        <v>16888</v>
      </c>
      <c r="K362" s="107">
        <f>VLOOKUP($B$360,Y_7,30,0)</f>
        <v>15784</v>
      </c>
      <c r="L362" s="107">
        <f>VLOOKUP($B$360,Y_8,30,0)</f>
        <v>17696</v>
      </c>
      <c r="M362" s="108">
        <f>VLOOKUP($B$360,Y_9,30,0)</f>
        <v>16534</v>
      </c>
    </row>
    <row r="363" spans="2:15" x14ac:dyDescent="0.35">
      <c r="B363" s="94" t="s">
        <v>32</v>
      </c>
      <c r="C363" s="95"/>
      <c r="D363" s="95"/>
      <c r="E363" s="109">
        <f>VLOOKUP($B$360,Y_1,31,0)</f>
        <v>12347</v>
      </c>
      <c r="F363" s="109">
        <f>VLOOKUP($B$360,Y_2,31,0)</f>
        <v>11462</v>
      </c>
      <c r="G363" s="109">
        <f>VLOOKUP($B$360,Y_3,31,0)</f>
        <v>11057</v>
      </c>
      <c r="H363" s="109">
        <f>VLOOKUP($B$360,Y_4,31,0)</f>
        <v>10889</v>
      </c>
      <c r="I363" s="109">
        <f>VLOOKUP($B$360,Y_5,31,0)</f>
        <v>12987</v>
      </c>
      <c r="J363" s="109">
        <f>VLOOKUP($B$360,Y_6,31,0)</f>
        <v>13840</v>
      </c>
      <c r="K363" s="109">
        <f>VLOOKUP($B$360,Y_7,31,0)</f>
        <v>13111</v>
      </c>
      <c r="L363" s="109">
        <f>VLOOKUP($B$360,Y_8,31,0)</f>
        <v>14009</v>
      </c>
      <c r="M363" s="110">
        <f>VLOOKUP($B$360,Y_9,31,0)</f>
        <v>18990</v>
      </c>
    </row>
    <row r="364" spans="2:15" x14ac:dyDescent="0.35">
      <c r="B364" s="111" t="s">
        <v>33</v>
      </c>
      <c r="C364" s="112"/>
      <c r="D364" s="112"/>
      <c r="E364" s="113">
        <f>VLOOKUP($B$360,Y_1,32,0)</f>
        <v>27415</v>
      </c>
      <c r="F364" s="113">
        <f>VLOOKUP($B$360,Y_2,32,0)</f>
        <v>23898</v>
      </c>
      <c r="G364" s="113">
        <f>VLOOKUP($B$360,Y_3,32,0)</f>
        <v>22530</v>
      </c>
      <c r="H364" s="113">
        <f>VLOOKUP($B$360,Y_4,32,0)</f>
        <v>22468</v>
      </c>
      <c r="I364" s="113">
        <f>VLOOKUP($B$360,Y_5,32,0)</f>
        <v>25549</v>
      </c>
      <c r="J364" s="113">
        <f>VLOOKUP($B$360,Y_6,32,0)</f>
        <v>30728</v>
      </c>
      <c r="K364" s="113">
        <f>VLOOKUP($B$360,Y_7,32,0)</f>
        <v>28895</v>
      </c>
      <c r="L364" s="113">
        <f>VLOOKUP($B$360,Y_8,32,0)</f>
        <v>31705</v>
      </c>
      <c r="M364" s="114">
        <f>VLOOKUP($B$360,Y_9,32,0)</f>
        <v>35524</v>
      </c>
    </row>
    <row r="365" spans="2:15" x14ac:dyDescent="0.35">
      <c r="B365" s="163" t="s">
        <v>34</v>
      </c>
      <c r="C365" s="164"/>
      <c r="D365" s="115"/>
      <c r="E365" s="106">
        <f t="shared" ref="E365:J365" si="15">E364/E361</f>
        <v>1.3933742171640933E-2</v>
      </c>
      <c r="F365" s="106">
        <f t="shared" si="15"/>
        <v>1.1900037296543372E-2</v>
      </c>
      <c r="G365" s="106">
        <f t="shared" si="15"/>
        <v>1.0991954357775674E-2</v>
      </c>
      <c r="H365" s="106">
        <f t="shared" si="15"/>
        <v>1.0834013633652372E-2</v>
      </c>
      <c r="I365" s="106">
        <f t="shared" si="15"/>
        <v>1.2202460838358587E-2</v>
      </c>
      <c r="J365" s="106">
        <f t="shared" si="15"/>
        <v>1.452591979449662E-2</v>
      </c>
      <c r="K365" s="106">
        <f t="shared" ref="K365" si="16">K364/K361</f>
        <v>1.3583149842897086E-2</v>
      </c>
      <c r="L365" s="106">
        <f t="shared" ref="L365" si="17">L364/L361</f>
        <v>1.4741348727631672E-2</v>
      </c>
      <c r="M365" s="356">
        <f t="shared" ref="M365" si="18">M364/M361</f>
        <v>1.6303467355202547E-2</v>
      </c>
    </row>
    <row r="366" spans="2:15" x14ac:dyDescent="0.35">
      <c r="B366" s="104" t="s">
        <v>35</v>
      </c>
      <c r="C366" s="105"/>
      <c r="D366" s="105"/>
      <c r="E366" s="106">
        <f t="shared" ref="E366:J366" si="19">E362/E361</f>
        <v>7.6583486063208309E-3</v>
      </c>
      <c r="F366" s="165">
        <f t="shared" si="19"/>
        <v>6.1925208728685821E-3</v>
      </c>
      <c r="G366" s="165">
        <f t="shared" si="19"/>
        <v>5.597456384676445E-3</v>
      </c>
      <c r="H366" s="165">
        <f t="shared" si="19"/>
        <v>5.5833649574533028E-3</v>
      </c>
      <c r="I366" s="165">
        <f t="shared" si="19"/>
        <v>5.9997382696567606E-3</v>
      </c>
      <c r="J366" s="165">
        <f t="shared" si="19"/>
        <v>7.9833940864833027E-3</v>
      </c>
      <c r="K366" s="165">
        <f t="shared" ref="K366" si="20">K362/K361</f>
        <v>7.4198455483747228E-3</v>
      </c>
      <c r="L366" s="165">
        <f t="shared" ref="L366" si="21">L362/L361</f>
        <v>8.2278160253641403E-3</v>
      </c>
      <c r="M366" s="166">
        <f t="shared" ref="M366" si="22">M362/M361</f>
        <v>7.58815249552187E-3</v>
      </c>
    </row>
    <row r="367" spans="2:15" x14ac:dyDescent="0.35">
      <c r="B367" s="104" t="s">
        <v>802</v>
      </c>
      <c r="C367" s="105"/>
      <c r="D367" s="105"/>
      <c r="E367" s="27">
        <f t="shared" ref="E367:J367" si="23">E363/E361</f>
        <v>6.2753935653201021E-3</v>
      </c>
      <c r="F367" s="223">
        <f t="shared" si="23"/>
        <v>5.7075164236747898E-3</v>
      </c>
      <c r="G367" s="223">
        <f t="shared" si="23"/>
        <v>5.3944979730992286E-3</v>
      </c>
      <c r="H367" s="223">
        <f t="shared" si="23"/>
        <v>5.2506486761990682E-3</v>
      </c>
      <c r="I367" s="223">
        <f t="shared" si="23"/>
        <v>6.2027225687018269E-3</v>
      </c>
      <c r="J367" s="223">
        <f t="shared" si="23"/>
        <v>6.5425257080133177E-3</v>
      </c>
      <c r="K367" s="223">
        <f t="shared" ref="K367" si="24">K363/K361</f>
        <v>6.1633042945223636E-3</v>
      </c>
      <c r="L367" s="223">
        <f t="shared" ref="L367" si="25">L363/L361</f>
        <v>6.5135327022675313E-3</v>
      </c>
      <c r="M367" s="224">
        <f t="shared" ref="M367" si="26">M363/M361</f>
        <v>8.7153148596806774E-3</v>
      </c>
    </row>
    <row r="368" spans="2:15" x14ac:dyDescent="0.35">
      <c r="B368" s="116" t="s">
        <v>36</v>
      </c>
      <c r="C368" s="117"/>
      <c r="D368" s="117"/>
      <c r="E368" s="117"/>
      <c r="F368" s="118"/>
      <c r="G368" s="119"/>
      <c r="H368" s="120"/>
      <c r="I368" s="32"/>
      <c r="J368" s="120"/>
      <c r="K368" s="120"/>
      <c r="L368" s="120"/>
      <c r="M368" s="121"/>
      <c r="O368" s="122" t="str">
        <f>IF(F3="","Vacant general needs self-contained units and percentage of all general needs self-contained units vacant","Vacant general needs self-contained units and percentage of all general needs self-contained units vacant in "&amp;$F$3&amp;" - large PRPs only")</f>
        <v>Vacant general needs self-contained units and percentage of all general needs self-contained units vacant</v>
      </c>
    </row>
    <row r="369" spans="2:13" x14ac:dyDescent="0.35">
      <c r="B369" s="123" t="s">
        <v>37</v>
      </c>
      <c r="C369" s="124"/>
      <c r="D369" s="124"/>
      <c r="E369" s="124"/>
      <c r="F369" s="125"/>
      <c r="G369" s="126"/>
      <c r="H369" s="127"/>
      <c r="J369" s="127"/>
      <c r="K369" s="127"/>
      <c r="L369" s="127"/>
      <c r="M369" s="128"/>
    </row>
    <row r="370" spans="2:13" x14ac:dyDescent="0.35">
      <c r="B370" s="129" t="s">
        <v>806</v>
      </c>
      <c r="C370" s="130"/>
      <c r="D370" s="130"/>
      <c r="E370" s="130"/>
      <c r="F370" s="131"/>
      <c r="G370" s="132"/>
      <c r="H370" s="132"/>
      <c r="I370" s="34"/>
      <c r="J370" s="132"/>
      <c r="K370" s="132"/>
      <c r="L370" s="132"/>
      <c r="M370" s="133"/>
    </row>
    <row r="371" spans="2:13" x14ac:dyDescent="0.35"/>
  </sheetData>
  <sheetProtection algorithmName="SHA-512" hashValue="L8xeqwOUZHdqJ8K0eq9k2nyiesWyU6BahkTNXuZ399G9tuXNzKRXF2zUJeSNAO+ZeRfZbKdigXyKmHe7ESJ4zg==" saltValue="uy1GWxVK3acCxCgOpmfwIA==" spinCount="100000" sheet="1" objects="1" scenarios="1" formatRows="0"/>
  <mergeCells count="40">
    <mergeCell ref="B1:M1"/>
    <mergeCell ref="B94:J94"/>
    <mergeCell ref="N115:T117"/>
    <mergeCell ref="B117:J118"/>
    <mergeCell ref="A38:A39"/>
    <mergeCell ref="F3:H3"/>
    <mergeCell ref="D4:E4"/>
    <mergeCell ref="J3:L3"/>
    <mergeCell ref="A11:A12"/>
    <mergeCell ref="A66:A67"/>
    <mergeCell ref="B64:D64"/>
    <mergeCell ref="B41:B45"/>
    <mergeCell ref="A51:A52"/>
    <mergeCell ref="A93:A94"/>
    <mergeCell ref="A339:A340"/>
    <mergeCell ref="B339:J339"/>
    <mergeCell ref="B340:J340"/>
    <mergeCell ref="A147:A148"/>
    <mergeCell ref="B148:J148"/>
    <mergeCell ref="B172:J173"/>
    <mergeCell ref="A202:A203"/>
    <mergeCell ref="B203:J203"/>
    <mergeCell ref="A246:A247"/>
    <mergeCell ref="B247:J247"/>
    <mergeCell ref="A175:A176"/>
    <mergeCell ref="A219:A220"/>
    <mergeCell ref="A263:A264"/>
    <mergeCell ref="A312:A313"/>
    <mergeCell ref="A290:A291"/>
    <mergeCell ref="A120:A121"/>
    <mergeCell ref="C42:D42"/>
    <mergeCell ref="C43:D43"/>
    <mergeCell ref="B54:D54"/>
    <mergeCell ref="B55:D55"/>
    <mergeCell ref="B56:D56"/>
    <mergeCell ref="B58:D58"/>
    <mergeCell ref="B59:D59"/>
    <mergeCell ref="B60:D60"/>
    <mergeCell ref="B62:D62"/>
    <mergeCell ref="B63:D63"/>
  </mergeCells>
  <conditionalFormatting sqref="B53:C53">
    <cfRule type="expression" dxfId="9" priority="40">
      <formula>$B$342=0</formula>
    </cfRule>
  </conditionalFormatting>
  <conditionalFormatting sqref="B96:C96 B151:C151 B206:C206 B250:C250 B293:C293 B342:C342">
    <cfRule type="expression" dxfId="8" priority="42">
      <formula>$B$342=0</formula>
    </cfRule>
  </conditionalFormatting>
  <conditionalFormatting sqref="B7:G9 I7:M9">
    <cfRule type="expression" dxfId="7" priority="24">
      <formula>$F$3=""</formula>
    </cfRule>
  </conditionalFormatting>
  <conditionalFormatting sqref="D4:E4">
    <cfRule type="expression" dxfId="6" priority="25">
      <formula>$F$3=""</formula>
    </cfRule>
  </conditionalFormatting>
  <conditionalFormatting sqref="E344:M346">
    <cfRule type="expression" dxfId="5" priority="6">
      <formula>$B$342=0</formula>
    </cfRule>
  </conditionalFormatting>
  <conditionalFormatting sqref="E347:M351">
    <cfRule type="expression" dxfId="4" priority="10">
      <formula>$B$342=0</formula>
    </cfRule>
  </conditionalFormatting>
  <conditionalFormatting sqref="E353:M359">
    <cfRule type="expression" dxfId="3" priority="3">
      <formula>$B$342=0</formula>
    </cfRule>
  </conditionalFormatting>
  <conditionalFormatting sqref="E362:M364">
    <cfRule type="expression" dxfId="2" priority="2">
      <formula>$B$342=0</formula>
    </cfRule>
  </conditionalFormatting>
  <conditionalFormatting sqref="F4">
    <cfRule type="expression" dxfId="1" priority="26">
      <formula>$F$3=""</formula>
    </cfRule>
  </conditionalFormatting>
  <conditionalFormatting sqref="L344:L345">
    <cfRule type="expression" dxfId="0" priority="1">
      <formula>$B$342=0</formula>
    </cfRule>
  </conditionalFormatting>
  <dataValidations count="1">
    <dataValidation type="list" allowBlank="1" showInputMessage="1" sqref="F3" xr:uid="{AA9CEF1E-7851-4D64-9A00-CD3BF085C666}">
      <formula1>validation_list</formula1>
    </dataValidation>
  </dataValidations>
  <hyperlinks>
    <hyperlink ref="J3:L3" location="'How to use the search function'!A1" display="Click for help on the search function" xr:uid="{157FE561-540B-4097-A749-DD3375E73F60}"/>
  </hyperlinks>
  <pageMargins left="0.70866141732283472" right="0.70866141732283472" top="0.74803149606299213" bottom="0.74803149606299213" header="0.31496062992125984" footer="0.31496062992125984"/>
  <pageSetup paperSize="9" scale="37" fitToHeight="3" orientation="portrait" r:id="rId1"/>
  <headerFooter>
    <oddFooter>&amp;C&amp;1#&amp;"Calibri"&amp;12&amp;K0078D7OFFICIAL</oddFooter>
  </headerFooter>
  <rowBreaks count="2" manualBreakCount="2">
    <brk id="119" max="16383" man="1"/>
    <brk id="245"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01D2E-CBE3-4566-BCBA-F3767734FF7A}">
  <sheetPr codeName="Sheet15"/>
  <dimension ref="B2:M323"/>
  <sheetViews>
    <sheetView workbookViewId="0">
      <selection activeCell="K5" sqref="K5:M322"/>
    </sheetView>
  </sheetViews>
  <sheetFormatPr defaultColWidth="8.7265625" defaultRowHeight="14.5" x14ac:dyDescent="0.35"/>
  <cols>
    <col min="2" max="13" width="8.81640625" style="391" customWidth="1"/>
  </cols>
  <sheetData>
    <row r="2" spans="2:13" x14ac:dyDescent="0.35">
      <c r="F2" s="436" t="s">
        <v>701</v>
      </c>
      <c r="G2" s="436"/>
      <c r="H2" s="436"/>
      <c r="I2" s="436"/>
      <c r="J2" s="436"/>
      <c r="K2" s="436"/>
      <c r="L2" s="436"/>
      <c r="M2" s="436"/>
    </row>
    <row r="3" spans="2:13" x14ac:dyDescent="0.35">
      <c r="F3" s="392"/>
      <c r="G3" s="393">
        <v>1</v>
      </c>
      <c r="H3" s="393">
        <v>2</v>
      </c>
      <c r="I3" s="393">
        <v>3</v>
      </c>
      <c r="J3" s="393">
        <v>4</v>
      </c>
      <c r="K3" s="393">
        <v>5</v>
      </c>
      <c r="L3" s="393">
        <v>6</v>
      </c>
      <c r="M3" s="393">
        <v>7</v>
      </c>
    </row>
    <row r="4" spans="2:13" x14ac:dyDescent="0.35">
      <c r="B4" s="160" t="s">
        <v>47</v>
      </c>
      <c r="C4" s="160" t="s">
        <v>702</v>
      </c>
      <c r="F4" s="161" t="s">
        <v>703</v>
      </c>
      <c r="G4" s="161" t="s">
        <v>704</v>
      </c>
      <c r="H4" s="161" t="s">
        <v>705</v>
      </c>
      <c r="I4" s="161" t="s">
        <v>706</v>
      </c>
      <c r="J4" s="161" t="s">
        <v>707</v>
      </c>
      <c r="K4" s="162" t="s">
        <v>813</v>
      </c>
      <c r="L4" s="162" t="s">
        <v>814</v>
      </c>
      <c r="M4" s="162" t="s">
        <v>815</v>
      </c>
    </row>
    <row r="5" spans="2:13" x14ac:dyDescent="0.35">
      <c r="B5" s="350" t="s">
        <v>87</v>
      </c>
      <c r="C5" s="351" t="s">
        <v>83</v>
      </c>
      <c r="D5" s="144"/>
      <c r="E5" s="144"/>
      <c r="F5" s="350" t="s">
        <v>78</v>
      </c>
      <c r="G5" s="350" t="s">
        <v>78</v>
      </c>
      <c r="H5" s="349">
        <v>80</v>
      </c>
      <c r="I5" s="349">
        <v>74</v>
      </c>
      <c r="J5" s="349">
        <v>154</v>
      </c>
      <c r="K5" s="350">
        <v>75</v>
      </c>
      <c r="L5" s="350">
        <v>79</v>
      </c>
      <c r="M5" s="350">
        <v>154</v>
      </c>
    </row>
    <row r="6" spans="2:13" x14ac:dyDescent="0.35">
      <c r="B6" s="351" t="s">
        <v>89</v>
      </c>
      <c r="C6" s="351" t="s">
        <v>82</v>
      </c>
      <c r="F6" s="350" t="s">
        <v>79</v>
      </c>
      <c r="G6" s="350" t="s">
        <v>79</v>
      </c>
      <c r="H6" s="350">
        <v>95</v>
      </c>
      <c r="I6" s="350">
        <v>115</v>
      </c>
      <c r="J6" s="350">
        <v>210</v>
      </c>
      <c r="K6" s="350">
        <v>83</v>
      </c>
      <c r="L6" s="350">
        <v>120</v>
      </c>
      <c r="M6" s="350">
        <v>203</v>
      </c>
    </row>
    <row r="7" spans="2:13" x14ac:dyDescent="0.35">
      <c r="B7" s="351" t="s">
        <v>91</v>
      </c>
      <c r="C7" s="351" t="s">
        <v>78</v>
      </c>
      <c r="F7" s="350" t="s">
        <v>80</v>
      </c>
      <c r="G7" s="350" t="s">
        <v>80</v>
      </c>
      <c r="H7" s="350">
        <v>89</v>
      </c>
      <c r="I7" s="350">
        <v>253</v>
      </c>
      <c r="J7" s="350">
        <v>342</v>
      </c>
      <c r="K7" s="350">
        <v>78</v>
      </c>
      <c r="L7" s="350">
        <v>275</v>
      </c>
      <c r="M7" s="350">
        <v>353</v>
      </c>
    </row>
    <row r="8" spans="2:13" x14ac:dyDescent="0.35">
      <c r="B8" s="351" t="s">
        <v>93</v>
      </c>
      <c r="C8" s="351" t="s">
        <v>83</v>
      </c>
      <c r="F8" s="350" t="s">
        <v>81</v>
      </c>
      <c r="G8" s="350" t="s">
        <v>81</v>
      </c>
      <c r="H8" s="350">
        <v>42</v>
      </c>
      <c r="I8" s="350">
        <v>61</v>
      </c>
      <c r="J8" s="350">
        <v>103</v>
      </c>
      <c r="K8" s="350">
        <v>38</v>
      </c>
      <c r="L8" s="350">
        <v>69</v>
      </c>
      <c r="M8" s="350">
        <v>107</v>
      </c>
    </row>
    <row r="9" spans="2:13" x14ac:dyDescent="0.35">
      <c r="B9" s="351" t="s">
        <v>95</v>
      </c>
      <c r="C9" s="351" t="s">
        <v>78</v>
      </c>
      <c r="F9" s="350" t="s">
        <v>82</v>
      </c>
      <c r="G9" s="350" t="s">
        <v>82</v>
      </c>
      <c r="H9" s="350">
        <v>98</v>
      </c>
      <c r="I9" s="350">
        <v>138</v>
      </c>
      <c r="J9" s="350">
        <v>236</v>
      </c>
      <c r="K9" s="350">
        <v>74</v>
      </c>
      <c r="L9" s="350">
        <v>145</v>
      </c>
      <c r="M9" s="350">
        <v>219</v>
      </c>
    </row>
    <row r="10" spans="2:13" x14ac:dyDescent="0.35">
      <c r="B10" s="351" t="s">
        <v>97</v>
      </c>
      <c r="C10" s="351" t="s">
        <v>83</v>
      </c>
      <c r="F10" s="350" t="s">
        <v>83</v>
      </c>
      <c r="G10" s="350" t="s">
        <v>83</v>
      </c>
      <c r="H10" s="350">
        <v>109</v>
      </c>
      <c r="I10" s="350">
        <v>222</v>
      </c>
      <c r="J10" s="350">
        <v>331</v>
      </c>
      <c r="K10" s="350">
        <v>96</v>
      </c>
      <c r="L10" s="350">
        <v>220</v>
      </c>
      <c r="M10" s="350">
        <v>316</v>
      </c>
    </row>
    <row r="11" spans="2:13" x14ac:dyDescent="0.35">
      <c r="B11" s="351" t="s">
        <v>99</v>
      </c>
      <c r="C11" s="351" t="s">
        <v>79</v>
      </c>
      <c r="F11" s="350" t="s">
        <v>84</v>
      </c>
      <c r="G11" s="350" t="s">
        <v>84</v>
      </c>
      <c r="H11" s="350">
        <v>86</v>
      </c>
      <c r="I11" s="350">
        <v>134</v>
      </c>
      <c r="J11" s="350">
        <v>220</v>
      </c>
      <c r="K11" s="350">
        <v>74</v>
      </c>
      <c r="L11" s="350">
        <v>130</v>
      </c>
      <c r="M11" s="350">
        <v>204</v>
      </c>
    </row>
    <row r="12" spans="2:13" x14ac:dyDescent="0.35">
      <c r="B12" s="351" t="s">
        <v>101</v>
      </c>
      <c r="C12" s="351" t="s">
        <v>80</v>
      </c>
      <c r="F12" s="350" t="s">
        <v>85</v>
      </c>
      <c r="G12" s="350" t="s">
        <v>85</v>
      </c>
      <c r="H12" s="350">
        <v>83</v>
      </c>
      <c r="I12" s="350">
        <v>118</v>
      </c>
      <c r="J12" s="350">
        <v>201</v>
      </c>
      <c r="K12" s="350">
        <v>71</v>
      </c>
      <c r="L12" s="350">
        <v>128</v>
      </c>
      <c r="M12" s="350">
        <v>199</v>
      </c>
    </row>
    <row r="13" spans="2:13" x14ac:dyDescent="0.35">
      <c r="B13" s="351" t="s">
        <v>103</v>
      </c>
      <c r="C13" s="351" t="s">
        <v>80</v>
      </c>
      <c r="F13" s="350" t="s">
        <v>788</v>
      </c>
      <c r="G13" s="350" t="s">
        <v>788</v>
      </c>
      <c r="H13" s="350">
        <v>63</v>
      </c>
      <c r="I13" s="350">
        <v>94</v>
      </c>
      <c r="J13" s="350">
        <v>157</v>
      </c>
      <c r="K13" s="350">
        <v>64</v>
      </c>
      <c r="L13" s="350">
        <v>96</v>
      </c>
      <c r="M13" s="350">
        <v>160</v>
      </c>
    </row>
    <row r="14" spans="2:13" x14ac:dyDescent="0.35">
      <c r="B14" s="351" t="s">
        <v>105</v>
      </c>
      <c r="C14" s="351" t="s">
        <v>788</v>
      </c>
      <c r="F14" s="350" t="s">
        <v>86</v>
      </c>
      <c r="G14" s="350" t="s">
        <v>87</v>
      </c>
      <c r="H14" s="350">
        <v>15</v>
      </c>
      <c r="I14" s="350">
        <v>2</v>
      </c>
      <c r="J14" s="350">
        <v>17</v>
      </c>
      <c r="K14" s="350">
        <v>15</v>
      </c>
      <c r="L14" s="350">
        <v>3</v>
      </c>
      <c r="M14" s="350">
        <v>18</v>
      </c>
    </row>
    <row r="15" spans="2:13" x14ac:dyDescent="0.35">
      <c r="B15" s="351" t="s">
        <v>107</v>
      </c>
      <c r="C15" s="351" t="s">
        <v>82</v>
      </c>
      <c r="F15" s="351" t="s">
        <v>88</v>
      </c>
      <c r="G15" s="351" t="s">
        <v>89</v>
      </c>
      <c r="H15" s="351">
        <v>9</v>
      </c>
      <c r="I15" s="351">
        <v>6</v>
      </c>
      <c r="J15" s="351">
        <v>15</v>
      </c>
      <c r="K15" s="350">
        <v>9</v>
      </c>
      <c r="L15" s="350">
        <v>7</v>
      </c>
      <c r="M15" s="350">
        <v>16</v>
      </c>
    </row>
    <row r="16" spans="2:13" x14ac:dyDescent="0.35">
      <c r="B16" s="351" t="s">
        <v>109</v>
      </c>
      <c r="C16" s="351" t="s">
        <v>79</v>
      </c>
      <c r="F16" s="351" t="s">
        <v>90</v>
      </c>
      <c r="G16" s="351" t="s">
        <v>91</v>
      </c>
      <c r="H16" s="351">
        <v>15</v>
      </c>
      <c r="I16" s="351">
        <v>6</v>
      </c>
      <c r="J16" s="351">
        <v>21</v>
      </c>
      <c r="K16" s="350">
        <v>20</v>
      </c>
      <c r="L16" s="350">
        <v>5</v>
      </c>
      <c r="M16" s="350">
        <v>25</v>
      </c>
    </row>
    <row r="17" spans="2:13" x14ac:dyDescent="0.35">
      <c r="B17" s="351" t="s">
        <v>111</v>
      </c>
      <c r="C17" s="351" t="s">
        <v>83</v>
      </c>
      <c r="F17" s="351" t="s">
        <v>92</v>
      </c>
      <c r="G17" s="351" t="s">
        <v>93</v>
      </c>
      <c r="H17" s="351">
        <v>23</v>
      </c>
      <c r="I17" s="351">
        <v>6</v>
      </c>
      <c r="J17" s="351">
        <v>29</v>
      </c>
      <c r="K17" s="350">
        <v>28</v>
      </c>
      <c r="L17" s="350">
        <v>7</v>
      </c>
      <c r="M17" s="350">
        <v>35</v>
      </c>
    </row>
    <row r="18" spans="2:13" x14ac:dyDescent="0.35">
      <c r="B18" s="351" t="s">
        <v>113</v>
      </c>
      <c r="C18" s="351" t="s">
        <v>78</v>
      </c>
      <c r="F18" s="351" t="s">
        <v>94</v>
      </c>
      <c r="G18" s="351" t="s">
        <v>95</v>
      </c>
      <c r="H18" s="351">
        <v>18</v>
      </c>
      <c r="I18" s="351">
        <v>1</v>
      </c>
      <c r="J18" s="351">
        <v>19</v>
      </c>
      <c r="K18" s="350">
        <v>22</v>
      </c>
      <c r="L18" s="350">
        <v>2</v>
      </c>
      <c r="M18" s="350">
        <v>24</v>
      </c>
    </row>
    <row r="19" spans="2:13" x14ac:dyDescent="0.35">
      <c r="B19" s="351" t="s">
        <v>115</v>
      </c>
      <c r="C19" s="351" t="s">
        <v>84</v>
      </c>
      <c r="F19" s="351" t="s">
        <v>96</v>
      </c>
      <c r="G19" s="351" t="s">
        <v>97</v>
      </c>
      <c r="H19" s="351">
        <v>20</v>
      </c>
      <c r="I19" s="351">
        <v>3</v>
      </c>
      <c r="J19" s="351">
        <v>23</v>
      </c>
      <c r="K19" s="350">
        <v>27</v>
      </c>
      <c r="L19" s="350">
        <v>2</v>
      </c>
      <c r="M19" s="350">
        <v>29</v>
      </c>
    </row>
    <row r="20" spans="2:13" x14ac:dyDescent="0.35">
      <c r="B20" s="351" t="s">
        <v>117</v>
      </c>
      <c r="C20" s="351" t="s">
        <v>79</v>
      </c>
      <c r="F20" s="351" t="s">
        <v>98</v>
      </c>
      <c r="G20" s="351" t="s">
        <v>99</v>
      </c>
      <c r="H20" s="351">
        <v>19</v>
      </c>
      <c r="I20" s="351">
        <v>4</v>
      </c>
      <c r="J20" s="351">
        <v>23</v>
      </c>
      <c r="K20" s="350">
        <v>22</v>
      </c>
      <c r="L20" s="350">
        <v>4</v>
      </c>
      <c r="M20" s="350">
        <v>26</v>
      </c>
    </row>
    <row r="21" spans="2:13" x14ac:dyDescent="0.35">
      <c r="B21" s="351" t="s">
        <v>119</v>
      </c>
      <c r="C21" s="351" t="s">
        <v>80</v>
      </c>
      <c r="F21" s="351" t="s">
        <v>100</v>
      </c>
      <c r="G21" s="351" t="s">
        <v>101</v>
      </c>
      <c r="H21" s="351">
        <v>29</v>
      </c>
      <c r="I21" s="351">
        <v>1</v>
      </c>
      <c r="J21" s="351">
        <v>30</v>
      </c>
      <c r="K21" s="350">
        <v>21</v>
      </c>
      <c r="L21" s="350">
        <v>4</v>
      </c>
      <c r="M21" s="350">
        <v>25</v>
      </c>
    </row>
    <row r="22" spans="2:13" x14ac:dyDescent="0.35">
      <c r="B22" s="351" t="s">
        <v>121</v>
      </c>
      <c r="C22" s="351" t="s">
        <v>85</v>
      </c>
      <c r="F22" s="351" t="s">
        <v>102</v>
      </c>
      <c r="G22" s="351" t="s">
        <v>103</v>
      </c>
      <c r="H22" s="351">
        <v>35</v>
      </c>
      <c r="I22" s="351">
        <v>21</v>
      </c>
      <c r="J22" s="351">
        <v>56</v>
      </c>
      <c r="K22" s="350">
        <v>29</v>
      </c>
      <c r="L22" s="350">
        <v>30</v>
      </c>
      <c r="M22" s="350">
        <v>59</v>
      </c>
    </row>
    <row r="23" spans="2:13" x14ac:dyDescent="0.35">
      <c r="B23" s="351" t="s">
        <v>123</v>
      </c>
      <c r="C23" s="351" t="s">
        <v>78</v>
      </c>
      <c r="F23" s="351" t="s">
        <v>104</v>
      </c>
      <c r="G23" s="351" t="s">
        <v>105</v>
      </c>
      <c r="H23" s="351">
        <v>12</v>
      </c>
      <c r="I23" s="351">
        <v>3</v>
      </c>
      <c r="J23" s="351">
        <v>15</v>
      </c>
      <c r="K23" s="350">
        <v>20</v>
      </c>
      <c r="L23" s="350">
        <v>6</v>
      </c>
      <c r="M23" s="350">
        <v>26</v>
      </c>
    </row>
    <row r="24" spans="2:13" x14ac:dyDescent="0.35">
      <c r="B24" s="351" t="s">
        <v>125</v>
      </c>
      <c r="C24" s="351" t="s">
        <v>82</v>
      </c>
      <c r="F24" s="351" t="s">
        <v>106</v>
      </c>
      <c r="G24" s="351" t="s">
        <v>107</v>
      </c>
      <c r="H24" s="351">
        <v>8</v>
      </c>
      <c r="I24" s="351">
        <v>3</v>
      </c>
      <c r="J24" s="351">
        <v>11</v>
      </c>
      <c r="K24" s="350">
        <v>10</v>
      </c>
      <c r="L24" s="350">
        <v>6</v>
      </c>
      <c r="M24" s="350">
        <v>16</v>
      </c>
    </row>
    <row r="25" spans="2:13" x14ac:dyDescent="0.35">
      <c r="B25" s="351" t="s">
        <v>127</v>
      </c>
      <c r="C25" s="351" t="s">
        <v>82</v>
      </c>
      <c r="F25" s="351" t="s">
        <v>108</v>
      </c>
      <c r="G25" s="351" t="s">
        <v>109</v>
      </c>
      <c r="H25" s="351">
        <v>20</v>
      </c>
      <c r="I25" s="351">
        <v>4</v>
      </c>
      <c r="J25" s="351">
        <v>24</v>
      </c>
      <c r="K25" s="350">
        <v>20</v>
      </c>
      <c r="L25" s="350">
        <v>6</v>
      </c>
      <c r="M25" s="350">
        <v>26</v>
      </c>
    </row>
    <row r="26" spans="2:13" x14ac:dyDescent="0.35">
      <c r="B26" s="351" t="s">
        <v>129</v>
      </c>
      <c r="C26" s="351" t="s">
        <v>78</v>
      </c>
      <c r="F26" s="351" t="s">
        <v>110</v>
      </c>
      <c r="G26" s="351" t="s">
        <v>111</v>
      </c>
      <c r="H26" s="351">
        <v>27</v>
      </c>
      <c r="I26" s="351">
        <v>4</v>
      </c>
      <c r="J26" s="351">
        <v>31</v>
      </c>
      <c r="K26" s="350">
        <v>28</v>
      </c>
      <c r="L26" s="350">
        <v>9</v>
      </c>
      <c r="M26" s="350">
        <v>37</v>
      </c>
    </row>
    <row r="27" spans="2:13" x14ac:dyDescent="0.35">
      <c r="B27" s="351" t="s">
        <v>131</v>
      </c>
      <c r="C27" s="351" t="s">
        <v>82</v>
      </c>
      <c r="F27" s="351" t="s">
        <v>112</v>
      </c>
      <c r="G27" s="351" t="s">
        <v>113</v>
      </c>
      <c r="H27" s="351">
        <v>18</v>
      </c>
      <c r="I27" s="351">
        <v>4</v>
      </c>
      <c r="J27" s="351">
        <v>22</v>
      </c>
      <c r="K27" s="350">
        <v>24</v>
      </c>
      <c r="L27" s="350">
        <v>4</v>
      </c>
      <c r="M27" s="350">
        <v>28</v>
      </c>
    </row>
    <row r="28" spans="2:13" x14ac:dyDescent="0.35">
      <c r="B28" s="351" t="s">
        <v>133</v>
      </c>
      <c r="C28" s="351" t="s">
        <v>78</v>
      </c>
      <c r="F28" s="351" t="s">
        <v>114</v>
      </c>
      <c r="G28" s="351" t="s">
        <v>115</v>
      </c>
      <c r="H28" s="351">
        <v>22</v>
      </c>
      <c r="I28" s="351">
        <v>9</v>
      </c>
      <c r="J28" s="351">
        <v>31</v>
      </c>
      <c r="K28" s="350">
        <v>22</v>
      </c>
      <c r="L28" s="350">
        <v>9</v>
      </c>
      <c r="M28" s="350">
        <v>31</v>
      </c>
    </row>
    <row r="29" spans="2:13" x14ac:dyDescent="0.35">
      <c r="B29" s="351" t="s">
        <v>135</v>
      </c>
      <c r="C29" s="351" t="s">
        <v>84</v>
      </c>
      <c r="F29" s="351" t="s">
        <v>116</v>
      </c>
      <c r="G29" s="351" t="s">
        <v>117</v>
      </c>
      <c r="H29" s="351">
        <v>25</v>
      </c>
      <c r="I29" s="351">
        <v>7</v>
      </c>
      <c r="J29" s="351">
        <v>32</v>
      </c>
      <c r="K29" s="350">
        <v>30</v>
      </c>
      <c r="L29" s="350">
        <v>12</v>
      </c>
      <c r="M29" s="350">
        <v>42</v>
      </c>
    </row>
    <row r="30" spans="2:13" x14ac:dyDescent="0.35">
      <c r="B30" s="351" t="s">
        <v>137</v>
      </c>
      <c r="C30" s="351" t="s">
        <v>83</v>
      </c>
      <c r="F30" s="351" t="s">
        <v>118</v>
      </c>
      <c r="G30" s="351" t="s">
        <v>119</v>
      </c>
      <c r="H30" s="351">
        <v>26</v>
      </c>
      <c r="I30" s="351">
        <v>14</v>
      </c>
      <c r="J30" s="351">
        <v>40</v>
      </c>
      <c r="K30" s="350">
        <v>25</v>
      </c>
      <c r="L30" s="350">
        <v>17</v>
      </c>
      <c r="M30" s="350">
        <v>42</v>
      </c>
    </row>
    <row r="31" spans="2:13" x14ac:dyDescent="0.35">
      <c r="B31" s="351" t="s">
        <v>139</v>
      </c>
      <c r="C31" s="351" t="s">
        <v>788</v>
      </c>
      <c r="F31" s="351" t="s">
        <v>120</v>
      </c>
      <c r="G31" s="351" t="s">
        <v>121</v>
      </c>
      <c r="H31" s="351">
        <v>32</v>
      </c>
      <c r="I31" s="351">
        <v>45</v>
      </c>
      <c r="J31" s="351">
        <v>77</v>
      </c>
      <c r="K31" s="350">
        <v>33</v>
      </c>
      <c r="L31" s="350">
        <v>49</v>
      </c>
      <c r="M31" s="350">
        <v>82</v>
      </c>
    </row>
    <row r="32" spans="2:13" x14ac:dyDescent="0.35">
      <c r="B32" s="351" t="s">
        <v>141</v>
      </c>
      <c r="C32" s="351" t="s">
        <v>79</v>
      </c>
      <c r="F32" s="351" t="s">
        <v>122</v>
      </c>
      <c r="G32" s="351" t="s">
        <v>123</v>
      </c>
      <c r="H32" s="351">
        <v>17</v>
      </c>
      <c r="I32" s="351">
        <v>1</v>
      </c>
      <c r="J32" s="351">
        <v>18</v>
      </c>
      <c r="K32" s="350">
        <v>18</v>
      </c>
      <c r="L32" s="350">
        <v>2</v>
      </c>
      <c r="M32" s="350">
        <v>20</v>
      </c>
    </row>
    <row r="33" spans="2:13" x14ac:dyDescent="0.35">
      <c r="B33" s="351" t="s">
        <v>143</v>
      </c>
      <c r="C33" s="351" t="s">
        <v>79</v>
      </c>
      <c r="F33" s="351" t="s">
        <v>124</v>
      </c>
      <c r="G33" s="351" t="s">
        <v>125</v>
      </c>
      <c r="H33" s="351">
        <v>16</v>
      </c>
      <c r="I33" s="351">
        <v>8</v>
      </c>
      <c r="J33" s="351">
        <v>24</v>
      </c>
      <c r="K33" s="350">
        <v>15</v>
      </c>
      <c r="L33" s="350">
        <v>12</v>
      </c>
      <c r="M33" s="350">
        <v>27</v>
      </c>
    </row>
    <row r="34" spans="2:13" x14ac:dyDescent="0.35">
      <c r="B34" s="351" t="s">
        <v>145</v>
      </c>
      <c r="C34" s="351" t="s">
        <v>80</v>
      </c>
      <c r="F34" s="351" t="s">
        <v>126</v>
      </c>
      <c r="G34" s="351" t="s">
        <v>127</v>
      </c>
      <c r="H34" s="351">
        <v>15</v>
      </c>
      <c r="I34" s="351">
        <v>5</v>
      </c>
      <c r="J34" s="351">
        <v>20</v>
      </c>
      <c r="K34" s="350">
        <v>17</v>
      </c>
      <c r="L34" s="350">
        <v>11</v>
      </c>
      <c r="M34" s="350">
        <v>28</v>
      </c>
    </row>
    <row r="35" spans="2:13" x14ac:dyDescent="0.35">
      <c r="B35" s="351" t="s">
        <v>147</v>
      </c>
      <c r="C35" s="351" t="s">
        <v>79</v>
      </c>
      <c r="D35" s="394"/>
      <c r="E35" s="394"/>
      <c r="F35" s="351" t="s">
        <v>128</v>
      </c>
      <c r="G35" s="351" t="s">
        <v>129</v>
      </c>
      <c r="H35" s="351">
        <v>12</v>
      </c>
      <c r="I35" s="351">
        <v>2</v>
      </c>
      <c r="J35" s="351">
        <v>14</v>
      </c>
      <c r="K35" s="350">
        <v>20</v>
      </c>
      <c r="L35" s="350">
        <v>2</v>
      </c>
      <c r="M35" s="350">
        <v>22</v>
      </c>
    </row>
    <row r="36" spans="2:13" x14ac:dyDescent="0.35">
      <c r="B36" s="351" t="s">
        <v>149</v>
      </c>
      <c r="C36" s="351" t="s">
        <v>83</v>
      </c>
      <c r="F36" s="351" t="s">
        <v>130</v>
      </c>
      <c r="G36" s="351" t="s">
        <v>131</v>
      </c>
      <c r="H36" s="351">
        <v>21</v>
      </c>
      <c r="I36" s="351">
        <v>3</v>
      </c>
      <c r="J36" s="351">
        <v>24</v>
      </c>
      <c r="K36" s="350">
        <v>19</v>
      </c>
      <c r="L36" s="350">
        <v>8</v>
      </c>
      <c r="M36" s="350">
        <v>27</v>
      </c>
    </row>
    <row r="37" spans="2:13" x14ac:dyDescent="0.35">
      <c r="B37" s="351" t="s">
        <v>151</v>
      </c>
      <c r="C37" s="351" t="s">
        <v>84</v>
      </c>
      <c r="F37" s="351" t="s">
        <v>132</v>
      </c>
      <c r="G37" s="351" t="s">
        <v>133</v>
      </c>
      <c r="H37" s="351">
        <v>11</v>
      </c>
      <c r="I37" s="351">
        <v>4</v>
      </c>
      <c r="J37" s="351">
        <v>15</v>
      </c>
      <c r="K37" s="350">
        <v>11</v>
      </c>
      <c r="L37" s="350">
        <v>4</v>
      </c>
      <c r="M37" s="350">
        <v>15</v>
      </c>
    </row>
    <row r="38" spans="2:13" x14ac:dyDescent="0.35">
      <c r="B38" s="351" t="s">
        <v>153</v>
      </c>
      <c r="C38" s="351" t="s">
        <v>79</v>
      </c>
      <c r="F38" s="351" t="s">
        <v>134</v>
      </c>
      <c r="G38" s="351" t="s">
        <v>135</v>
      </c>
      <c r="H38" s="351">
        <v>0</v>
      </c>
      <c r="I38" s="351">
        <v>0</v>
      </c>
      <c r="J38" s="351">
        <v>0</v>
      </c>
      <c r="K38" s="350">
        <v>26</v>
      </c>
      <c r="L38" s="350">
        <v>12</v>
      </c>
      <c r="M38" s="350">
        <v>38</v>
      </c>
    </row>
    <row r="39" spans="2:13" x14ac:dyDescent="0.35">
      <c r="B39" s="351" t="s">
        <v>155</v>
      </c>
      <c r="C39" s="351" t="s">
        <v>80</v>
      </c>
      <c r="F39" s="351" t="s">
        <v>136</v>
      </c>
      <c r="G39" s="351" t="s">
        <v>137</v>
      </c>
      <c r="H39" s="351">
        <v>23</v>
      </c>
      <c r="I39" s="351">
        <v>1</v>
      </c>
      <c r="J39" s="351">
        <v>24</v>
      </c>
      <c r="K39" s="350">
        <v>28</v>
      </c>
      <c r="L39" s="350">
        <v>4</v>
      </c>
      <c r="M39" s="350">
        <v>32</v>
      </c>
    </row>
    <row r="40" spans="2:13" x14ac:dyDescent="0.35">
      <c r="B40" s="351" t="s">
        <v>157</v>
      </c>
      <c r="C40" s="351" t="s">
        <v>85</v>
      </c>
      <c r="F40" s="351" t="s">
        <v>138</v>
      </c>
      <c r="G40" s="351" t="s">
        <v>139</v>
      </c>
      <c r="H40" s="351">
        <v>25</v>
      </c>
      <c r="I40" s="351">
        <v>14</v>
      </c>
      <c r="J40" s="351">
        <v>39</v>
      </c>
      <c r="K40" s="350">
        <v>31</v>
      </c>
      <c r="L40" s="350">
        <v>19</v>
      </c>
      <c r="M40" s="350">
        <v>50</v>
      </c>
    </row>
    <row r="41" spans="2:13" x14ac:dyDescent="0.35">
      <c r="B41" s="351" t="s">
        <v>159</v>
      </c>
      <c r="C41" s="351" t="s">
        <v>79</v>
      </c>
      <c r="F41" s="351" t="s">
        <v>140</v>
      </c>
      <c r="G41" s="351" t="s">
        <v>141</v>
      </c>
      <c r="H41" s="351">
        <v>27</v>
      </c>
      <c r="I41" s="351">
        <v>7</v>
      </c>
      <c r="J41" s="351">
        <v>34</v>
      </c>
      <c r="K41" s="350">
        <v>31</v>
      </c>
      <c r="L41" s="350">
        <v>8</v>
      </c>
      <c r="M41" s="350">
        <v>39</v>
      </c>
    </row>
    <row r="42" spans="2:13" x14ac:dyDescent="0.35">
      <c r="B42" s="351" t="s">
        <v>161</v>
      </c>
      <c r="C42" s="351" t="s">
        <v>78</v>
      </c>
      <c r="F42" s="351" t="s">
        <v>142</v>
      </c>
      <c r="G42" s="351" t="s">
        <v>143</v>
      </c>
      <c r="H42" s="351">
        <v>23</v>
      </c>
      <c r="I42" s="351">
        <v>5</v>
      </c>
      <c r="J42" s="351">
        <v>28</v>
      </c>
      <c r="K42" s="350">
        <v>23</v>
      </c>
      <c r="L42" s="350">
        <v>5</v>
      </c>
      <c r="M42" s="350">
        <v>28</v>
      </c>
    </row>
    <row r="43" spans="2:13" x14ac:dyDescent="0.35">
      <c r="B43" s="351" t="s">
        <v>770</v>
      </c>
      <c r="C43" s="351" t="s">
        <v>83</v>
      </c>
      <c r="F43" s="351" t="s">
        <v>144</v>
      </c>
      <c r="G43" s="351" t="s">
        <v>145</v>
      </c>
      <c r="H43" s="351">
        <v>30</v>
      </c>
      <c r="I43" s="351">
        <v>27</v>
      </c>
      <c r="J43" s="351">
        <v>57</v>
      </c>
      <c r="K43" s="350">
        <v>29</v>
      </c>
      <c r="L43" s="350">
        <v>31</v>
      </c>
      <c r="M43" s="350">
        <v>60</v>
      </c>
    </row>
    <row r="44" spans="2:13" x14ac:dyDescent="0.35">
      <c r="B44" s="351" t="s">
        <v>163</v>
      </c>
      <c r="C44" s="351" t="s">
        <v>82</v>
      </c>
      <c r="F44" s="351" t="s">
        <v>146</v>
      </c>
      <c r="G44" s="351" t="s">
        <v>147</v>
      </c>
      <c r="H44" s="351">
        <v>17</v>
      </c>
      <c r="I44" s="351">
        <v>3</v>
      </c>
      <c r="J44" s="351">
        <v>20</v>
      </c>
      <c r="K44" s="350">
        <v>20</v>
      </c>
      <c r="L44" s="350">
        <v>3</v>
      </c>
      <c r="M44" s="350">
        <v>23</v>
      </c>
    </row>
    <row r="45" spans="2:13" x14ac:dyDescent="0.35">
      <c r="B45" s="351" t="s">
        <v>165</v>
      </c>
      <c r="C45" s="351" t="s">
        <v>82</v>
      </c>
      <c r="F45" s="351" t="s">
        <v>148</v>
      </c>
      <c r="G45" s="351" t="s">
        <v>149</v>
      </c>
      <c r="H45" s="351">
        <v>25</v>
      </c>
      <c r="I45" s="351">
        <v>15</v>
      </c>
      <c r="J45" s="351">
        <v>40</v>
      </c>
      <c r="K45" s="350">
        <v>28</v>
      </c>
      <c r="L45" s="350">
        <v>19</v>
      </c>
      <c r="M45" s="350">
        <v>47</v>
      </c>
    </row>
    <row r="46" spans="2:13" x14ac:dyDescent="0.35">
      <c r="B46" s="351" t="s">
        <v>167</v>
      </c>
      <c r="C46" s="351" t="s">
        <v>788</v>
      </c>
      <c r="F46" s="351" t="s">
        <v>150</v>
      </c>
      <c r="G46" s="351" t="s">
        <v>151</v>
      </c>
      <c r="H46" s="351">
        <v>27</v>
      </c>
      <c r="I46" s="351">
        <v>20</v>
      </c>
      <c r="J46" s="351">
        <v>47</v>
      </c>
      <c r="K46" s="350">
        <v>28</v>
      </c>
      <c r="L46" s="350">
        <v>18</v>
      </c>
      <c r="M46" s="350">
        <v>46</v>
      </c>
    </row>
    <row r="47" spans="2:13" x14ac:dyDescent="0.35">
      <c r="B47" s="351" t="s">
        <v>169</v>
      </c>
      <c r="C47" s="351" t="s">
        <v>79</v>
      </c>
      <c r="F47" s="351" t="s">
        <v>152</v>
      </c>
      <c r="G47" s="351" t="s">
        <v>153</v>
      </c>
      <c r="H47" s="351">
        <v>18</v>
      </c>
      <c r="I47" s="351">
        <v>3</v>
      </c>
      <c r="J47" s="351">
        <v>21</v>
      </c>
      <c r="K47" s="350">
        <v>16</v>
      </c>
      <c r="L47" s="350">
        <v>5</v>
      </c>
      <c r="M47" s="350">
        <v>21</v>
      </c>
    </row>
    <row r="48" spans="2:13" x14ac:dyDescent="0.35">
      <c r="B48" s="351" t="s">
        <v>171</v>
      </c>
      <c r="C48" s="351" t="s">
        <v>80</v>
      </c>
      <c r="F48" s="351" t="s">
        <v>154</v>
      </c>
      <c r="G48" s="351" t="s">
        <v>155</v>
      </c>
      <c r="H48" s="351">
        <v>33</v>
      </c>
      <c r="I48" s="351">
        <v>17</v>
      </c>
      <c r="J48" s="351">
        <v>50</v>
      </c>
      <c r="K48" s="350">
        <v>32</v>
      </c>
      <c r="L48" s="350">
        <v>20</v>
      </c>
      <c r="M48" s="350">
        <v>52</v>
      </c>
    </row>
    <row r="49" spans="2:13" x14ac:dyDescent="0.35">
      <c r="B49" s="351" t="s">
        <v>173</v>
      </c>
      <c r="C49" s="351" t="s">
        <v>85</v>
      </c>
      <c r="F49" s="351" t="s">
        <v>156</v>
      </c>
      <c r="G49" s="351" t="s">
        <v>157</v>
      </c>
      <c r="H49" s="351">
        <v>19</v>
      </c>
      <c r="I49" s="351">
        <v>2</v>
      </c>
      <c r="J49" s="351">
        <v>21</v>
      </c>
      <c r="K49" s="350">
        <v>14</v>
      </c>
      <c r="L49" s="350">
        <v>2</v>
      </c>
      <c r="M49" s="350">
        <v>16</v>
      </c>
    </row>
    <row r="50" spans="2:13" x14ac:dyDescent="0.35">
      <c r="B50" s="351" t="s">
        <v>175</v>
      </c>
      <c r="C50" s="351" t="s">
        <v>83</v>
      </c>
      <c r="F50" s="351" t="s">
        <v>158</v>
      </c>
      <c r="G50" s="351" t="s">
        <v>159</v>
      </c>
      <c r="H50" s="351">
        <v>17</v>
      </c>
      <c r="I50" s="351">
        <v>1</v>
      </c>
      <c r="J50" s="351">
        <v>18</v>
      </c>
      <c r="K50" s="350">
        <v>18</v>
      </c>
      <c r="L50" s="350">
        <v>1</v>
      </c>
      <c r="M50" s="350">
        <v>19</v>
      </c>
    </row>
    <row r="51" spans="2:13" x14ac:dyDescent="0.35">
      <c r="B51" s="351" t="s">
        <v>177</v>
      </c>
      <c r="C51" s="351" t="s">
        <v>82</v>
      </c>
      <c r="F51" s="351" t="s">
        <v>160</v>
      </c>
      <c r="G51" s="351" t="s">
        <v>161</v>
      </c>
      <c r="H51" s="351">
        <v>15</v>
      </c>
      <c r="I51" s="351">
        <v>2</v>
      </c>
      <c r="J51" s="351">
        <v>17</v>
      </c>
      <c r="K51" s="350">
        <v>19</v>
      </c>
      <c r="L51" s="350">
        <v>0</v>
      </c>
      <c r="M51" s="350">
        <v>19</v>
      </c>
    </row>
    <row r="52" spans="2:13" x14ac:dyDescent="0.35">
      <c r="B52" s="351" t="s">
        <v>179</v>
      </c>
      <c r="C52" s="351" t="s">
        <v>79</v>
      </c>
      <c r="F52" s="351" t="s">
        <v>775</v>
      </c>
      <c r="G52" s="351" t="s">
        <v>770</v>
      </c>
      <c r="H52" s="351">
        <v>0</v>
      </c>
      <c r="I52" s="351">
        <v>0</v>
      </c>
      <c r="J52" s="351">
        <v>0</v>
      </c>
      <c r="K52" s="350">
        <v>47</v>
      </c>
      <c r="L52" s="350">
        <v>13</v>
      </c>
      <c r="M52" s="350">
        <v>60</v>
      </c>
    </row>
    <row r="53" spans="2:13" x14ac:dyDescent="0.35">
      <c r="B53" s="351" t="s">
        <v>181</v>
      </c>
      <c r="C53" s="351" t="s">
        <v>79</v>
      </c>
      <c r="F53" s="351" t="s">
        <v>162</v>
      </c>
      <c r="G53" s="351" t="s">
        <v>163</v>
      </c>
      <c r="H53" s="351">
        <v>14</v>
      </c>
      <c r="I53" s="351">
        <v>3</v>
      </c>
      <c r="J53" s="351">
        <v>17</v>
      </c>
      <c r="K53" s="350">
        <v>14</v>
      </c>
      <c r="L53" s="350">
        <v>7</v>
      </c>
      <c r="M53" s="350">
        <v>21</v>
      </c>
    </row>
    <row r="54" spans="2:13" x14ac:dyDescent="0.35">
      <c r="B54" s="351" t="s">
        <v>183</v>
      </c>
      <c r="C54" s="351" t="s">
        <v>78</v>
      </c>
      <c r="F54" s="351" t="s">
        <v>164</v>
      </c>
      <c r="G54" s="351" t="s">
        <v>165</v>
      </c>
      <c r="H54" s="351">
        <v>20</v>
      </c>
      <c r="I54" s="351">
        <v>8</v>
      </c>
      <c r="J54" s="351">
        <v>28</v>
      </c>
      <c r="K54" s="350">
        <v>24</v>
      </c>
      <c r="L54" s="350">
        <v>13</v>
      </c>
      <c r="M54" s="350">
        <v>37</v>
      </c>
    </row>
    <row r="55" spans="2:13" x14ac:dyDescent="0.35">
      <c r="B55" s="351" t="s">
        <v>185</v>
      </c>
      <c r="C55" s="351" t="s">
        <v>79</v>
      </c>
      <c r="F55" s="351" t="s">
        <v>166</v>
      </c>
      <c r="G55" s="351" t="s">
        <v>167</v>
      </c>
      <c r="H55" s="351">
        <v>19</v>
      </c>
      <c r="I55" s="351">
        <v>7</v>
      </c>
      <c r="J55" s="351">
        <v>26</v>
      </c>
      <c r="K55" s="350">
        <v>22</v>
      </c>
      <c r="L55" s="350">
        <v>11</v>
      </c>
      <c r="M55" s="350">
        <v>33</v>
      </c>
    </row>
    <row r="56" spans="2:13" x14ac:dyDescent="0.35">
      <c r="B56" s="351" t="s">
        <v>187</v>
      </c>
      <c r="C56" s="351" t="s">
        <v>84</v>
      </c>
      <c r="F56" s="351" t="s">
        <v>168</v>
      </c>
      <c r="G56" s="351" t="s">
        <v>169</v>
      </c>
      <c r="H56" s="351">
        <v>20</v>
      </c>
      <c r="I56" s="351">
        <v>9</v>
      </c>
      <c r="J56" s="351">
        <v>29</v>
      </c>
      <c r="K56" s="350">
        <v>24</v>
      </c>
      <c r="L56" s="350">
        <v>8</v>
      </c>
      <c r="M56" s="350">
        <v>32</v>
      </c>
    </row>
    <row r="57" spans="2:13" x14ac:dyDescent="0.35">
      <c r="B57" s="351" t="s">
        <v>189</v>
      </c>
      <c r="C57" s="351" t="s">
        <v>83</v>
      </c>
      <c r="F57" s="351" t="s">
        <v>170</v>
      </c>
      <c r="G57" s="351" t="s">
        <v>171</v>
      </c>
      <c r="H57" s="351">
        <v>26</v>
      </c>
      <c r="I57" s="351">
        <v>23</v>
      </c>
      <c r="J57" s="351">
        <v>49</v>
      </c>
      <c r="K57" s="350">
        <v>26</v>
      </c>
      <c r="L57" s="350">
        <v>22</v>
      </c>
      <c r="M57" s="350">
        <v>48</v>
      </c>
    </row>
    <row r="58" spans="2:13" x14ac:dyDescent="0.35">
      <c r="B58" s="351" t="s">
        <v>191</v>
      </c>
      <c r="C58" s="351" t="s">
        <v>82</v>
      </c>
      <c r="F58" s="351" t="s">
        <v>172</v>
      </c>
      <c r="G58" s="351" t="s">
        <v>173</v>
      </c>
      <c r="H58" s="351">
        <v>19</v>
      </c>
      <c r="I58" s="351">
        <v>4</v>
      </c>
      <c r="J58" s="351">
        <v>23</v>
      </c>
      <c r="K58" s="350">
        <v>21</v>
      </c>
      <c r="L58" s="350">
        <v>6</v>
      </c>
      <c r="M58" s="350">
        <v>27</v>
      </c>
    </row>
    <row r="59" spans="2:13" x14ac:dyDescent="0.35">
      <c r="B59" s="351" t="s">
        <v>193</v>
      </c>
      <c r="C59" s="351" t="s">
        <v>82</v>
      </c>
      <c r="F59" s="351" t="s">
        <v>174</v>
      </c>
      <c r="G59" s="351" t="s">
        <v>175</v>
      </c>
      <c r="H59" s="351">
        <v>18</v>
      </c>
      <c r="I59" s="351">
        <v>7</v>
      </c>
      <c r="J59" s="351">
        <v>25</v>
      </c>
      <c r="K59" s="350">
        <v>21</v>
      </c>
      <c r="L59" s="350">
        <v>10</v>
      </c>
      <c r="M59" s="350">
        <v>31</v>
      </c>
    </row>
    <row r="60" spans="2:13" x14ac:dyDescent="0.35">
      <c r="B60" s="351" t="s">
        <v>195</v>
      </c>
      <c r="C60" s="351" t="s">
        <v>78</v>
      </c>
      <c r="F60" s="351" t="s">
        <v>176</v>
      </c>
      <c r="G60" s="351" t="s">
        <v>177</v>
      </c>
      <c r="H60" s="351">
        <v>12</v>
      </c>
      <c r="I60" s="351">
        <v>6</v>
      </c>
      <c r="J60" s="351">
        <v>18</v>
      </c>
      <c r="K60" s="350">
        <v>10</v>
      </c>
      <c r="L60" s="350">
        <v>8</v>
      </c>
      <c r="M60" s="350">
        <v>18</v>
      </c>
    </row>
    <row r="61" spans="2:13" x14ac:dyDescent="0.35">
      <c r="B61" s="351" t="s">
        <v>197</v>
      </c>
      <c r="C61" s="351" t="s">
        <v>83</v>
      </c>
      <c r="F61" s="351" t="s">
        <v>178</v>
      </c>
      <c r="G61" s="351" t="s">
        <v>179</v>
      </c>
      <c r="H61" s="351">
        <v>21</v>
      </c>
      <c r="I61" s="351">
        <v>3</v>
      </c>
      <c r="J61" s="351">
        <v>24</v>
      </c>
      <c r="K61" s="350">
        <v>21</v>
      </c>
      <c r="L61" s="350">
        <v>3</v>
      </c>
      <c r="M61" s="350">
        <v>24</v>
      </c>
    </row>
    <row r="62" spans="2:13" x14ac:dyDescent="0.35">
      <c r="B62" s="351" t="s">
        <v>199</v>
      </c>
      <c r="C62" s="351" t="s">
        <v>82</v>
      </c>
      <c r="F62" s="351" t="s">
        <v>180</v>
      </c>
      <c r="G62" s="351" t="s">
        <v>181</v>
      </c>
      <c r="H62" s="351">
        <v>23</v>
      </c>
      <c r="I62" s="351">
        <v>10</v>
      </c>
      <c r="J62" s="351">
        <v>33</v>
      </c>
      <c r="K62" s="350">
        <v>33</v>
      </c>
      <c r="L62" s="350">
        <v>4</v>
      </c>
      <c r="M62" s="350">
        <v>37</v>
      </c>
    </row>
    <row r="63" spans="2:13" x14ac:dyDescent="0.35">
      <c r="B63" s="351" t="s">
        <v>201</v>
      </c>
      <c r="C63" s="351" t="s">
        <v>80</v>
      </c>
      <c r="F63" s="351" t="s">
        <v>182</v>
      </c>
      <c r="G63" s="351" t="s">
        <v>183</v>
      </c>
      <c r="H63" s="351">
        <v>20</v>
      </c>
      <c r="I63" s="351">
        <v>3</v>
      </c>
      <c r="J63" s="351">
        <v>23</v>
      </c>
      <c r="K63" s="350">
        <v>25</v>
      </c>
      <c r="L63" s="350">
        <v>7</v>
      </c>
      <c r="M63" s="350">
        <v>32</v>
      </c>
    </row>
    <row r="64" spans="2:13" x14ac:dyDescent="0.35">
      <c r="B64" s="351" t="s">
        <v>203</v>
      </c>
      <c r="C64" s="351" t="s">
        <v>79</v>
      </c>
      <c r="F64" s="351" t="s">
        <v>184</v>
      </c>
      <c r="G64" s="351" t="s">
        <v>185</v>
      </c>
      <c r="H64" s="351">
        <v>21</v>
      </c>
      <c r="I64" s="351">
        <v>5</v>
      </c>
      <c r="J64" s="351">
        <v>26</v>
      </c>
      <c r="K64" s="350">
        <v>27</v>
      </c>
      <c r="L64" s="350">
        <v>4</v>
      </c>
      <c r="M64" s="350">
        <v>31</v>
      </c>
    </row>
    <row r="65" spans="2:13" x14ac:dyDescent="0.35">
      <c r="B65" s="351" t="s">
        <v>205</v>
      </c>
      <c r="C65" s="351" t="s">
        <v>82</v>
      </c>
      <c r="F65" s="351" t="s">
        <v>186</v>
      </c>
      <c r="G65" s="351" t="s">
        <v>187</v>
      </c>
      <c r="H65" s="351">
        <v>19</v>
      </c>
      <c r="I65" s="351">
        <v>8</v>
      </c>
      <c r="J65" s="351">
        <v>27</v>
      </c>
      <c r="K65" s="350">
        <v>21</v>
      </c>
      <c r="L65" s="350">
        <v>10</v>
      </c>
      <c r="M65" s="350">
        <v>31</v>
      </c>
    </row>
    <row r="66" spans="2:13" x14ac:dyDescent="0.35">
      <c r="B66" s="351" t="s">
        <v>207</v>
      </c>
      <c r="C66" s="351" t="s">
        <v>84</v>
      </c>
      <c r="F66" s="351" t="s">
        <v>188</v>
      </c>
      <c r="G66" s="351" t="s">
        <v>189</v>
      </c>
      <c r="H66" s="351">
        <v>30</v>
      </c>
      <c r="I66" s="351">
        <v>5</v>
      </c>
      <c r="J66" s="351">
        <v>35</v>
      </c>
      <c r="K66" s="350">
        <v>33</v>
      </c>
      <c r="L66" s="350">
        <v>6</v>
      </c>
      <c r="M66" s="350">
        <v>39</v>
      </c>
    </row>
    <row r="67" spans="2:13" x14ac:dyDescent="0.35">
      <c r="B67" s="351" t="s">
        <v>209</v>
      </c>
      <c r="C67" s="351" t="s">
        <v>84</v>
      </c>
      <c r="F67" s="351" t="s">
        <v>190</v>
      </c>
      <c r="G67" s="351" t="s">
        <v>191</v>
      </c>
      <c r="H67" s="351">
        <v>27</v>
      </c>
      <c r="I67" s="351">
        <v>14</v>
      </c>
      <c r="J67" s="351">
        <v>41</v>
      </c>
      <c r="K67" s="350">
        <v>39</v>
      </c>
      <c r="L67" s="350">
        <v>21</v>
      </c>
      <c r="M67" s="350">
        <v>60</v>
      </c>
    </row>
    <row r="68" spans="2:13" x14ac:dyDescent="0.35">
      <c r="B68" s="351" t="s">
        <v>211</v>
      </c>
      <c r="C68" s="351" t="s">
        <v>81</v>
      </c>
      <c r="F68" s="351" t="s">
        <v>192</v>
      </c>
      <c r="G68" s="351" t="s">
        <v>193</v>
      </c>
      <c r="H68" s="351">
        <v>30</v>
      </c>
      <c r="I68" s="351">
        <v>13</v>
      </c>
      <c r="J68" s="351">
        <v>43</v>
      </c>
      <c r="K68" s="350">
        <v>37</v>
      </c>
      <c r="L68" s="350">
        <v>16</v>
      </c>
      <c r="M68" s="350">
        <v>53</v>
      </c>
    </row>
    <row r="69" spans="2:13" x14ac:dyDescent="0.35">
      <c r="B69" s="351" t="s">
        <v>213</v>
      </c>
      <c r="C69" s="351" t="s">
        <v>85</v>
      </c>
      <c r="F69" s="351" t="s">
        <v>194</v>
      </c>
      <c r="G69" s="351" t="s">
        <v>195</v>
      </c>
      <c r="H69" s="351">
        <v>20</v>
      </c>
      <c r="I69" s="351">
        <v>6</v>
      </c>
      <c r="J69" s="351">
        <v>26</v>
      </c>
      <c r="K69" s="350">
        <v>28</v>
      </c>
      <c r="L69" s="350">
        <v>8</v>
      </c>
      <c r="M69" s="350">
        <v>36</v>
      </c>
    </row>
    <row r="70" spans="2:13" x14ac:dyDescent="0.35">
      <c r="B70" s="351" t="s">
        <v>215</v>
      </c>
      <c r="C70" s="351" t="s">
        <v>788</v>
      </c>
      <c r="F70" s="351" t="s">
        <v>196</v>
      </c>
      <c r="G70" s="351" t="s">
        <v>197</v>
      </c>
      <c r="H70" s="351">
        <v>18</v>
      </c>
      <c r="I70" s="351">
        <v>8</v>
      </c>
      <c r="J70" s="351">
        <v>26</v>
      </c>
      <c r="K70" s="350">
        <v>28</v>
      </c>
      <c r="L70" s="350">
        <v>8</v>
      </c>
      <c r="M70" s="350">
        <v>36</v>
      </c>
    </row>
    <row r="71" spans="2:13" x14ac:dyDescent="0.35">
      <c r="B71" s="351" t="s">
        <v>217</v>
      </c>
      <c r="C71" s="351" t="s">
        <v>83</v>
      </c>
      <c r="F71" s="351" t="s">
        <v>198</v>
      </c>
      <c r="G71" s="351" t="s">
        <v>199</v>
      </c>
      <c r="H71" s="351">
        <v>17</v>
      </c>
      <c r="I71" s="351">
        <v>6</v>
      </c>
      <c r="J71" s="351">
        <v>23</v>
      </c>
      <c r="K71" s="350">
        <v>17</v>
      </c>
      <c r="L71" s="350">
        <v>11</v>
      </c>
      <c r="M71" s="350">
        <v>28</v>
      </c>
    </row>
    <row r="72" spans="2:13" x14ac:dyDescent="0.35">
      <c r="B72" s="351" t="s">
        <v>219</v>
      </c>
      <c r="C72" s="351" t="s">
        <v>80</v>
      </c>
      <c r="F72" s="351" t="s">
        <v>200</v>
      </c>
      <c r="G72" s="351" t="s">
        <v>201</v>
      </c>
      <c r="H72" s="351">
        <v>2</v>
      </c>
      <c r="I72" s="351">
        <v>1</v>
      </c>
      <c r="J72" s="351">
        <v>3</v>
      </c>
      <c r="K72" s="350">
        <v>3</v>
      </c>
      <c r="L72" s="350">
        <v>0</v>
      </c>
      <c r="M72" s="350">
        <v>3</v>
      </c>
    </row>
    <row r="73" spans="2:13" x14ac:dyDescent="0.35">
      <c r="B73" s="351" t="s">
        <v>221</v>
      </c>
      <c r="C73" s="351" t="s">
        <v>79</v>
      </c>
      <c r="F73" s="351" t="s">
        <v>202</v>
      </c>
      <c r="G73" s="351" t="s">
        <v>203</v>
      </c>
      <c r="H73" s="351">
        <v>26</v>
      </c>
      <c r="I73" s="351">
        <v>9</v>
      </c>
      <c r="J73" s="351">
        <v>35</v>
      </c>
      <c r="K73" s="350">
        <v>30</v>
      </c>
      <c r="L73" s="350">
        <v>17</v>
      </c>
      <c r="M73" s="350">
        <v>47</v>
      </c>
    </row>
    <row r="74" spans="2:13" x14ac:dyDescent="0.35">
      <c r="B74" s="351" t="s">
        <v>223</v>
      </c>
      <c r="C74" s="351" t="s">
        <v>81</v>
      </c>
      <c r="F74" s="351" t="s">
        <v>204</v>
      </c>
      <c r="G74" s="351" t="s">
        <v>205</v>
      </c>
      <c r="H74" s="351">
        <v>7</v>
      </c>
      <c r="I74" s="351">
        <v>6</v>
      </c>
      <c r="J74" s="351">
        <v>13</v>
      </c>
      <c r="K74" s="350">
        <v>8</v>
      </c>
      <c r="L74" s="350">
        <v>6</v>
      </c>
      <c r="M74" s="350">
        <v>14</v>
      </c>
    </row>
    <row r="75" spans="2:13" x14ac:dyDescent="0.35">
      <c r="B75" s="351" t="s">
        <v>225</v>
      </c>
      <c r="C75" s="351" t="s">
        <v>83</v>
      </c>
      <c r="F75" s="351" t="s">
        <v>206</v>
      </c>
      <c r="G75" s="351" t="s">
        <v>207</v>
      </c>
      <c r="H75" s="351">
        <v>27</v>
      </c>
      <c r="I75" s="351">
        <v>14</v>
      </c>
      <c r="J75" s="351">
        <v>41</v>
      </c>
      <c r="K75" s="350">
        <v>30</v>
      </c>
      <c r="L75" s="350">
        <v>17</v>
      </c>
      <c r="M75" s="350">
        <v>47</v>
      </c>
    </row>
    <row r="76" spans="2:13" x14ac:dyDescent="0.35">
      <c r="B76" s="351" t="s">
        <v>227</v>
      </c>
      <c r="C76" s="351" t="s">
        <v>78</v>
      </c>
      <c r="F76" s="351" t="s">
        <v>208</v>
      </c>
      <c r="G76" s="351" t="s">
        <v>209</v>
      </c>
      <c r="H76" s="351">
        <v>22</v>
      </c>
      <c r="I76" s="351">
        <v>3</v>
      </c>
      <c r="J76" s="351">
        <v>25</v>
      </c>
      <c r="K76" s="350">
        <v>20</v>
      </c>
      <c r="L76" s="350">
        <v>2</v>
      </c>
      <c r="M76" s="350">
        <v>22</v>
      </c>
    </row>
    <row r="77" spans="2:13" x14ac:dyDescent="0.35">
      <c r="B77" s="351" t="s">
        <v>229</v>
      </c>
      <c r="C77" s="351" t="s">
        <v>78</v>
      </c>
      <c r="F77" s="351" t="s">
        <v>210</v>
      </c>
      <c r="G77" s="351" t="s">
        <v>211</v>
      </c>
      <c r="H77" s="351">
        <v>25</v>
      </c>
      <c r="I77" s="351">
        <v>12</v>
      </c>
      <c r="J77" s="351">
        <v>37</v>
      </c>
      <c r="K77" s="350">
        <v>25</v>
      </c>
      <c r="L77" s="350">
        <v>14</v>
      </c>
      <c r="M77" s="350">
        <v>39</v>
      </c>
    </row>
    <row r="78" spans="2:13" x14ac:dyDescent="0.35">
      <c r="B78" s="351" t="s">
        <v>231</v>
      </c>
      <c r="C78" s="351" t="s">
        <v>788</v>
      </c>
      <c r="F78" s="351" t="s">
        <v>212</v>
      </c>
      <c r="G78" s="351" t="s">
        <v>213</v>
      </c>
      <c r="H78" s="351">
        <v>21</v>
      </c>
      <c r="I78" s="351">
        <v>10</v>
      </c>
      <c r="J78" s="351">
        <v>31</v>
      </c>
      <c r="K78" s="350">
        <v>21</v>
      </c>
      <c r="L78" s="350">
        <v>14</v>
      </c>
      <c r="M78" s="350">
        <v>35</v>
      </c>
    </row>
    <row r="79" spans="2:13" x14ac:dyDescent="0.35">
      <c r="B79" s="351" t="s">
        <v>233</v>
      </c>
      <c r="C79" s="351" t="s">
        <v>84</v>
      </c>
      <c r="F79" s="351" t="s">
        <v>214</v>
      </c>
      <c r="G79" s="351" t="s">
        <v>215</v>
      </c>
      <c r="H79" s="351">
        <v>17</v>
      </c>
      <c r="I79" s="351">
        <v>2</v>
      </c>
      <c r="J79" s="351">
        <v>19</v>
      </c>
      <c r="K79" s="350">
        <v>17</v>
      </c>
      <c r="L79" s="350">
        <v>3</v>
      </c>
      <c r="M79" s="350">
        <v>20</v>
      </c>
    </row>
    <row r="80" spans="2:13" x14ac:dyDescent="0.35">
      <c r="B80" s="351" t="s">
        <v>235</v>
      </c>
      <c r="C80" s="351" t="s">
        <v>83</v>
      </c>
      <c r="F80" s="351" t="s">
        <v>216</v>
      </c>
      <c r="G80" s="351" t="s">
        <v>217</v>
      </c>
      <c r="H80" s="351">
        <v>21</v>
      </c>
      <c r="I80" s="351">
        <v>4</v>
      </c>
      <c r="J80" s="351">
        <v>25</v>
      </c>
      <c r="K80" s="350">
        <v>25</v>
      </c>
      <c r="L80" s="350">
        <v>6</v>
      </c>
      <c r="M80" s="350">
        <v>31</v>
      </c>
    </row>
    <row r="81" spans="2:13" x14ac:dyDescent="0.35">
      <c r="B81" s="351" t="s">
        <v>237</v>
      </c>
      <c r="C81" s="351" t="s">
        <v>85</v>
      </c>
      <c r="F81" s="351" t="s">
        <v>218</v>
      </c>
      <c r="G81" s="351" t="s">
        <v>219</v>
      </c>
      <c r="H81" s="351">
        <v>38</v>
      </c>
      <c r="I81" s="351">
        <v>15</v>
      </c>
      <c r="J81" s="351">
        <v>53</v>
      </c>
      <c r="K81" s="350">
        <v>37</v>
      </c>
      <c r="L81" s="350">
        <v>23</v>
      </c>
      <c r="M81" s="350">
        <v>60</v>
      </c>
    </row>
    <row r="82" spans="2:13" x14ac:dyDescent="0.35">
      <c r="B82" s="351" t="s">
        <v>239</v>
      </c>
      <c r="C82" s="351" t="s">
        <v>80</v>
      </c>
      <c r="F82" s="351" t="s">
        <v>220</v>
      </c>
      <c r="G82" s="351" t="s">
        <v>221</v>
      </c>
      <c r="H82" s="351">
        <v>17</v>
      </c>
      <c r="I82" s="351">
        <v>7</v>
      </c>
      <c r="J82" s="351">
        <v>24</v>
      </c>
      <c r="K82" s="350">
        <v>23</v>
      </c>
      <c r="L82" s="350">
        <v>12</v>
      </c>
      <c r="M82" s="350">
        <v>35</v>
      </c>
    </row>
    <row r="83" spans="2:13" x14ac:dyDescent="0.35">
      <c r="B83" s="351" t="s">
        <v>241</v>
      </c>
      <c r="C83" s="351" t="s">
        <v>79</v>
      </c>
      <c r="F83" s="351" t="s">
        <v>222</v>
      </c>
      <c r="G83" s="351" t="s">
        <v>223</v>
      </c>
      <c r="H83" s="351">
        <v>21</v>
      </c>
      <c r="I83" s="351">
        <v>13</v>
      </c>
      <c r="J83" s="351">
        <v>34</v>
      </c>
      <c r="K83" s="350">
        <v>23</v>
      </c>
      <c r="L83" s="350">
        <v>12</v>
      </c>
      <c r="M83" s="350">
        <v>35</v>
      </c>
    </row>
    <row r="84" spans="2:13" x14ac:dyDescent="0.35">
      <c r="B84" s="351" t="s">
        <v>243</v>
      </c>
      <c r="C84" s="351" t="s">
        <v>84</v>
      </c>
      <c r="F84" s="351" t="s">
        <v>224</v>
      </c>
      <c r="G84" s="351" t="s">
        <v>225</v>
      </c>
      <c r="H84" s="351">
        <v>16</v>
      </c>
      <c r="I84" s="351">
        <v>8</v>
      </c>
      <c r="J84" s="351">
        <v>24</v>
      </c>
      <c r="K84" s="350">
        <v>19</v>
      </c>
      <c r="L84" s="350">
        <v>5</v>
      </c>
      <c r="M84" s="350">
        <v>24</v>
      </c>
    </row>
    <row r="85" spans="2:13" x14ac:dyDescent="0.35">
      <c r="B85" s="351" t="s">
        <v>245</v>
      </c>
      <c r="C85" s="351" t="s">
        <v>83</v>
      </c>
      <c r="F85" s="351" t="s">
        <v>226</v>
      </c>
      <c r="G85" s="351" t="s">
        <v>227</v>
      </c>
      <c r="H85" s="351">
        <v>18</v>
      </c>
      <c r="I85" s="351">
        <v>12</v>
      </c>
      <c r="J85" s="351">
        <v>30</v>
      </c>
      <c r="K85" s="350">
        <v>25</v>
      </c>
      <c r="L85" s="350">
        <v>12</v>
      </c>
      <c r="M85" s="350">
        <v>37</v>
      </c>
    </row>
    <row r="86" spans="2:13" x14ac:dyDescent="0.35">
      <c r="B86" s="351" t="s">
        <v>247</v>
      </c>
      <c r="C86" s="351" t="s">
        <v>79</v>
      </c>
      <c r="F86" s="351" t="s">
        <v>228</v>
      </c>
      <c r="G86" s="351" t="s">
        <v>229</v>
      </c>
      <c r="H86" s="351">
        <v>12</v>
      </c>
      <c r="I86" s="351">
        <v>4</v>
      </c>
      <c r="J86" s="351">
        <v>16</v>
      </c>
      <c r="K86" s="350">
        <v>13</v>
      </c>
      <c r="L86" s="350">
        <v>6</v>
      </c>
      <c r="M86" s="350">
        <v>19</v>
      </c>
    </row>
    <row r="87" spans="2:13" x14ac:dyDescent="0.35">
      <c r="B87" s="351" t="s">
        <v>249</v>
      </c>
      <c r="C87" s="351" t="s">
        <v>78</v>
      </c>
      <c r="F87" s="351" t="s">
        <v>230</v>
      </c>
      <c r="G87" s="351" t="s">
        <v>231</v>
      </c>
      <c r="H87" s="351">
        <v>21</v>
      </c>
      <c r="I87" s="351">
        <v>8</v>
      </c>
      <c r="J87" s="351">
        <v>29</v>
      </c>
      <c r="K87" s="350">
        <v>26</v>
      </c>
      <c r="L87" s="350">
        <v>12</v>
      </c>
      <c r="M87" s="350">
        <v>38</v>
      </c>
    </row>
    <row r="88" spans="2:13" x14ac:dyDescent="0.35">
      <c r="B88" s="351" t="s">
        <v>251</v>
      </c>
      <c r="C88" s="351" t="s">
        <v>788</v>
      </c>
      <c r="F88" s="351" t="s">
        <v>232</v>
      </c>
      <c r="G88" s="351" t="s">
        <v>233</v>
      </c>
      <c r="H88" s="351">
        <v>0</v>
      </c>
      <c r="I88" s="351">
        <v>0</v>
      </c>
      <c r="J88" s="351">
        <v>0</v>
      </c>
      <c r="K88" s="350">
        <v>31</v>
      </c>
      <c r="L88" s="350">
        <v>21</v>
      </c>
      <c r="M88" s="350">
        <v>52</v>
      </c>
    </row>
    <row r="89" spans="2:13" x14ac:dyDescent="0.35">
      <c r="B89" s="351" t="s">
        <v>253</v>
      </c>
      <c r="C89" s="351" t="s">
        <v>85</v>
      </c>
      <c r="F89" s="351" t="s">
        <v>234</v>
      </c>
      <c r="G89" s="351" t="s">
        <v>235</v>
      </c>
      <c r="H89" s="351">
        <v>19</v>
      </c>
      <c r="I89" s="351">
        <v>2</v>
      </c>
      <c r="J89" s="351">
        <v>21</v>
      </c>
      <c r="K89" s="350">
        <v>25</v>
      </c>
      <c r="L89" s="350">
        <v>3</v>
      </c>
      <c r="M89" s="350">
        <v>28</v>
      </c>
    </row>
    <row r="90" spans="2:13" x14ac:dyDescent="0.35">
      <c r="B90" s="351" t="s">
        <v>255</v>
      </c>
      <c r="C90" s="351" t="s">
        <v>79</v>
      </c>
      <c r="F90" s="351" t="s">
        <v>236</v>
      </c>
      <c r="G90" s="351" t="s">
        <v>237</v>
      </c>
      <c r="H90" s="351">
        <v>23</v>
      </c>
      <c r="I90" s="351">
        <v>3</v>
      </c>
      <c r="J90" s="351">
        <v>26</v>
      </c>
      <c r="K90" s="350">
        <v>23</v>
      </c>
      <c r="L90" s="350">
        <v>2</v>
      </c>
      <c r="M90" s="350">
        <v>25</v>
      </c>
    </row>
    <row r="91" spans="2:13" x14ac:dyDescent="0.35">
      <c r="B91" s="351" t="s">
        <v>257</v>
      </c>
      <c r="C91" s="351" t="s">
        <v>83</v>
      </c>
      <c r="F91" s="351" t="s">
        <v>238</v>
      </c>
      <c r="G91" s="351" t="s">
        <v>239</v>
      </c>
      <c r="H91" s="351">
        <v>31</v>
      </c>
      <c r="I91" s="351">
        <v>21</v>
      </c>
      <c r="J91" s="351">
        <v>52</v>
      </c>
      <c r="K91" s="350">
        <v>36</v>
      </c>
      <c r="L91" s="350">
        <v>32</v>
      </c>
      <c r="M91" s="350">
        <v>68</v>
      </c>
    </row>
    <row r="92" spans="2:13" x14ac:dyDescent="0.35">
      <c r="B92" s="351" t="s">
        <v>259</v>
      </c>
      <c r="C92" s="351" t="s">
        <v>83</v>
      </c>
      <c r="F92" s="351" t="s">
        <v>240</v>
      </c>
      <c r="G92" s="351" t="s">
        <v>241</v>
      </c>
      <c r="H92" s="351">
        <v>21</v>
      </c>
      <c r="I92" s="351">
        <v>4</v>
      </c>
      <c r="J92" s="351">
        <v>25</v>
      </c>
      <c r="K92" s="350">
        <v>25</v>
      </c>
      <c r="L92" s="350">
        <v>4</v>
      </c>
      <c r="M92" s="350">
        <v>29</v>
      </c>
    </row>
    <row r="93" spans="2:13" x14ac:dyDescent="0.35">
      <c r="B93" s="351" t="s">
        <v>261</v>
      </c>
      <c r="C93" s="351" t="s">
        <v>82</v>
      </c>
      <c r="F93" s="351" t="s">
        <v>242</v>
      </c>
      <c r="G93" s="351" t="s">
        <v>243</v>
      </c>
      <c r="H93" s="351">
        <v>23</v>
      </c>
      <c r="I93" s="351">
        <v>8</v>
      </c>
      <c r="J93" s="351">
        <v>31</v>
      </c>
      <c r="K93" s="350">
        <v>23</v>
      </c>
      <c r="L93" s="350">
        <v>6</v>
      </c>
      <c r="M93" s="350">
        <v>29</v>
      </c>
    </row>
    <row r="94" spans="2:13" x14ac:dyDescent="0.35">
      <c r="B94" s="351" t="s">
        <v>263</v>
      </c>
      <c r="C94" s="351" t="s">
        <v>83</v>
      </c>
      <c r="F94" s="351" t="s">
        <v>244</v>
      </c>
      <c r="G94" s="351" t="s">
        <v>245</v>
      </c>
      <c r="H94" s="351">
        <v>19</v>
      </c>
      <c r="I94" s="351">
        <v>3</v>
      </c>
      <c r="J94" s="351">
        <v>22</v>
      </c>
      <c r="K94" s="350">
        <v>27</v>
      </c>
      <c r="L94" s="350">
        <v>4</v>
      </c>
      <c r="M94" s="350">
        <v>31</v>
      </c>
    </row>
    <row r="95" spans="2:13" x14ac:dyDescent="0.35">
      <c r="B95" s="351" t="s">
        <v>265</v>
      </c>
      <c r="C95" s="351" t="s">
        <v>80</v>
      </c>
      <c r="F95" s="351" t="s">
        <v>246</v>
      </c>
      <c r="G95" s="351" t="s">
        <v>247</v>
      </c>
      <c r="H95" s="351">
        <v>26</v>
      </c>
      <c r="I95" s="351">
        <v>5</v>
      </c>
      <c r="J95" s="351">
        <v>31</v>
      </c>
      <c r="K95" s="350">
        <v>27</v>
      </c>
      <c r="L95" s="350">
        <v>5</v>
      </c>
      <c r="M95" s="350">
        <v>32</v>
      </c>
    </row>
    <row r="96" spans="2:13" x14ac:dyDescent="0.35">
      <c r="B96" s="351" t="s">
        <v>267</v>
      </c>
      <c r="C96" s="351" t="s">
        <v>79</v>
      </c>
      <c r="F96" s="351" t="s">
        <v>248</v>
      </c>
      <c r="G96" s="351" t="s">
        <v>249</v>
      </c>
      <c r="H96" s="351">
        <v>19</v>
      </c>
      <c r="I96" s="351">
        <v>3</v>
      </c>
      <c r="J96" s="351">
        <v>22</v>
      </c>
      <c r="K96" s="350">
        <v>19</v>
      </c>
      <c r="L96" s="350">
        <v>4</v>
      </c>
      <c r="M96" s="350">
        <v>23</v>
      </c>
    </row>
    <row r="97" spans="2:13" x14ac:dyDescent="0.35">
      <c r="B97" s="351" t="s">
        <v>269</v>
      </c>
      <c r="C97" s="351" t="s">
        <v>83</v>
      </c>
      <c r="F97" s="351" t="s">
        <v>250</v>
      </c>
      <c r="G97" s="351" t="s">
        <v>251</v>
      </c>
      <c r="H97" s="351">
        <v>19</v>
      </c>
      <c r="I97" s="351">
        <v>7</v>
      </c>
      <c r="J97" s="351">
        <v>26</v>
      </c>
      <c r="K97" s="350">
        <v>32</v>
      </c>
      <c r="L97" s="350">
        <v>10</v>
      </c>
      <c r="M97" s="350">
        <v>42</v>
      </c>
    </row>
    <row r="98" spans="2:13" x14ac:dyDescent="0.35">
      <c r="B98" s="351" t="s">
        <v>271</v>
      </c>
      <c r="C98" s="351" t="s">
        <v>78</v>
      </c>
      <c r="F98" s="351" t="s">
        <v>252</v>
      </c>
      <c r="G98" s="351" t="s">
        <v>253</v>
      </c>
      <c r="H98" s="351">
        <v>15</v>
      </c>
      <c r="I98" s="351">
        <v>1</v>
      </c>
      <c r="J98" s="351">
        <v>16</v>
      </c>
      <c r="K98" s="350">
        <v>17</v>
      </c>
      <c r="L98" s="350">
        <v>4</v>
      </c>
      <c r="M98" s="350">
        <v>21</v>
      </c>
    </row>
    <row r="99" spans="2:13" x14ac:dyDescent="0.35">
      <c r="B99" s="351" t="s">
        <v>273</v>
      </c>
      <c r="C99" s="351" t="s">
        <v>84</v>
      </c>
      <c r="F99" s="351" t="s">
        <v>254</v>
      </c>
      <c r="G99" s="351" t="s">
        <v>255</v>
      </c>
      <c r="H99" s="351">
        <v>0</v>
      </c>
      <c r="I99" s="351">
        <v>0</v>
      </c>
      <c r="J99" s="351">
        <v>0</v>
      </c>
      <c r="K99" s="350">
        <v>24</v>
      </c>
      <c r="L99" s="350">
        <v>10</v>
      </c>
      <c r="M99" s="350">
        <v>34</v>
      </c>
    </row>
    <row r="100" spans="2:13" x14ac:dyDescent="0.35">
      <c r="B100" s="351" t="s">
        <v>275</v>
      </c>
      <c r="C100" s="351" t="s">
        <v>83</v>
      </c>
      <c r="F100" s="351" t="s">
        <v>256</v>
      </c>
      <c r="G100" s="351" t="s">
        <v>257</v>
      </c>
      <c r="H100" s="351">
        <v>21</v>
      </c>
      <c r="I100" s="351">
        <v>4</v>
      </c>
      <c r="J100" s="351">
        <v>25</v>
      </c>
      <c r="K100" s="350">
        <v>21</v>
      </c>
      <c r="L100" s="350">
        <v>6</v>
      </c>
      <c r="M100" s="350">
        <v>27</v>
      </c>
    </row>
    <row r="101" spans="2:13" x14ac:dyDescent="0.35">
      <c r="B101" s="351" t="s">
        <v>277</v>
      </c>
      <c r="C101" s="351" t="s">
        <v>79</v>
      </c>
      <c r="F101" s="351" t="s">
        <v>258</v>
      </c>
      <c r="G101" s="351" t="s">
        <v>259</v>
      </c>
      <c r="H101" s="351">
        <v>20</v>
      </c>
      <c r="I101" s="351">
        <v>3</v>
      </c>
      <c r="J101" s="351">
        <v>23</v>
      </c>
      <c r="K101" s="350">
        <v>26</v>
      </c>
      <c r="L101" s="350">
        <v>4</v>
      </c>
      <c r="M101" s="350">
        <v>30</v>
      </c>
    </row>
    <row r="102" spans="2:13" x14ac:dyDescent="0.35">
      <c r="B102" s="351" t="s">
        <v>279</v>
      </c>
      <c r="C102" s="351" t="s">
        <v>83</v>
      </c>
      <c r="F102" s="351" t="s">
        <v>260</v>
      </c>
      <c r="G102" s="351" t="s">
        <v>261</v>
      </c>
      <c r="H102" s="351">
        <v>10</v>
      </c>
      <c r="I102" s="351">
        <v>3</v>
      </c>
      <c r="J102" s="351">
        <v>13</v>
      </c>
      <c r="K102" s="350">
        <v>9</v>
      </c>
      <c r="L102" s="350">
        <v>3</v>
      </c>
      <c r="M102" s="350">
        <v>12</v>
      </c>
    </row>
    <row r="103" spans="2:13" x14ac:dyDescent="0.35">
      <c r="B103" s="351" t="s">
        <v>281</v>
      </c>
      <c r="C103" s="351" t="s">
        <v>84</v>
      </c>
      <c r="F103" s="351" t="s">
        <v>262</v>
      </c>
      <c r="G103" s="351" t="s">
        <v>263</v>
      </c>
      <c r="H103" s="351">
        <v>18</v>
      </c>
      <c r="I103" s="351">
        <v>7</v>
      </c>
      <c r="J103" s="351">
        <v>25</v>
      </c>
      <c r="K103" s="350">
        <v>15</v>
      </c>
      <c r="L103" s="350">
        <v>6</v>
      </c>
      <c r="M103" s="350">
        <v>21</v>
      </c>
    </row>
    <row r="104" spans="2:13" x14ac:dyDescent="0.35">
      <c r="B104" s="351" t="s">
        <v>283</v>
      </c>
      <c r="C104" s="351" t="s">
        <v>82</v>
      </c>
      <c r="F104" s="351" t="s">
        <v>264</v>
      </c>
      <c r="G104" s="351" t="s">
        <v>265</v>
      </c>
      <c r="H104" s="351">
        <v>31</v>
      </c>
      <c r="I104" s="351">
        <v>12</v>
      </c>
      <c r="J104" s="351">
        <v>43</v>
      </c>
      <c r="K104" s="350">
        <v>33</v>
      </c>
      <c r="L104" s="350">
        <v>16</v>
      </c>
      <c r="M104" s="350">
        <v>49</v>
      </c>
    </row>
    <row r="105" spans="2:13" x14ac:dyDescent="0.35">
      <c r="B105" s="351" t="s">
        <v>285</v>
      </c>
      <c r="C105" s="351" t="s">
        <v>81</v>
      </c>
      <c r="F105" s="351" t="s">
        <v>266</v>
      </c>
      <c r="G105" s="351" t="s">
        <v>267</v>
      </c>
      <c r="H105" s="351">
        <v>24</v>
      </c>
      <c r="I105" s="351">
        <v>5</v>
      </c>
      <c r="J105" s="351">
        <v>29</v>
      </c>
      <c r="K105" s="350">
        <v>20</v>
      </c>
      <c r="L105" s="350">
        <v>5</v>
      </c>
      <c r="M105" s="350">
        <v>25</v>
      </c>
    </row>
    <row r="106" spans="2:13" x14ac:dyDescent="0.35">
      <c r="B106" s="351" t="s">
        <v>287</v>
      </c>
      <c r="C106" s="351" t="s">
        <v>78</v>
      </c>
      <c r="F106" s="351" t="s">
        <v>268</v>
      </c>
      <c r="G106" s="351" t="s">
        <v>269</v>
      </c>
      <c r="H106" s="351">
        <v>16</v>
      </c>
      <c r="I106" s="351">
        <v>5</v>
      </c>
      <c r="J106" s="351">
        <v>21</v>
      </c>
      <c r="K106" s="350">
        <v>20</v>
      </c>
      <c r="L106" s="350">
        <v>8</v>
      </c>
      <c r="M106" s="350">
        <v>28</v>
      </c>
    </row>
    <row r="107" spans="2:13" x14ac:dyDescent="0.35">
      <c r="B107" s="351" t="s">
        <v>289</v>
      </c>
      <c r="C107" s="351" t="s">
        <v>84</v>
      </c>
      <c r="F107" s="351" t="s">
        <v>270</v>
      </c>
      <c r="G107" s="351" t="s">
        <v>271</v>
      </c>
      <c r="H107" s="351">
        <v>17</v>
      </c>
      <c r="I107" s="351">
        <v>3</v>
      </c>
      <c r="J107" s="351">
        <v>20</v>
      </c>
      <c r="K107" s="350">
        <v>19</v>
      </c>
      <c r="L107" s="350">
        <v>2</v>
      </c>
      <c r="M107" s="350">
        <v>21</v>
      </c>
    </row>
    <row r="108" spans="2:13" x14ac:dyDescent="0.35">
      <c r="B108" s="351" t="s">
        <v>291</v>
      </c>
      <c r="C108" s="351" t="s">
        <v>83</v>
      </c>
      <c r="F108" s="351" t="s">
        <v>272</v>
      </c>
      <c r="G108" s="351" t="s">
        <v>273</v>
      </c>
      <c r="H108" s="351">
        <v>23</v>
      </c>
      <c r="I108" s="351">
        <v>3</v>
      </c>
      <c r="J108" s="351">
        <v>26</v>
      </c>
      <c r="K108" s="350">
        <v>22</v>
      </c>
      <c r="L108" s="350">
        <v>7</v>
      </c>
      <c r="M108" s="350">
        <v>29</v>
      </c>
    </row>
    <row r="109" spans="2:13" x14ac:dyDescent="0.35">
      <c r="B109" s="351" t="s">
        <v>293</v>
      </c>
      <c r="C109" s="351" t="s">
        <v>83</v>
      </c>
      <c r="F109" s="351" t="s">
        <v>274</v>
      </c>
      <c r="G109" s="351" t="s">
        <v>275</v>
      </c>
      <c r="H109" s="351">
        <v>24</v>
      </c>
      <c r="I109" s="351">
        <v>4</v>
      </c>
      <c r="J109" s="351">
        <v>28</v>
      </c>
      <c r="K109" s="350">
        <v>28</v>
      </c>
      <c r="L109" s="350">
        <v>5</v>
      </c>
      <c r="M109" s="350">
        <v>33</v>
      </c>
    </row>
    <row r="110" spans="2:13" x14ac:dyDescent="0.35">
      <c r="B110" s="351" t="s">
        <v>295</v>
      </c>
      <c r="C110" s="351" t="s">
        <v>79</v>
      </c>
      <c r="F110" s="351" t="s">
        <v>276</v>
      </c>
      <c r="G110" s="351" t="s">
        <v>277</v>
      </c>
      <c r="H110" s="351">
        <v>25</v>
      </c>
      <c r="I110" s="351">
        <v>3</v>
      </c>
      <c r="J110" s="351">
        <v>28</v>
      </c>
      <c r="K110" s="350">
        <v>25</v>
      </c>
      <c r="L110" s="350">
        <v>6</v>
      </c>
      <c r="M110" s="350">
        <v>31</v>
      </c>
    </row>
    <row r="111" spans="2:13" x14ac:dyDescent="0.35">
      <c r="B111" s="351" t="s">
        <v>297</v>
      </c>
      <c r="C111" s="351" t="s">
        <v>80</v>
      </c>
      <c r="F111" s="351" t="s">
        <v>278</v>
      </c>
      <c r="G111" s="351" t="s">
        <v>279</v>
      </c>
      <c r="H111" s="351">
        <v>24</v>
      </c>
      <c r="I111" s="351">
        <v>9</v>
      </c>
      <c r="J111" s="351">
        <v>33</v>
      </c>
      <c r="K111" s="350">
        <v>23</v>
      </c>
      <c r="L111" s="350">
        <v>11</v>
      </c>
      <c r="M111" s="350">
        <v>34</v>
      </c>
    </row>
    <row r="112" spans="2:13" x14ac:dyDescent="0.35">
      <c r="B112" s="351" t="s">
        <v>299</v>
      </c>
      <c r="C112" s="351" t="s">
        <v>83</v>
      </c>
      <c r="F112" s="351" t="s">
        <v>280</v>
      </c>
      <c r="G112" s="351" t="s">
        <v>281</v>
      </c>
      <c r="H112" s="351">
        <v>21</v>
      </c>
      <c r="I112" s="351">
        <v>3</v>
      </c>
      <c r="J112" s="351">
        <v>24</v>
      </c>
      <c r="K112" s="350">
        <v>19</v>
      </c>
      <c r="L112" s="350">
        <v>7</v>
      </c>
      <c r="M112" s="350">
        <v>26</v>
      </c>
    </row>
    <row r="113" spans="2:13" x14ac:dyDescent="0.35">
      <c r="B113" s="351" t="s">
        <v>301</v>
      </c>
      <c r="C113" s="351" t="s">
        <v>80</v>
      </c>
      <c r="F113" s="351" t="s">
        <v>282</v>
      </c>
      <c r="G113" s="351" t="s">
        <v>283</v>
      </c>
      <c r="H113" s="351">
        <v>13</v>
      </c>
      <c r="I113" s="351">
        <v>4</v>
      </c>
      <c r="J113" s="351">
        <v>17</v>
      </c>
      <c r="K113" s="350">
        <v>18</v>
      </c>
      <c r="L113" s="350">
        <v>6</v>
      </c>
      <c r="M113" s="350">
        <v>24</v>
      </c>
    </row>
    <row r="114" spans="2:13" x14ac:dyDescent="0.35">
      <c r="B114" s="351" t="s">
        <v>303</v>
      </c>
      <c r="C114" s="351" t="s">
        <v>82</v>
      </c>
      <c r="F114" s="351" t="s">
        <v>284</v>
      </c>
      <c r="G114" s="351" t="s">
        <v>285</v>
      </c>
      <c r="H114" s="351">
        <v>20</v>
      </c>
      <c r="I114" s="351">
        <v>6</v>
      </c>
      <c r="J114" s="351">
        <v>26</v>
      </c>
      <c r="K114" s="350">
        <v>18</v>
      </c>
      <c r="L114" s="350">
        <v>6</v>
      </c>
      <c r="M114" s="350">
        <v>24</v>
      </c>
    </row>
    <row r="115" spans="2:13" x14ac:dyDescent="0.35">
      <c r="B115" s="351" t="s">
        <v>305</v>
      </c>
      <c r="C115" s="351" t="s">
        <v>788</v>
      </c>
      <c r="F115" s="351" t="s">
        <v>286</v>
      </c>
      <c r="G115" s="351" t="s">
        <v>287</v>
      </c>
      <c r="H115" s="351">
        <v>22</v>
      </c>
      <c r="I115" s="351">
        <v>1</v>
      </c>
      <c r="J115" s="351">
        <v>23</v>
      </c>
      <c r="K115" s="350">
        <v>24</v>
      </c>
      <c r="L115" s="350">
        <v>1</v>
      </c>
      <c r="M115" s="350">
        <v>25</v>
      </c>
    </row>
    <row r="116" spans="2:13" x14ac:dyDescent="0.35">
      <c r="B116" s="351" t="s">
        <v>307</v>
      </c>
      <c r="C116" s="351" t="s">
        <v>80</v>
      </c>
      <c r="F116" s="351" t="s">
        <v>288</v>
      </c>
      <c r="G116" s="351" t="s">
        <v>289</v>
      </c>
      <c r="H116" s="351">
        <v>30</v>
      </c>
      <c r="I116" s="351">
        <v>6</v>
      </c>
      <c r="J116" s="351">
        <v>36</v>
      </c>
      <c r="K116" s="350">
        <v>26</v>
      </c>
      <c r="L116" s="350">
        <v>12</v>
      </c>
      <c r="M116" s="350">
        <v>38</v>
      </c>
    </row>
    <row r="117" spans="2:13" x14ac:dyDescent="0.35">
      <c r="B117" s="351" t="s">
        <v>309</v>
      </c>
      <c r="C117" s="351" t="s">
        <v>78</v>
      </c>
      <c r="F117" s="351" t="s">
        <v>290</v>
      </c>
      <c r="G117" s="351" t="s">
        <v>291</v>
      </c>
      <c r="H117" s="351">
        <v>18</v>
      </c>
      <c r="I117" s="351">
        <v>7</v>
      </c>
      <c r="J117" s="351">
        <v>25</v>
      </c>
      <c r="K117" s="350">
        <v>18</v>
      </c>
      <c r="L117" s="350">
        <v>6</v>
      </c>
      <c r="M117" s="350">
        <v>24</v>
      </c>
    </row>
    <row r="118" spans="2:13" x14ac:dyDescent="0.35">
      <c r="B118" s="351" t="s">
        <v>311</v>
      </c>
      <c r="C118" s="351" t="s">
        <v>80</v>
      </c>
      <c r="F118" s="351" t="s">
        <v>292</v>
      </c>
      <c r="G118" s="351" t="s">
        <v>293</v>
      </c>
      <c r="H118" s="351">
        <v>14</v>
      </c>
      <c r="I118" s="351">
        <v>5</v>
      </c>
      <c r="J118" s="351">
        <v>19</v>
      </c>
      <c r="K118" s="350">
        <v>19</v>
      </c>
      <c r="L118" s="350">
        <v>5</v>
      </c>
      <c r="M118" s="350">
        <v>24</v>
      </c>
    </row>
    <row r="119" spans="2:13" x14ac:dyDescent="0.35">
      <c r="B119" s="351" t="s">
        <v>313</v>
      </c>
      <c r="C119" s="351" t="s">
        <v>79</v>
      </c>
      <c r="F119" s="351" t="s">
        <v>294</v>
      </c>
      <c r="G119" s="351" t="s">
        <v>295</v>
      </c>
      <c r="H119" s="351">
        <v>19</v>
      </c>
      <c r="I119" s="351">
        <v>2</v>
      </c>
      <c r="J119" s="351">
        <v>21</v>
      </c>
      <c r="K119" s="350">
        <v>19</v>
      </c>
      <c r="L119" s="350">
        <v>5</v>
      </c>
      <c r="M119" s="350">
        <v>24</v>
      </c>
    </row>
    <row r="120" spans="2:13" x14ac:dyDescent="0.35">
      <c r="B120" s="351" t="s">
        <v>315</v>
      </c>
      <c r="C120" s="351" t="s">
        <v>788</v>
      </c>
      <c r="F120" s="351" t="s">
        <v>296</v>
      </c>
      <c r="G120" s="351" t="s">
        <v>297</v>
      </c>
      <c r="H120" s="351">
        <v>29</v>
      </c>
      <c r="I120" s="351">
        <v>12</v>
      </c>
      <c r="J120" s="351">
        <v>41</v>
      </c>
      <c r="K120" s="350">
        <v>24</v>
      </c>
      <c r="L120" s="350">
        <v>22</v>
      </c>
      <c r="M120" s="350">
        <v>46</v>
      </c>
    </row>
    <row r="121" spans="2:13" x14ac:dyDescent="0.35">
      <c r="B121" s="351" t="s">
        <v>317</v>
      </c>
      <c r="C121" s="351" t="s">
        <v>80</v>
      </c>
      <c r="F121" s="351" t="s">
        <v>298</v>
      </c>
      <c r="G121" s="351" t="s">
        <v>299</v>
      </c>
      <c r="H121" s="351">
        <v>19</v>
      </c>
      <c r="I121" s="351">
        <v>14</v>
      </c>
      <c r="J121" s="351">
        <v>33</v>
      </c>
      <c r="K121" s="350">
        <v>21</v>
      </c>
      <c r="L121" s="350">
        <v>13</v>
      </c>
      <c r="M121" s="350">
        <v>34</v>
      </c>
    </row>
    <row r="122" spans="2:13" x14ac:dyDescent="0.35">
      <c r="B122" s="351" t="s">
        <v>319</v>
      </c>
      <c r="C122" s="351" t="s">
        <v>83</v>
      </c>
      <c r="F122" s="351" t="s">
        <v>300</v>
      </c>
      <c r="G122" s="351" t="s">
        <v>301</v>
      </c>
      <c r="H122" s="351">
        <v>38</v>
      </c>
      <c r="I122" s="351">
        <v>25</v>
      </c>
      <c r="J122" s="351">
        <v>63</v>
      </c>
      <c r="K122" s="350">
        <v>31</v>
      </c>
      <c r="L122" s="350">
        <v>26</v>
      </c>
      <c r="M122" s="350">
        <v>57</v>
      </c>
    </row>
    <row r="123" spans="2:13" x14ac:dyDescent="0.35">
      <c r="B123" s="351" t="s">
        <v>321</v>
      </c>
      <c r="C123" s="351" t="s">
        <v>81</v>
      </c>
      <c r="F123" s="351" t="s">
        <v>302</v>
      </c>
      <c r="G123" s="351" t="s">
        <v>303</v>
      </c>
      <c r="H123" s="351">
        <v>16</v>
      </c>
      <c r="I123" s="351">
        <v>5</v>
      </c>
      <c r="J123" s="351">
        <v>21</v>
      </c>
      <c r="K123" s="350">
        <v>19</v>
      </c>
      <c r="L123" s="350">
        <v>3</v>
      </c>
      <c r="M123" s="350">
        <v>22</v>
      </c>
    </row>
    <row r="124" spans="2:13" x14ac:dyDescent="0.35">
      <c r="B124" s="351" t="s">
        <v>323</v>
      </c>
      <c r="C124" s="351" t="s">
        <v>83</v>
      </c>
      <c r="F124" s="351" t="s">
        <v>304</v>
      </c>
      <c r="G124" s="351" t="s">
        <v>305</v>
      </c>
      <c r="H124" s="351">
        <v>17</v>
      </c>
      <c r="I124" s="351">
        <v>6</v>
      </c>
      <c r="J124" s="351">
        <v>23</v>
      </c>
      <c r="K124" s="350">
        <v>23</v>
      </c>
      <c r="L124" s="350">
        <v>5</v>
      </c>
      <c r="M124" s="350">
        <v>28</v>
      </c>
    </row>
    <row r="125" spans="2:13" x14ac:dyDescent="0.35">
      <c r="B125" s="351" t="s">
        <v>325</v>
      </c>
      <c r="C125" s="351" t="s">
        <v>83</v>
      </c>
      <c r="F125" s="351" t="s">
        <v>306</v>
      </c>
      <c r="G125" s="351" t="s">
        <v>307</v>
      </c>
      <c r="H125" s="351">
        <v>31</v>
      </c>
      <c r="I125" s="351">
        <v>16</v>
      </c>
      <c r="J125" s="351">
        <v>47</v>
      </c>
      <c r="K125" s="350">
        <v>27</v>
      </c>
      <c r="L125" s="350">
        <v>14</v>
      </c>
      <c r="M125" s="350">
        <v>41</v>
      </c>
    </row>
    <row r="126" spans="2:13" x14ac:dyDescent="0.35">
      <c r="B126" s="351" t="s">
        <v>327</v>
      </c>
      <c r="C126" s="351" t="s">
        <v>80</v>
      </c>
      <c r="F126" s="351" t="s">
        <v>308</v>
      </c>
      <c r="G126" s="351" t="s">
        <v>309</v>
      </c>
      <c r="H126" s="351">
        <v>13</v>
      </c>
      <c r="I126" s="351">
        <v>3</v>
      </c>
      <c r="J126" s="351">
        <v>16</v>
      </c>
      <c r="K126" s="350">
        <v>19</v>
      </c>
      <c r="L126" s="350">
        <v>2</v>
      </c>
      <c r="M126" s="350">
        <v>21</v>
      </c>
    </row>
    <row r="127" spans="2:13" x14ac:dyDescent="0.35">
      <c r="B127" s="351" t="s">
        <v>329</v>
      </c>
      <c r="C127" s="351" t="s">
        <v>85</v>
      </c>
      <c r="F127" s="351" t="s">
        <v>310</v>
      </c>
      <c r="G127" s="351" t="s">
        <v>311</v>
      </c>
      <c r="H127" s="351">
        <v>32</v>
      </c>
      <c r="I127" s="351">
        <v>25</v>
      </c>
      <c r="J127" s="351">
        <v>57</v>
      </c>
      <c r="K127" s="350">
        <v>33</v>
      </c>
      <c r="L127" s="350">
        <v>28</v>
      </c>
      <c r="M127" s="350">
        <v>61</v>
      </c>
    </row>
    <row r="128" spans="2:13" x14ac:dyDescent="0.35">
      <c r="B128" s="351" t="s">
        <v>331</v>
      </c>
      <c r="C128" s="351" t="s">
        <v>79</v>
      </c>
      <c r="F128" s="351" t="s">
        <v>312</v>
      </c>
      <c r="G128" s="351" t="s">
        <v>313</v>
      </c>
      <c r="H128" s="351">
        <v>18</v>
      </c>
      <c r="I128" s="351">
        <v>4</v>
      </c>
      <c r="J128" s="351">
        <v>22</v>
      </c>
      <c r="K128" s="350">
        <v>23</v>
      </c>
      <c r="L128" s="350">
        <v>4</v>
      </c>
      <c r="M128" s="350">
        <v>27</v>
      </c>
    </row>
    <row r="129" spans="2:13" x14ac:dyDescent="0.35">
      <c r="B129" s="351" t="s">
        <v>333</v>
      </c>
      <c r="C129" s="351" t="s">
        <v>78</v>
      </c>
      <c r="F129" s="351" t="s">
        <v>314</v>
      </c>
      <c r="G129" s="351" t="s">
        <v>315</v>
      </c>
      <c r="H129" s="351">
        <v>17</v>
      </c>
      <c r="I129" s="351">
        <v>12</v>
      </c>
      <c r="J129" s="351">
        <v>29</v>
      </c>
      <c r="K129" s="350">
        <v>24</v>
      </c>
      <c r="L129" s="350">
        <v>10</v>
      </c>
      <c r="M129" s="350">
        <v>34</v>
      </c>
    </row>
    <row r="130" spans="2:13" x14ac:dyDescent="0.35">
      <c r="B130" s="351" t="s">
        <v>335</v>
      </c>
      <c r="C130" s="351" t="s">
        <v>80</v>
      </c>
      <c r="F130" s="351" t="s">
        <v>316</v>
      </c>
      <c r="G130" s="351" t="s">
        <v>317</v>
      </c>
      <c r="H130" s="351">
        <v>27</v>
      </c>
      <c r="I130" s="351">
        <v>8</v>
      </c>
      <c r="J130" s="351">
        <v>35</v>
      </c>
      <c r="K130" s="350">
        <v>28</v>
      </c>
      <c r="L130" s="350">
        <v>10</v>
      </c>
      <c r="M130" s="350">
        <v>38</v>
      </c>
    </row>
    <row r="131" spans="2:13" x14ac:dyDescent="0.35">
      <c r="B131" s="351" t="s">
        <v>337</v>
      </c>
      <c r="C131" s="351" t="s">
        <v>78</v>
      </c>
      <c r="F131" s="351" t="s">
        <v>318</v>
      </c>
      <c r="G131" s="351" t="s">
        <v>319</v>
      </c>
      <c r="H131" s="351">
        <v>20</v>
      </c>
      <c r="I131" s="351">
        <v>1</v>
      </c>
      <c r="J131" s="351">
        <v>21</v>
      </c>
      <c r="K131" s="350">
        <v>21</v>
      </c>
      <c r="L131" s="350">
        <v>2</v>
      </c>
      <c r="M131" s="350">
        <v>23</v>
      </c>
    </row>
    <row r="132" spans="2:13" x14ac:dyDescent="0.35">
      <c r="B132" s="351" t="s">
        <v>339</v>
      </c>
      <c r="C132" s="351" t="s">
        <v>83</v>
      </c>
      <c r="F132" s="351" t="s">
        <v>320</v>
      </c>
      <c r="G132" s="351" t="s">
        <v>321</v>
      </c>
      <c r="H132" s="351">
        <v>12</v>
      </c>
      <c r="I132" s="351">
        <v>4</v>
      </c>
      <c r="J132" s="351">
        <v>16</v>
      </c>
      <c r="K132" s="350">
        <v>15</v>
      </c>
      <c r="L132" s="350">
        <v>6</v>
      </c>
      <c r="M132" s="350">
        <v>21</v>
      </c>
    </row>
    <row r="133" spans="2:13" x14ac:dyDescent="0.35">
      <c r="B133" s="351" t="s">
        <v>341</v>
      </c>
      <c r="C133" s="351" t="s">
        <v>80</v>
      </c>
      <c r="F133" s="351" t="s">
        <v>322</v>
      </c>
      <c r="G133" s="351" t="s">
        <v>323</v>
      </c>
      <c r="H133" s="351">
        <v>15</v>
      </c>
      <c r="I133" s="351">
        <v>5</v>
      </c>
      <c r="J133" s="351">
        <v>20</v>
      </c>
      <c r="K133" s="350">
        <v>13</v>
      </c>
      <c r="L133" s="350">
        <v>5</v>
      </c>
      <c r="M133" s="350">
        <v>18</v>
      </c>
    </row>
    <row r="134" spans="2:13" x14ac:dyDescent="0.35">
      <c r="B134" s="351" t="s">
        <v>343</v>
      </c>
      <c r="C134" s="351" t="s">
        <v>79</v>
      </c>
      <c r="F134" s="351" t="s">
        <v>324</v>
      </c>
      <c r="G134" s="351" t="s">
        <v>325</v>
      </c>
      <c r="H134" s="351">
        <v>22</v>
      </c>
      <c r="I134" s="351">
        <v>8</v>
      </c>
      <c r="J134" s="351">
        <v>30</v>
      </c>
      <c r="K134" s="350">
        <v>25</v>
      </c>
      <c r="L134" s="350">
        <v>8</v>
      </c>
      <c r="M134" s="350">
        <v>33</v>
      </c>
    </row>
    <row r="135" spans="2:13" x14ac:dyDescent="0.35">
      <c r="B135" s="351" t="s">
        <v>345</v>
      </c>
      <c r="C135" s="351" t="s">
        <v>82</v>
      </c>
      <c r="F135" s="351" t="s">
        <v>326</v>
      </c>
      <c r="G135" s="351" t="s">
        <v>327</v>
      </c>
      <c r="H135" s="351">
        <v>32</v>
      </c>
      <c r="I135" s="351">
        <v>3</v>
      </c>
      <c r="J135" s="351">
        <v>35</v>
      </c>
      <c r="K135" s="350">
        <v>28</v>
      </c>
      <c r="L135" s="350">
        <v>6</v>
      </c>
      <c r="M135" s="350">
        <v>34</v>
      </c>
    </row>
    <row r="136" spans="2:13" x14ac:dyDescent="0.35">
      <c r="B136" s="351" t="s">
        <v>347</v>
      </c>
      <c r="C136" s="351" t="s">
        <v>79</v>
      </c>
      <c r="F136" s="351" t="s">
        <v>328</v>
      </c>
      <c r="G136" s="351" t="s">
        <v>329</v>
      </c>
      <c r="H136" s="351">
        <v>23</v>
      </c>
      <c r="I136" s="351">
        <v>2</v>
      </c>
      <c r="J136" s="351">
        <v>25</v>
      </c>
      <c r="K136" s="350">
        <v>24</v>
      </c>
      <c r="L136" s="350">
        <v>6</v>
      </c>
      <c r="M136" s="350">
        <v>30</v>
      </c>
    </row>
    <row r="137" spans="2:13" x14ac:dyDescent="0.35">
      <c r="B137" s="351" t="s">
        <v>349</v>
      </c>
      <c r="C137" s="351" t="s">
        <v>83</v>
      </c>
      <c r="F137" s="351" t="s">
        <v>330</v>
      </c>
      <c r="G137" s="351" t="s">
        <v>331</v>
      </c>
      <c r="H137" s="351">
        <v>24</v>
      </c>
      <c r="I137" s="351">
        <v>6</v>
      </c>
      <c r="J137" s="351">
        <v>30</v>
      </c>
      <c r="K137" s="350">
        <v>28</v>
      </c>
      <c r="L137" s="350">
        <v>9</v>
      </c>
      <c r="M137" s="350">
        <v>37</v>
      </c>
    </row>
    <row r="138" spans="2:13" x14ac:dyDescent="0.35">
      <c r="B138" s="351" t="s">
        <v>351</v>
      </c>
      <c r="C138" s="351" t="s">
        <v>84</v>
      </c>
      <c r="F138" s="351" t="s">
        <v>332</v>
      </c>
      <c r="G138" s="351" t="s">
        <v>333</v>
      </c>
      <c r="H138" s="351">
        <v>14</v>
      </c>
      <c r="I138" s="351">
        <v>3</v>
      </c>
      <c r="J138" s="351">
        <v>17</v>
      </c>
      <c r="K138" s="350">
        <v>18</v>
      </c>
      <c r="L138" s="350">
        <v>3</v>
      </c>
      <c r="M138" s="350">
        <v>21</v>
      </c>
    </row>
    <row r="139" spans="2:13" x14ac:dyDescent="0.35">
      <c r="B139" s="351" t="s">
        <v>353</v>
      </c>
      <c r="C139" s="351" t="s">
        <v>80</v>
      </c>
      <c r="F139" s="351" t="s">
        <v>334</v>
      </c>
      <c r="G139" s="351" t="s">
        <v>335</v>
      </c>
      <c r="H139" s="351">
        <v>30</v>
      </c>
      <c r="I139" s="351">
        <v>13</v>
      </c>
      <c r="J139" s="351">
        <v>43</v>
      </c>
      <c r="K139" s="350">
        <v>32</v>
      </c>
      <c r="L139" s="350">
        <v>15</v>
      </c>
      <c r="M139" s="350">
        <v>47</v>
      </c>
    </row>
    <row r="140" spans="2:13" x14ac:dyDescent="0.35">
      <c r="B140" s="351" t="s">
        <v>355</v>
      </c>
      <c r="C140" s="351" t="s">
        <v>80</v>
      </c>
      <c r="F140" s="351" t="s">
        <v>336</v>
      </c>
      <c r="G140" s="351" t="s">
        <v>337</v>
      </c>
      <c r="H140" s="351">
        <v>16</v>
      </c>
      <c r="I140" s="351">
        <v>1</v>
      </c>
      <c r="J140" s="351">
        <v>17</v>
      </c>
      <c r="K140" s="350">
        <v>20</v>
      </c>
      <c r="L140" s="350">
        <v>5</v>
      </c>
      <c r="M140" s="350">
        <v>25</v>
      </c>
    </row>
    <row r="141" spans="2:13" x14ac:dyDescent="0.35">
      <c r="B141" s="351" t="s">
        <v>357</v>
      </c>
      <c r="C141" s="351" t="s">
        <v>79</v>
      </c>
      <c r="F141" s="351" t="s">
        <v>338</v>
      </c>
      <c r="G141" s="351" t="s">
        <v>339</v>
      </c>
      <c r="H141" s="351">
        <v>18</v>
      </c>
      <c r="I141" s="351">
        <v>7</v>
      </c>
      <c r="J141" s="351">
        <v>25</v>
      </c>
      <c r="K141" s="350">
        <v>29</v>
      </c>
      <c r="L141" s="350">
        <v>5</v>
      </c>
      <c r="M141" s="350">
        <v>34</v>
      </c>
    </row>
    <row r="142" spans="2:13" x14ac:dyDescent="0.35">
      <c r="B142" s="351" t="s">
        <v>359</v>
      </c>
      <c r="C142" s="351" t="s">
        <v>788</v>
      </c>
      <c r="F142" s="351" t="s">
        <v>340</v>
      </c>
      <c r="G142" s="351" t="s">
        <v>341</v>
      </c>
      <c r="H142" s="351">
        <v>26</v>
      </c>
      <c r="I142" s="351">
        <v>20</v>
      </c>
      <c r="J142" s="351">
        <v>46</v>
      </c>
      <c r="K142" s="350">
        <v>33</v>
      </c>
      <c r="L142" s="350">
        <v>22</v>
      </c>
      <c r="M142" s="350">
        <v>55</v>
      </c>
    </row>
    <row r="143" spans="2:13" x14ac:dyDescent="0.35">
      <c r="B143" s="351" t="s">
        <v>361</v>
      </c>
      <c r="C143" s="351" t="s">
        <v>80</v>
      </c>
      <c r="F143" s="351" t="s">
        <v>342</v>
      </c>
      <c r="G143" s="351" t="s">
        <v>343</v>
      </c>
      <c r="H143" s="351">
        <v>27</v>
      </c>
      <c r="I143" s="351">
        <v>6</v>
      </c>
      <c r="J143" s="351">
        <v>33</v>
      </c>
      <c r="K143" s="350">
        <v>32</v>
      </c>
      <c r="L143" s="350">
        <v>4</v>
      </c>
      <c r="M143" s="350">
        <v>36</v>
      </c>
    </row>
    <row r="144" spans="2:13" x14ac:dyDescent="0.35">
      <c r="B144" s="351" t="s">
        <v>363</v>
      </c>
      <c r="C144" s="351" t="s">
        <v>788</v>
      </c>
      <c r="F144" s="351" t="s">
        <v>344</v>
      </c>
      <c r="G144" s="351" t="s">
        <v>345</v>
      </c>
      <c r="H144" s="351">
        <v>18</v>
      </c>
      <c r="I144" s="351">
        <v>5</v>
      </c>
      <c r="J144" s="351">
        <v>23</v>
      </c>
      <c r="K144" s="350">
        <v>17</v>
      </c>
      <c r="L144" s="350">
        <v>10</v>
      </c>
      <c r="M144" s="350">
        <v>27</v>
      </c>
    </row>
    <row r="145" spans="2:13" x14ac:dyDescent="0.35">
      <c r="B145" s="351" t="s">
        <v>365</v>
      </c>
      <c r="C145" s="351" t="s">
        <v>82</v>
      </c>
      <c r="F145" s="351" t="s">
        <v>346</v>
      </c>
      <c r="G145" s="351" t="s">
        <v>347</v>
      </c>
      <c r="H145" s="351">
        <v>22</v>
      </c>
      <c r="I145" s="351">
        <v>5</v>
      </c>
      <c r="J145" s="351">
        <v>27</v>
      </c>
      <c r="K145" s="350">
        <v>22</v>
      </c>
      <c r="L145" s="350">
        <v>10</v>
      </c>
      <c r="M145" s="350">
        <v>32</v>
      </c>
    </row>
    <row r="146" spans="2:13" x14ac:dyDescent="0.35">
      <c r="B146" s="351" t="s">
        <v>367</v>
      </c>
      <c r="C146" s="351" t="s">
        <v>80</v>
      </c>
      <c r="F146" s="351" t="s">
        <v>348</v>
      </c>
      <c r="G146" s="351" t="s">
        <v>349</v>
      </c>
      <c r="H146" s="351">
        <v>13</v>
      </c>
      <c r="I146" s="351">
        <v>4</v>
      </c>
      <c r="J146" s="351">
        <v>17</v>
      </c>
      <c r="K146" s="350">
        <v>11</v>
      </c>
      <c r="L146" s="350">
        <v>6</v>
      </c>
      <c r="M146" s="350">
        <v>17</v>
      </c>
    </row>
    <row r="147" spans="2:13" x14ac:dyDescent="0.35">
      <c r="B147" s="351" t="s">
        <v>369</v>
      </c>
      <c r="C147" s="351" t="s">
        <v>82</v>
      </c>
      <c r="F147" s="351" t="s">
        <v>350</v>
      </c>
      <c r="G147" s="351" t="s">
        <v>351</v>
      </c>
      <c r="H147" s="351">
        <v>2</v>
      </c>
      <c r="I147" s="351">
        <v>1</v>
      </c>
      <c r="J147" s="351">
        <v>3</v>
      </c>
      <c r="K147" s="350">
        <v>3</v>
      </c>
      <c r="L147" s="350">
        <v>1</v>
      </c>
      <c r="M147" s="350">
        <v>4</v>
      </c>
    </row>
    <row r="148" spans="2:13" x14ac:dyDescent="0.35">
      <c r="B148" s="351" t="s">
        <v>371</v>
      </c>
      <c r="C148" s="351" t="s">
        <v>788</v>
      </c>
      <c r="F148" s="351" t="s">
        <v>352</v>
      </c>
      <c r="G148" s="351" t="s">
        <v>353</v>
      </c>
      <c r="H148" s="351">
        <v>29</v>
      </c>
      <c r="I148" s="351">
        <v>26</v>
      </c>
      <c r="J148" s="351">
        <v>55</v>
      </c>
      <c r="K148" s="350">
        <v>25</v>
      </c>
      <c r="L148" s="350">
        <v>27</v>
      </c>
      <c r="M148" s="350">
        <v>52</v>
      </c>
    </row>
    <row r="149" spans="2:13" x14ac:dyDescent="0.35">
      <c r="B149" s="351" t="s">
        <v>373</v>
      </c>
      <c r="C149" s="351" t="s">
        <v>78</v>
      </c>
      <c r="F149" s="351" t="s">
        <v>354</v>
      </c>
      <c r="G149" s="351" t="s">
        <v>355</v>
      </c>
      <c r="H149" s="351">
        <v>28</v>
      </c>
      <c r="I149" s="351">
        <v>13</v>
      </c>
      <c r="J149" s="351">
        <v>41</v>
      </c>
      <c r="K149" s="350">
        <v>22</v>
      </c>
      <c r="L149" s="350">
        <v>13</v>
      </c>
      <c r="M149" s="350">
        <v>35</v>
      </c>
    </row>
    <row r="150" spans="2:13" x14ac:dyDescent="0.35">
      <c r="B150" s="351" t="s">
        <v>375</v>
      </c>
      <c r="C150" s="351" t="s">
        <v>83</v>
      </c>
      <c r="F150" s="351" t="s">
        <v>356</v>
      </c>
      <c r="G150" s="351" t="s">
        <v>357</v>
      </c>
      <c r="H150" s="351">
        <v>22</v>
      </c>
      <c r="I150" s="351">
        <v>4</v>
      </c>
      <c r="J150" s="351">
        <v>26</v>
      </c>
      <c r="K150" s="350">
        <v>18</v>
      </c>
      <c r="L150" s="350">
        <v>8</v>
      </c>
      <c r="M150" s="350">
        <v>26</v>
      </c>
    </row>
    <row r="151" spans="2:13" x14ac:dyDescent="0.35">
      <c r="B151" s="351" t="s">
        <v>377</v>
      </c>
      <c r="C151" s="351" t="s">
        <v>80</v>
      </c>
      <c r="F151" s="351" t="s">
        <v>358</v>
      </c>
      <c r="G151" s="351" t="s">
        <v>359</v>
      </c>
      <c r="H151" s="351">
        <v>20</v>
      </c>
      <c r="I151" s="351">
        <v>7</v>
      </c>
      <c r="J151" s="351">
        <v>27</v>
      </c>
      <c r="K151" s="350">
        <v>20</v>
      </c>
      <c r="L151" s="350">
        <v>15</v>
      </c>
      <c r="M151" s="350">
        <v>35</v>
      </c>
    </row>
    <row r="152" spans="2:13" x14ac:dyDescent="0.35">
      <c r="B152" s="351" t="s">
        <v>379</v>
      </c>
      <c r="C152" s="351" t="s">
        <v>85</v>
      </c>
      <c r="F152" s="351" t="s">
        <v>360</v>
      </c>
      <c r="G152" s="351" t="s">
        <v>361</v>
      </c>
      <c r="H152" s="351">
        <v>29</v>
      </c>
      <c r="I152" s="351">
        <v>7</v>
      </c>
      <c r="J152" s="351">
        <v>36</v>
      </c>
      <c r="K152" s="350">
        <v>28</v>
      </c>
      <c r="L152" s="350">
        <v>9</v>
      </c>
      <c r="M152" s="350">
        <v>37</v>
      </c>
    </row>
    <row r="153" spans="2:13" x14ac:dyDescent="0.35">
      <c r="B153" s="351" t="s">
        <v>381</v>
      </c>
      <c r="C153" s="351" t="s">
        <v>78</v>
      </c>
      <c r="F153" s="351" t="s">
        <v>362</v>
      </c>
      <c r="G153" s="351" t="s">
        <v>363</v>
      </c>
      <c r="H153" s="351">
        <v>19</v>
      </c>
      <c r="I153" s="351">
        <v>6</v>
      </c>
      <c r="J153" s="351">
        <v>25</v>
      </c>
      <c r="K153" s="350">
        <v>25</v>
      </c>
      <c r="L153" s="350">
        <v>12</v>
      </c>
      <c r="M153" s="350">
        <v>37</v>
      </c>
    </row>
    <row r="154" spans="2:13" x14ac:dyDescent="0.35">
      <c r="B154" s="351" t="s">
        <v>383</v>
      </c>
      <c r="C154" s="351" t="s">
        <v>82</v>
      </c>
      <c r="F154" s="351" t="s">
        <v>364</v>
      </c>
      <c r="G154" s="351" t="s">
        <v>365</v>
      </c>
      <c r="H154" s="351">
        <v>19</v>
      </c>
      <c r="I154" s="351">
        <v>12</v>
      </c>
      <c r="J154" s="351">
        <v>31</v>
      </c>
      <c r="K154" s="350">
        <v>19</v>
      </c>
      <c r="L154" s="350">
        <v>14</v>
      </c>
      <c r="M154" s="350">
        <v>33</v>
      </c>
    </row>
    <row r="155" spans="2:13" x14ac:dyDescent="0.35">
      <c r="B155" s="351" t="s">
        <v>385</v>
      </c>
      <c r="C155" s="351" t="s">
        <v>79</v>
      </c>
      <c r="F155" s="351" t="s">
        <v>366</v>
      </c>
      <c r="G155" s="351" t="s">
        <v>367</v>
      </c>
      <c r="H155" s="351">
        <v>36</v>
      </c>
      <c r="I155" s="351">
        <v>35</v>
      </c>
      <c r="J155" s="351">
        <v>71</v>
      </c>
      <c r="K155" s="350">
        <v>33</v>
      </c>
      <c r="L155" s="350">
        <v>39</v>
      </c>
      <c r="M155" s="350">
        <v>72</v>
      </c>
    </row>
    <row r="156" spans="2:13" x14ac:dyDescent="0.35">
      <c r="B156" s="351" t="s">
        <v>387</v>
      </c>
      <c r="C156" s="351" t="s">
        <v>83</v>
      </c>
      <c r="F156" s="351" t="s">
        <v>368</v>
      </c>
      <c r="G156" s="351" t="s">
        <v>369</v>
      </c>
      <c r="H156" s="351">
        <v>22</v>
      </c>
      <c r="I156" s="351">
        <v>9</v>
      </c>
      <c r="J156" s="351">
        <v>31</v>
      </c>
      <c r="K156" s="350">
        <v>22</v>
      </c>
      <c r="L156" s="350">
        <v>14</v>
      </c>
      <c r="M156" s="350">
        <v>36</v>
      </c>
    </row>
    <row r="157" spans="2:13" x14ac:dyDescent="0.35">
      <c r="B157" s="351" t="s">
        <v>389</v>
      </c>
      <c r="C157" s="351" t="s">
        <v>79</v>
      </c>
      <c r="F157" s="351" t="s">
        <v>370</v>
      </c>
      <c r="G157" s="351" t="s">
        <v>371</v>
      </c>
      <c r="H157" s="351">
        <v>32</v>
      </c>
      <c r="I157" s="351">
        <v>21</v>
      </c>
      <c r="J157" s="351">
        <v>53</v>
      </c>
      <c r="K157" s="350">
        <v>34</v>
      </c>
      <c r="L157" s="350">
        <v>26</v>
      </c>
      <c r="M157" s="350">
        <v>60</v>
      </c>
    </row>
    <row r="158" spans="2:13" x14ac:dyDescent="0.35">
      <c r="B158" s="351" t="s">
        <v>391</v>
      </c>
      <c r="C158" s="351" t="s">
        <v>85</v>
      </c>
      <c r="F158" s="351" t="s">
        <v>372</v>
      </c>
      <c r="G158" s="351" t="s">
        <v>373</v>
      </c>
      <c r="H158" s="351">
        <v>23</v>
      </c>
      <c r="I158" s="351">
        <v>14</v>
      </c>
      <c r="J158" s="351">
        <v>37</v>
      </c>
      <c r="K158" s="350">
        <v>23</v>
      </c>
      <c r="L158" s="350">
        <v>18</v>
      </c>
      <c r="M158" s="350">
        <v>41</v>
      </c>
    </row>
    <row r="159" spans="2:13" x14ac:dyDescent="0.35">
      <c r="B159" s="351" t="s">
        <v>393</v>
      </c>
      <c r="C159" s="351" t="s">
        <v>82</v>
      </c>
      <c r="F159" s="351" t="s">
        <v>374</v>
      </c>
      <c r="G159" s="351" t="s">
        <v>375</v>
      </c>
      <c r="H159" s="351">
        <v>19</v>
      </c>
      <c r="I159" s="351">
        <v>5</v>
      </c>
      <c r="J159" s="351">
        <v>24</v>
      </c>
      <c r="K159" s="350">
        <v>26</v>
      </c>
      <c r="L159" s="350">
        <v>9</v>
      </c>
      <c r="M159" s="350">
        <v>35</v>
      </c>
    </row>
    <row r="160" spans="2:13" x14ac:dyDescent="0.35">
      <c r="B160" s="351" t="s">
        <v>395</v>
      </c>
      <c r="C160" s="351" t="s">
        <v>78</v>
      </c>
      <c r="F160" s="351" t="s">
        <v>376</v>
      </c>
      <c r="G160" s="351" t="s">
        <v>377</v>
      </c>
      <c r="H160" s="351">
        <v>30</v>
      </c>
      <c r="I160" s="351">
        <v>29</v>
      </c>
      <c r="J160" s="351">
        <v>59</v>
      </c>
      <c r="K160" s="350">
        <v>28</v>
      </c>
      <c r="L160" s="350">
        <v>30</v>
      </c>
      <c r="M160" s="350">
        <v>58</v>
      </c>
    </row>
    <row r="161" spans="2:13" x14ac:dyDescent="0.35">
      <c r="B161" s="351" t="s">
        <v>397</v>
      </c>
      <c r="C161" s="351" t="s">
        <v>83</v>
      </c>
      <c r="F161" s="351" t="s">
        <v>378</v>
      </c>
      <c r="G161" s="351" t="s">
        <v>379</v>
      </c>
      <c r="H161" s="351">
        <v>19</v>
      </c>
      <c r="I161" s="351">
        <v>1</v>
      </c>
      <c r="J161" s="351">
        <v>20</v>
      </c>
      <c r="K161" s="350">
        <v>21</v>
      </c>
      <c r="L161" s="350">
        <v>3</v>
      </c>
      <c r="M161" s="350">
        <v>24</v>
      </c>
    </row>
    <row r="162" spans="2:13" x14ac:dyDescent="0.35">
      <c r="B162" s="351" t="s">
        <v>399</v>
      </c>
      <c r="C162" s="351" t="s">
        <v>78</v>
      </c>
      <c r="F162" s="351" t="s">
        <v>380</v>
      </c>
      <c r="G162" s="351" t="s">
        <v>381</v>
      </c>
      <c r="H162" s="351">
        <v>18</v>
      </c>
      <c r="I162" s="351">
        <v>8</v>
      </c>
      <c r="J162" s="351">
        <v>26</v>
      </c>
      <c r="K162" s="350">
        <v>19</v>
      </c>
      <c r="L162" s="350">
        <v>6</v>
      </c>
      <c r="M162" s="350">
        <v>25</v>
      </c>
    </row>
    <row r="163" spans="2:13" x14ac:dyDescent="0.35">
      <c r="B163" s="351" t="s">
        <v>401</v>
      </c>
      <c r="C163" s="351" t="s">
        <v>84</v>
      </c>
      <c r="F163" s="351" t="s">
        <v>382</v>
      </c>
      <c r="G163" s="351" t="s">
        <v>383</v>
      </c>
      <c r="H163" s="351">
        <v>29</v>
      </c>
      <c r="I163" s="351">
        <v>43</v>
      </c>
      <c r="J163" s="351">
        <v>72</v>
      </c>
      <c r="K163" s="350">
        <v>26</v>
      </c>
      <c r="L163" s="350">
        <v>53</v>
      </c>
      <c r="M163" s="350">
        <v>79</v>
      </c>
    </row>
    <row r="164" spans="2:13" x14ac:dyDescent="0.35">
      <c r="B164" s="351" t="s">
        <v>403</v>
      </c>
      <c r="C164" s="351" t="s">
        <v>80</v>
      </c>
      <c r="F164" s="351" t="s">
        <v>384</v>
      </c>
      <c r="G164" s="351" t="s">
        <v>385</v>
      </c>
      <c r="H164" s="351">
        <v>26</v>
      </c>
      <c r="I164" s="351">
        <v>6</v>
      </c>
      <c r="J164" s="351">
        <v>32</v>
      </c>
      <c r="K164" s="350">
        <v>21</v>
      </c>
      <c r="L164" s="350">
        <v>10</v>
      </c>
      <c r="M164" s="350">
        <v>31</v>
      </c>
    </row>
    <row r="165" spans="2:13" x14ac:dyDescent="0.35">
      <c r="B165" s="351" t="s">
        <v>405</v>
      </c>
      <c r="C165" s="351" t="s">
        <v>84</v>
      </c>
      <c r="F165" s="351" t="s">
        <v>386</v>
      </c>
      <c r="G165" s="351" t="s">
        <v>387</v>
      </c>
      <c r="H165" s="351">
        <v>23</v>
      </c>
      <c r="I165" s="351">
        <v>9</v>
      </c>
      <c r="J165" s="351">
        <v>32</v>
      </c>
      <c r="K165" s="350">
        <v>26</v>
      </c>
      <c r="L165" s="350">
        <v>14</v>
      </c>
      <c r="M165" s="350">
        <v>40</v>
      </c>
    </row>
    <row r="166" spans="2:13" x14ac:dyDescent="0.35">
      <c r="B166" s="351" t="s">
        <v>407</v>
      </c>
      <c r="C166" s="351" t="s">
        <v>79</v>
      </c>
      <c r="F166" s="351" t="s">
        <v>388</v>
      </c>
      <c r="G166" s="351" t="s">
        <v>389</v>
      </c>
      <c r="H166" s="351">
        <v>16</v>
      </c>
      <c r="I166" s="351">
        <v>3</v>
      </c>
      <c r="J166" s="351">
        <v>19</v>
      </c>
      <c r="K166" s="350">
        <v>19</v>
      </c>
      <c r="L166" s="350">
        <v>4</v>
      </c>
      <c r="M166" s="350">
        <v>23</v>
      </c>
    </row>
    <row r="167" spans="2:13" x14ac:dyDescent="0.35">
      <c r="B167" s="351" t="s">
        <v>409</v>
      </c>
      <c r="C167" s="351" t="s">
        <v>83</v>
      </c>
      <c r="F167" s="351" t="s">
        <v>390</v>
      </c>
      <c r="G167" s="351" t="s">
        <v>391</v>
      </c>
      <c r="H167" s="351">
        <v>13</v>
      </c>
      <c r="I167" s="351">
        <v>1</v>
      </c>
      <c r="J167" s="351">
        <v>14</v>
      </c>
      <c r="K167" s="350">
        <v>15</v>
      </c>
      <c r="L167" s="350">
        <v>3</v>
      </c>
      <c r="M167" s="350">
        <v>18</v>
      </c>
    </row>
    <row r="168" spans="2:13" x14ac:dyDescent="0.35">
      <c r="B168" s="351" t="s">
        <v>411</v>
      </c>
      <c r="C168" s="351" t="s">
        <v>81</v>
      </c>
      <c r="F168" s="351" t="s">
        <v>392</v>
      </c>
      <c r="G168" s="351" t="s">
        <v>393</v>
      </c>
      <c r="H168" s="351">
        <v>34</v>
      </c>
      <c r="I168" s="351">
        <v>19</v>
      </c>
      <c r="J168" s="351">
        <v>53</v>
      </c>
      <c r="K168" s="350">
        <v>30</v>
      </c>
      <c r="L168" s="350">
        <v>20</v>
      </c>
      <c r="M168" s="350">
        <v>50</v>
      </c>
    </row>
    <row r="169" spans="2:13" x14ac:dyDescent="0.35">
      <c r="B169" s="351" t="s">
        <v>413</v>
      </c>
      <c r="C169" s="351" t="s">
        <v>83</v>
      </c>
      <c r="F169" s="351" t="s">
        <v>394</v>
      </c>
      <c r="G169" s="351" t="s">
        <v>395</v>
      </c>
      <c r="H169" s="351">
        <v>19</v>
      </c>
      <c r="I169" s="351">
        <v>4</v>
      </c>
      <c r="J169" s="351">
        <v>23</v>
      </c>
      <c r="K169" s="350">
        <v>21</v>
      </c>
      <c r="L169" s="350">
        <v>5</v>
      </c>
      <c r="M169" s="350">
        <v>26</v>
      </c>
    </row>
    <row r="170" spans="2:13" x14ac:dyDescent="0.35">
      <c r="B170" s="351" t="s">
        <v>415</v>
      </c>
      <c r="C170" s="351" t="s">
        <v>83</v>
      </c>
      <c r="F170" s="351" t="s">
        <v>396</v>
      </c>
      <c r="G170" s="351" t="s">
        <v>397</v>
      </c>
      <c r="H170" s="351">
        <v>23</v>
      </c>
      <c r="I170" s="351">
        <v>7</v>
      </c>
      <c r="J170" s="351">
        <v>30</v>
      </c>
      <c r="K170" s="350">
        <v>23</v>
      </c>
      <c r="L170" s="350">
        <v>6</v>
      </c>
      <c r="M170" s="350">
        <v>29</v>
      </c>
    </row>
    <row r="171" spans="2:13" x14ac:dyDescent="0.35">
      <c r="B171" s="351" t="s">
        <v>417</v>
      </c>
      <c r="C171" s="351" t="s">
        <v>83</v>
      </c>
      <c r="F171" s="351" t="s">
        <v>398</v>
      </c>
      <c r="G171" s="351" t="s">
        <v>399</v>
      </c>
      <c r="H171" s="351">
        <v>13</v>
      </c>
      <c r="I171" s="351">
        <v>2</v>
      </c>
      <c r="J171" s="351">
        <v>15</v>
      </c>
      <c r="K171" s="350">
        <v>15</v>
      </c>
      <c r="L171" s="350">
        <v>1</v>
      </c>
      <c r="M171" s="350">
        <v>16</v>
      </c>
    </row>
    <row r="172" spans="2:13" x14ac:dyDescent="0.35">
      <c r="B172" s="351" t="s">
        <v>419</v>
      </c>
      <c r="C172" s="351" t="s">
        <v>78</v>
      </c>
      <c r="F172" s="351" t="s">
        <v>400</v>
      </c>
      <c r="G172" s="351" t="s">
        <v>401</v>
      </c>
      <c r="H172" s="351">
        <v>22</v>
      </c>
      <c r="I172" s="351">
        <v>9</v>
      </c>
      <c r="J172" s="351">
        <v>31</v>
      </c>
      <c r="K172" s="350">
        <v>21</v>
      </c>
      <c r="L172" s="350">
        <v>8</v>
      </c>
      <c r="M172" s="350">
        <v>29</v>
      </c>
    </row>
    <row r="173" spans="2:13" x14ac:dyDescent="0.35">
      <c r="B173" s="351" t="s">
        <v>421</v>
      </c>
      <c r="C173" s="351" t="s">
        <v>81</v>
      </c>
      <c r="F173" s="351" t="s">
        <v>402</v>
      </c>
      <c r="G173" s="351" t="s">
        <v>403</v>
      </c>
      <c r="H173" s="351">
        <v>29</v>
      </c>
      <c r="I173" s="351">
        <v>10</v>
      </c>
      <c r="J173" s="351">
        <v>39</v>
      </c>
      <c r="K173" s="350">
        <v>28</v>
      </c>
      <c r="L173" s="350">
        <v>11</v>
      </c>
      <c r="M173" s="350">
        <v>39</v>
      </c>
    </row>
    <row r="174" spans="2:13" x14ac:dyDescent="0.35">
      <c r="B174" s="351" t="s">
        <v>423</v>
      </c>
      <c r="C174" s="351" t="s">
        <v>85</v>
      </c>
      <c r="F174" s="351" t="s">
        <v>404</v>
      </c>
      <c r="G174" s="351" t="s">
        <v>405</v>
      </c>
      <c r="H174" s="351">
        <v>17</v>
      </c>
      <c r="I174" s="351">
        <v>6</v>
      </c>
      <c r="J174" s="351">
        <v>23</v>
      </c>
      <c r="K174" s="350">
        <v>17</v>
      </c>
      <c r="L174" s="350">
        <v>8</v>
      </c>
      <c r="M174" s="350">
        <v>25</v>
      </c>
    </row>
    <row r="175" spans="2:13" x14ac:dyDescent="0.35">
      <c r="B175" s="351" t="s">
        <v>425</v>
      </c>
      <c r="C175" s="351" t="s">
        <v>80</v>
      </c>
      <c r="F175" s="351" t="s">
        <v>406</v>
      </c>
      <c r="G175" s="351" t="s">
        <v>407</v>
      </c>
      <c r="H175" s="351">
        <v>17</v>
      </c>
      <c r="I175" s="351">
        <v>3</v>
      </c>
      <c r="J175" s="351">
        <v>20</v>
      </c>
      <c r="K175" s="350">
        <v>22</v>
      </c>
      <c r="L175" s="350">
        <v>4</v>
      </c>
      <c r="M175" s="350">
        <v>26</v>
      </c>
    </row>
    <row r="176" spans="2:13" x14ac:dyDescent="0.35">
      <c r="B176" s="351" t="s">
        <v>427</v>
      </c>
      <c r="C176" s="351" t="s">
        <v>84</v>
      </c>
      <c r="F176" s="351" t="s">
        <v>408</v>
      </c>
      <c r="G176" s="351" t="s">
        <v>409</v>
      </c>
      <c r="H176" s="351">
        <v>21</v>
      </c>
      <c r="I176" s="351">
        <v>10</v>
      </c>
      <c r="J176" s="351">
        <v>31</v>
      </c>
      <c r="K176" s="350">
        <v>29</v>
      </c>
      <c r="L176" s="350">
        <v>12</v>
      </c>
      <c r="M176" s="350">
        <v>41</v>
      </c>
    </row>
    <row r="177" spans="2:13" x14ac:dyDescent="0.35">
      <c r="B177" s="351" t="s">
        <v>429</v>
      </c>
      <c r="C177" s="351" t="s">
        <v>78</v>
      </c>
      <c r="F177" s="351" t="s">
        <v>410</v>
      </c>
      <c r="G177" s="351" t="s">
        <v>411</v>
      </c>
      <c r="H177" s="351">
        <v>23</v>
      </c>
      <c r="I177" s="351">
        <v>4</v>
      </c>
      <c r="J177" s="351">
        <v>27</v>
      </c>
      <c r="K177" s="350">
        <v>20</v>
      </c>
      <c r="L177" s="350">
        <v>8</v>
      </c>
      <c r="M177" s="350">
        <v>28</v>
      </c>
    </row>
    <row r="178" spans="2:13" x14ac:dyDescent="0.35">
      <c r="B178" s="351" t="s">
        <v>431</v>
      </c>
      <c r="C178" s="351" t="s">
        <v>788</v>
      </c>
      <c r="F178" s="351" t="s">
        <v>412</v>
      </c>
      <c r="G178" s="351" t="s">
        <v>413</v>
      </c>
      <c r="H178" s="351">
        <v>39</v>
      </c>
      <c r="I178" s="351">
        <v>11</v>
      </c>
      <c r="J178" s="351">
        <v>50</v>
      </c>
      <c r="K178" s="350">
        <v>39</v>
      </c>
      <c r="L178" s="350">
        <v>13</v>
      </c>
      <c r="M178" s="350">
        <v>52</v>
      </c>
    </row>
    <row r="179" spans="2:13" x14ac:dyDescent="0.35">
      <c r="B179" s="351" t="s">
        <v>433</v>
      </c>
      <c r="C179" s="351" t="s">
        <v>79</v>
      </c>
      <c r="F179" s="351" t="s">
        <v>414</v>
      </c>
      <c r="G179" s="351" t="s">
        <v>415</v>
      </c>
      <c r="H179" s="351">
        <v>22</v>
      </c>
      <c r="I179" s="351">
        <v>9</v>
      </c>
      <c r="J179" s="351">
        <v>31</v>
      </c>
      <c r="K179" s="350">
        <v>22</v>
      </c>
      <c r="L179" s="350">
        <v>8</v>
      </c>
      <c r="M179" s="350">
        <v>30</v>
      </c>
    </row>
    <row r="180" spans="2:13" x14ac:dyDescent="0.35">
      <c r="B180" s="351" t="s">
        <v>435</v>
      </c>
      <c r="C180" s="351" t="s">
        <v>78</v>
      </c>
      <c r="F180" s="351" t="s">
        <v>416</v>
      </c>
      <c r="G180" s="351" t="s">
        <v>417</v>
      </c>
      <c r="H180" s="351">
        <v>25</v>
      </c>
      <c r="I180" s="351">
        <v>6</v>
      </c>
      <c r="J180" s="351">
        <v>31</v>
      </c>
      <c r="K180" s="350">
        <v>22</v>
      </c>
      <c r="L180" s="350">
        <v>4</v>
      </c>
      <c r="M180" s="350">
        <v>26</v>
      </c>
    </row>
    <row r="181" spans="2:13" x14ac:dyDescent="0.35">
      <c r="B181" s="351" t="s">
        <v>437</v>
      </c>
      <c r="C181" s="351" t="s">
        <v>788</v>
      </c>
      <c r="F181" s="351" t="s">
        <v>418</v>
      </c>
      <c r="G181" s="351" t="s">
        <v>419</v>
      </c>
      <c r="H181" s="351">
        <v>20</v>
      </c>
      <c r="I181" s="351">
        <v>4</v>
      </c>
      <c r="J181" s="351">
        <v>24</v>
      </c>
      <c r="K181" s="350">
        <v>23</v>
      </c>
      <c r="L181" s="350">
        <v>5</v>
      </c>
      <c r="M181" s="350">
        <v>28</v>
      </c>
    </row>
    <row r="182" spans="2:13" x14ac:dyDescent="0.35">
      <c r="B182" s="351" t="s">
        <v>439</v>
      </c>
      <c r="C182" s="351" t="s">
        <v>79</v>
      </c>
      <c r="F182" s="351" t="s">
        <v>420</v>
      </c>
      <c r="G182" s="351" t="s">
        <v>421</v>
      </c>
      <c r="H182" s="351">
        <v>20</v>
      </c>
      <c r="I182" s="351">
        <v>14</v>
      </c>
      <c r="J182" s="351">
        <v>34</v>
      </c>
      <c r="K182" s="350">
        <v>16</v>
      </c>
      <c r="L182" s="350">
        <v>15</v>
      </c>
      <c r="M182" s="350">
        <v>31</v>
      </c>
    </row>
    <row r="183" spans="2:13" x14ac:dyDescent="0.35">
      <c r="B183" s="351" t="s">
        <v>797</v>
      </c>
      <c r="C183" s="351" t="s">
        <v>78</v>
      </c>
      <c r="F183" s="351" t="s">
        <v>422</v>
      </c>
      <c r="G183" s="351" t="s">
        <v>423</v>
      </c>
      <c r="H183" s="351">
        <v>14</v>
      </c>
      <c r="I183" s="351">
        <v>6</v>
      </c>
      <c r="J183" s="351">
        <v>20</v>
      </c>
      <c r="K183" s="350">
        <v>16</v>
      </c>
      <c r="L183" s="350">
        <v>4</v>
      </c>
      <c r="M183" s="350">
        <v>20</v>
      </c>
    </row>
    <row r="184" spans="2:13" x14ac:dyDescent="0.35">
      <c r="B184" s="351" t="s">
        <v>441</v>
      </c>
      <c r="C184" s="351" t="s">
        <v>84</v>
      </c>
      <c r="F184" s="351" t="s">
        <v>424</v>
      </c>
      <c r="G184" s="351" t="s">
        <v>425</v>
      </c>
      <c r="H184" s="351">
        <v>33</v>
      </c>
      <c r="I184" s="351">
        <v>17</v>
      </c>
      <c r="J184" s="351">
        <v>50</v>
      </c>
      <c r="K184" s="350">
        <v>32</v>
      </c>
      <c r="L184" s="350">
        <v>21</v>
      </c>
      <c r="M184" s="350">
        <v>53</v>
      </c>
    </row>
    <row r="185" spans="2:13" x14ac:dyDescent="0.35">
      <c r="B185" s="351" t="s">
        <v>443</v>
      </c>
      <c r="C185" s="351" t="s">
        <v>81</v>
      </c>
      <c r="F185" s="351" t="s">
        <v>426</v>
      </c>
      <c r="G185" s="351" t="s">
        <v>427</v>
      </c>
      <c r="H185" s="351">
        <v>16</v>
      </c>
      <c r="I185" s="351">
        <v>2</v>
      </c>
      <c r="J185" s="351">
        <v>18</v>
      </c>
      <c r="K185" s="350">
        <v>18</v>
      </c>
      <c r="L185" s="350">
        <v>10</v>
      </c>
      <c r="M185" s="350">
        <v>28</v>
      </c>
    </row>
    <row r="186" spans="2:13" x14ac:dyDescent="0.35">
      <c r="B186" s="351" t="s">
        <v>445</v>
      </c>
      <c r="C186" s="351" t="s">
        <v>85</v>
      </c>
      <c r="F186" s="351" t="s">
        <v>428</v>
      </c>
      <c r="G186" s="351" t="s">
        <v>429</v>
      </c>
      <c r="H186" s="351">
        <v>17</v>
      </c>
      <c r="I186" s="351">
        <v>2</v>
      </c>
      <c r="J186" s="351">
        <v>19</v>
      </c>
      <c r="K186" s="350">
        <v>21</v>
      </c>
      <c r="L186" s="350">
        <v>4</v>
      </c>
      <c r="M186" s="350">
        <v>25</v>
      </c>
    </row>
    <row r="187" spans="2:13" x14ac:dyDescent="0.35">
      <c r="B187" s="351" t="s">
        <v>447</v>
      </c>
      <c r="C187" s="351" t="s">
        <v>78</v>
      </c>
      <c r="F187" s="351" t="s">
        <v>430</v>
      </c>
      <c r="G187" s="351" t="s">
        <v>431</v>
      </c>
      <c r="H187" s="351">
        <v>15</v>
      </c>
      <c r="I187" s="351">
        <v>8</v>
      </c>
      <c r="J187" s="351">
        <v>23</v>
      </c>
      <c r="K187" s="350">
        <v>17</v>
      </c>
      <c r="L187" s="350">
        <v>5</v>
      </c>
      <c r="M187" s="350">
        <v>22</v>
      </c>
    </row>
    <row r="188" spans="2:13" x14ac:dyDescent="0.35">
      <c r="B188" s="351" t="s">
        <v>449</v>
      </c>
      <c r="C188" s="351" t="s">
        <v>81</v>
      </c>
      <c r="F188" s="351" t="s">
        <v>432</v>
      </c>
      <c r="G188" s="351" t="s">
        <v>433</v>
      </c>
      <c r="H188" s="351">
        <v>26</v>
      </c>
      <c r="I188" s="351">
        <v>4</v>
      </c>
      <c r="J188" s="351">
        <v>30</v>
      </c>
      <c r="K188" s="350">
        <v>29</v>
      </c>
      <c r="L188" s="350">
        <v>3</v>
      </c>
      <c r="M188" s="350">
        <v>32</v>
      </c>
    </row>
    <row r="189" spans="2:13" x14ac:dyDescent="0.35">
      <c r="B189" s="351" t="s">
        <v>451</v>
      </c>
      <c r="C189" s="351" t="s">
        <v>79</v>
      </c>
      <c r="F189" s="351" t="s">
        <v>434</v>
      </c>
      <c r="G189" s="351" t="s">
        <v>435</v>
      </c>
      <c r="H189" s="351">
        <v>17</v>
      </c>
      <c r="I189" s="351">
        <v>7</v>
      </c>
      <c r="J189" s="351">
        <v>24</v>
      </c>
      <c r="K189" s="350">
        <v>20</v>
      </c>
      <c r="L189" s="350">
        <v>6</v>
      </c>
      <c r="M189" s="350">
        <v>26</v>
      </c>
    </row>
    <row r="190" spans="2:13" x14ac:dyDescent="0.35">
      <c r="B190" s="351" t="s">
        <v>453</v>
      </c>
      <c r="C190" s="351" t="s">
        <v>78</v>
      </c>
      <c r="F190" s="351" t="s">
        <v>436</v>
      </c>
      <c r="G190" s="351" t="s">
        <v>437</v>
      </c>
      <c r="H190" s="351">
        <v>15</v>
      </c>
      <c r="I190" s="351">
        <v>3</v>
      </c>
      <c r="J190" s="351">
        <v>18</v>
      </c>
      <c r="K190" s="350">
        <v>18</v>
      </c>
      <c r="L190" s="350">
        <v>2</v>
      </c>
      <c r="M190" s="350">
        <v>20</v>
      </c>
    </row>
    <row r="191" spans="2:13" x14ac:dyDescent="0.35">
      <c r="B191" s="351" t="s">
        <v>455</v>
      </c>
      <c r="C191" s="351" t="s">
        <v>85</v>
      </c>
      <c r="F191" s="351" t="s">
        <v>438</v>
      </c>
      <c r="G191" s="351" t="s">
        <v>439</v>
      </c>
      <c r="H191" s="351">
        <v>18</v>
      </c>
      <c r="I191" s="351">
        <v>1</v>
      </c>
      <c r="J191" s="351">
        <v>19</v>
      </c>
      <c r="K191" s="350">
        <v>15</v>
      </c>
      <c r="L191" s="350">
        <v>3</v>
      </c>
      <c r="M191" s="350">
        <v>18</v>
      </c>
    </row>
    <row r="192" spans="2:13" x14ac:dyDescent="0.35">
      <c r="B192" s="351" t="s">
        <v>457</v>
      </c>
      <c r="C192" s="351" t="s">
        <v>78</v>
      </c>
      <c r="F192" s="351" t="s">
        <v>799</v>
      </c>
      <c r="G192" s="351" t="s">
        <v>797</v>
      </c>
      <c r="H192" s="351">
        <v>35</v>
      </c>
      <c r="I192" s="351">
        <v>9</v>
      </c>
      <c r="J192" s="351">
        <v>44</v>
      </c>
      <c r="K192" s="350">
        <v>39</v>
      </c>
      <c r="L192" s="350">
        <v>15</v>
      </c>
      <c r="M192" s="350">
        <v>54</v>
      </c>
    </row>
    <row r="193" spans="2:13" x14ac:dyDescent="0.35">
      <c r="B193" s="351" t="s">
        <v>459</v>
      </c>
      <c r="C193" s="351" t="s">
        <v>82</v>
      </c>
      <c r="F193" s="351" t="s">
        <v>440</v>
      </c>
      <c r="G193" s="351" t="s">
        <v>441</v>
      </c>
      <c r="H193" s="351">
        <v>23</v>
      </c>
      <c r="I193" s="351">
        <v>11</v>
      </c>
      <c r="J193" s="351">
        <v>34</v>
      </c>
      <c r="K193" s="350">
        <v>30</v>
      </c>
      <c r="L193" s="350">
        <v>11</v>
      </c>
      <c r="M193" s="350">
        <v>41</v>
      </c>
    </row>
    <row r="194" spans="2:13" x14ac:dyDescent="0.35">
      <c r="B194" s="351" t="s">
        <v>461</v>
      </c>
      <c r="C194" s="351" t="s">
        <v>83</v>
      </c>
      <c r="F194" s="351" t="s">
        <v>442</v>
      </c>
      <c r="G194" s="351" t="s">
        <v>443</v>
      </c>
      <c r="H194" s="351">
        <v>18</v>
      </c>
      <c r="I194" s="351">
        <v>11</v>
      </c>
      <c r="J194" s="351">
        <v>29</v>
      </c>
      <c r="K194" s="350">
        <v>21</v>
      </c>
      <c r="L194" s="350">
        <v>14</v>
      </c>
      <c r="M194" s="350">
        <v>35</v>
      </c>
    </row>
    <row r="195" spans="2:13" x14ac:dyDescent="0.35">
      <c r="B195" s="351" t="s">
        <v>463</v>
      </c>
      <c r="C195" s="351" t="s">
        <v>82</v>
      </c>
      <c r="F195" s="351" t="s">
        <v>444</v>
      </c>
      <c r="G195" s="351" t="s">
        <v>445</v>
      </c>
      <c r="H195" s="351">
        <v>13</v>
      </c>
      <c r="I195" s="351">
        <v>0</v>
      </c>
      <c r="J195" s="351">
        <v>13</v>
      </c>
      <c r="K195" s="350">
        <v>15</v>
      </c>
      <c r="L195" s="350">
        <v>5</v>
      </c>
      <c r="M195" s="350">
        <v>20</v>
      </c>
    </row>
    <row r="196" spans="2:13" x14ac:dyDescent="0.35">
      <c r="B196" s="351" t="s">
        <v>465</v>
      </c>
      <c r="C196" s="351" t="s">
        <v>79</v>
      </c>
      <c r="F196" s="351" t="s">
        <v>446</v>
      </c>
      <c r="G196" s="351" t="s">
        <v>447</v>
      </c>
      <c r="H196" s="351">
        <v>13</v>
      </c>
      <c r="I196" s="351">
        <v>2</v>
      </c>
      <c r="J196" s="351">
        <v>15</v>
      </c>
      <c r="K196" s="350">
        <v>21</v>
      </c>
      <c r="L196" s="350">
        <v>4</v>
      </c>
      <c r="M196" s="350">
        <v>25</v>
      </c>
    </row>
    <row r="197" spans="2:13" x14ac:dyDescent="0.35">
      <c r="B197" s="351" t="s">
        <v>467</v>
      </c>
      <c r="C197" s="351" t="s">
        <v>84</v>
      </c>
      <c r="F197" s="351" t="s">
        <v>448</v>
      </c>
      <c r="G197" s="351" t="s">
        <v>449</v>
      </c>
      <c r="H197" s="351">
        <v>20</v>
      </c>
      <c r="I197" s="351">
        <v>15</v>
      </c>
      <c r="J197" s="351">
        <v>35</v>
      </c>
      <c r="K197" s="350">
        <v>21</v>
      </c>
      <c r="L197" s="350">
        <v>16</v>
      </c>
      <c r="M197" s="350">
        <v>37</v>
      </c>
    </row>
    <row r="198" spans="2:13" x14ac:dyDescent="0.35">
      <c r="B198" s="351" t="s">
        <v>469</v>
      </c>
      <c r="C198" s="351" t="s">
        <v>83</v>
      </c>
      <c r="F198" s="351" t="s">
        <v>450</v>
      </c>
      <c r="G198" s="351" t="s">
        <v>451</v>
      </c>
      <c r="H198" s="351">
        <v>21</v>
      </c>
      <c r="I198" s="351">
        <v>11</v>
      </c>
      <c r="J198" s="351">
        <v>32</v>
      </c>
      <c r="K198" s="350">
        <v>22</v>
      </c>
      <c r="L198" s="350">
        <v>8</v>
      </c>
      <c r="M198" s="350">
        <v>30</v>
      </c>
    </row>
    <row r="199" spans="2:13" x14ac:dyDescent="0.35">
      <c r="B199" s="351" t="s">
        <v>471</v>
      </c>
      <c r="C199" s="351" t="s">
        <v>82</v>
      </c>
      <c r="F199" s="351" t="s">
        <v>452</v>
      </c>
      <c r="G199" s="351" t="s">
        <v>453</v>
      </c>
      <c r="H199" s="351">
        <v>28</v>
      </c>
      <c r="I199" s="351">
        <v>13</v>
      </c>
      <c r="J199" s="351">
        <v>41</v>
      </c>
      <c r="K199" s="350">
        <v>29</v>
      </c>
      <c r="L199" s="350">
        <v>15</v>
      </c>
      <c r="M199" s="350">
        <v>44</v>
      </c>
    </row>
    <row r="200" spans="2:13" x14ac:dyDescent="0.35">
      <c r="B200" s="351" t="s">
        <v>473</v>
      </c>
      <c r="C200" s="351" t="s">
        <v>83</v>
      </c>
      <c r="F200" s="351" t="s">
        <v>454</v>
      </c>
      <c r="G200" s="351" t="s">
        <v>455</v>
      </c>
      <c r="H200" s="351">
        <v>20</v>
      </c>
      <c r="I200" s="351">
        <v>7</v>
      </c>
      <c r="J200" s="351">
        <v>27</v>
      </c>
      <c r="K200" s="350">
        <v>25</v>
      </c>
      <c r="L200" s="350">
        <v>9</v>
      </c>
      <c r="M200" s="350">
        <v>34</v>
      </c>
    </row>
    <row r="201" spans="2:13" x14ac:dyDescent="0.35">
      <c r="B201" s="351" t="s">
        <v>475</v>
      </c>
      <c r="C201" s="351" t="s">
        <v>80</v>
      </c>
      <c r="F201" s="351" t="s">
        <v>456</v>
      </c>
      <c r="G201" s="351" t="s">
        <v>457</v>
      </c>
      <c r="H201" s="351">
        <v>12</v>
      </c>
      <c r="I201" s="351">
        <v>1</v>
      </c>
      <c r="J201" s="351">
        <v>13</v>
      </c>
      <c r="K201" s="350">
        <v>16</v>
      </c>
      <c r="L201" s="350">
        <v>6</v>
      </c>
      <c r="M201" s="350">
        <v>22</v>
      </c>
    </row>
    <row r="202" spans="2:13" x14ac:dyDescent="0.35">
      <c r="B202" s="351" t="s">
        <v>477</v>
      </c>
      <c r="C202" s="351" t="s">
        <v>81</v>
      </c>
      <c r="F202" s="351" t="s">
        <v>458</v>
      </c>
      <c r="G202" s="351" t="s">
        <v>459</v>
      </c>
      <c r="H202" s="351">
        <v>15</v>
      </c>
      <c r="I202" s="351">
        <v>4</v>
      </c>
      <c r="J202" s="351">
        <v>19</v>
      </c>
      <c r="K202" s="350">
        <v>17</v>
      </c>
      <c r="L202" s="350">
        <v>7</v>
      </c>
      <c r="M202" s="350">
        <v>24</v>
      </c>
    </row>
    <row r="203" spans="2:13" x14ac:dyDescent="0.35">
      <c r="B203" s="351" t="s">
        <v>479</v>
      </c>
      <c r="C203" s="351" t="s">
        <v>85</v>
      </c>
      <c r="F203" s="351" t="s">
        <v>460</v>
      </c>
      <c r="G203" s="351" t="s">
        <v>461</v>
      </c>
      <c r="H203" s="351">
        <v>24</v>
      </c>
      <c r="I203" s="351">
        <v>4</v>
      </c>
      <c r="J203" s="351">
        <v>28</v>
      </c>
      <c r="K203" s="350">
        <v>24</v>
      </c>
      <c r="L203" s="350">
        <v>4</v>
      </c>
      <c r="M203" s="350">
        <v>28</v>
      </c>
    </row>
    <row r="204" spans="2:13" x14ac:dyDescent="0.35">
      <c r="B204" s="351" t="s">
        <v>481</v>
      </c>
      <c r="C204" s="351" t="s">
        <v>83</v>
      </c>
      <c r="F204" s="351" t="s">
        <v>462</v>
      </c>
      <c r="G204" s="351" t="s">
        <v>463</v>
      </c>
      <c r="H204" s="351">
        <v>17</v>
      </c>
      <c r="I204" s="351">
        <v>5</v>
      </c>
      <c r="J204" s="351">
        <v>22</v>
      </c>
      <c r="K204" s="350">
        <v>21</v>
      </c>
      <c r="L204" s="350">
        <v>5</v>
      </c>
      <c r="M204" s="350">
        <v>26</v>
      </c>
    </row>
    <row r="205" spans="2:13" x14ac:dyDescent="0.35">
      <c r="B205" s="351" t="s">
        <v>483</v>
      </c>
      <c r="C205" s="351" t="s">
        <v>82</v>
      </c>
      <c r="F205" s="351" t="s">
        <v>464</v>
      </c>
      <c r="G205" s="351" t="s">
        <v>465</v>
      </c>
      <c r="H205" s="351">
        <v>23</v>
      </c>
      <c r="I205" s="351">
        <v>3</v>
      </c>
      <c r="J205" s="351">
        <v>26</v>
      </c>
      <c r="K205" s="350">
        <v>25</v>
      </c>
      <c r="L205" s="350">
        <v>9</v>
      </c>
      <c r="M205" s="350">
        <v>34</v>
      </c>
    </row>
    <row r="206" spans="2:13" x14ac:dyDescent="0.35">
      <c r="B206" s="351" t="s">
        <v>485</v>
      </c>
      <c r="C206" s="351" t="s">
        <v>80</v>
      </c>
      <c r="F206" s="351" t="s">
        <v>466</v>
      </c>
      <c r="G206" s="351" t="s">
        <v>467</v>
      </c>
      <c r="H206" s="351">
        <v>22</v>
      </c>
      <c r="I206" s="351">
        <v>4</v>
      </c>
      <c r="J206" s="351">
        <v>26</v>
      </c>
      <c r="K206" s="350">
        <v>23</v>
      </c>
      <c r="L206" s="350">
        <v>4</v>
      </c>
      <c r="M206" s="350">
        <v>27</v>
      </c>
    </row>
    <row r="207" spans="2:13" x14ac:dyDescent="0.35">
      <c r="B207" s="351" t="s">
        <v>487</v>
      </c>
      <c r="C207" s="351" t="s">
        <v>788</v>
      </c>
      <c r="F207" s="351" t="s">
        <v>468</v>
      </c>
      <c r="G207" s="351" t="s">
        <v>469</v>
      </c>
      <c r="H207" s="351">
        <v>24</v>
      </c>
      <c r="I207" s="351">
        <v>10</v>
      </c>
      <c r="J207" s="351">
        <v>34</v>
      </c>
      <c r="K207" s="350">
        <v>23</v>
      </c>
      <c r="L207" s="350">
        <v>12</v>
      </c>
      <c r="M207" s="350">
        <v>35</v>
      </c>
    </row>
    <row r="208" spans="2:13" x14ac:dyDescent="0.35">
      <c r="B208" s="351" t="s">
        <v>489</v>
      </c>
      <c r="C208" s="351" t="s">
        <v>82</v>
      </c>
      <c r="F208" s="351" t="s">
        <v>470</v>
      </c>
      <c r="G208" s="351" t="s">
        <v>471</v>
      </c>
      <c r="H208" s="351">
        <v>19</v>
      </c>
      <c r="I208" s="351">
        <v>6</v>
      </c>
      <c r="J208" s="351">
        <v>25</v>
      </c>
      <c r="K208" s="350">
        <v>24</v>
      </c>
      <c r="L208" s="350">
        <v>9</v>
      </c>
      <c r="M208" s="350">
        <v>33</v>
      </c>
    </row>
    <row r="209" spans="2:13" x14ac:dyDescent="0.35">
      <c r="B209" s="351" t="s">
        <v>491</v>
      </c>
      <c r="C209" s="351" t="s">
        <v>79</v>
      </c>
      <c r="F209" s="351" t="s">
        <v>472</v>
      </c>
      <c r="G209" s="351" t="s">
        <v>473</v>
      </c>
      <c r="H209" s="351">
        <v>27</v>
      </c>
      <c r="I209" s="351">
        <v>7</v>
      </c>
      <c r="J209" s="351">
        <v>34</v>
      </c>
      <c r="K209" s="350">
        <v>29</v>
      </c>
      <c r="L209" s="350">
        <v>8</v>
      </c>
      <c r="M209" s="350">
        <v>37</v>
      </c>
    </row>
    <row r="210" spans="2:13" x14ac:dyDescent="0.35">
      <c r="B210" s="351" t="s">
        <v>493</v>
      </c>
      <c r="C210" s="351" t="s">
        <v>82</v>
      </c>
      <c r="F210" s="351" t="s">
        <v>474</v>
      </c>
      <c r="G210" s="351" t="s">
        <v>475</v>
      </c>
      <c r="H210" s="351">
        <v>32</v>
      </c>
      <c r="I210" s="351">
        <v>4</v>
      </c>
      <c r="J210" s="351">
        <v>36</v>
      </c>
      <c r="K210" s="350">
        <v>31</v>
      </c>
      <c r="L210" s="350">
        <v>5</v>
      </c>
      <c r="M210" s="350">
        <v>36</v>
      </c>
    </row>
    <row r="211" spans="2:13" x14ac:dyDescent="0.35">
      <c r="B211" s="351" t="s">
        <v>495</v>
      </c>
      <c r="C211" s="351" t="s">
        <v>83</v>
      </c>
      <c r="F211" s="351" t="s">
        <v>476</v>
      </c>
      <c r="G211" s="351" t="s">
        <v>477</v>
      </c>
      <c r="H211" s="351">
        <v>17</v>
      </c>
      <c r="I211" s="351">
        <v>5</v>
      </c>
      <c r="J211" s="351">
        <v>22</v>
      </c>
      <c r="K211" s="350">
        <v>19</v>
      </c>
      <c r="L211" s="350">
        <v>6</v>
      </c>
      <c r="M211" s="350">
        <v>25</v>
      </c>
    </row>
    <row r="212" spans="2:13" x14ac:dyDescent="0.35">
      <c r="B212" s="351" t="s">
        <v>497</v>
      </c>
      <c r="C212" s="351" t="s">
        <v>788</v>
      </c>
      <c r="F212" s="351" t="s">
        <v>478</v>
      </c>
      <c r="G212" s="351" t="s">
        <v>479</v>
      </c>
      <c r="H212" s="351">
        <v>19</v>
      </c>
      <c r="I212" s="351">
        <v>6</v>
      </c>
      <c r="J212" s="351">
        <v>25</v>
      </c>
      <c r="K212" s="350">
        <v>18</v>
      </c>
      <c r="L212" s="350">
        <v>5</v>
      </c>
      <c r="M212" s="350">
        <v>23</v>
      </c>
    </row>
    <row r="213" spans="2:13" x14ac:dyDescent="0.35">
      <c r="B213" s="351" t="s">
        <v>499</v>
      </c>
      <c r="C213" s="351" t="s">
        <v>85</v>
      </c>
      <c r="F213" s="351" t="s">
        <v>480</v>
      </c>
      <c r="G213" s="351" t="s">
        <v>481</v>
      </c>
      <c r="H213" s="351">
        <v>29</v>
      </c>
      <c r="I213" s="351">
        <v>7</v>
      </c>
      <c r="J213" s="351">
        <v>36</v>
      </c>
      <c r="K213" s="350">
        <v>29</v>
      </c>
      <c r="L213" s="350">
        <v>6</v>
      </c>
      <c r="M213" s="350">
        <v>35</v>
      </c>
    </row>
    <row r="214" spans="2:13" x14ac:dyDescent="0.35">
      <c r="B214" s="351" t="s">
        <v>501</v>
      </c>
      <c r="C214" s="351" t="s">
        <v>83</v>
      </c>
      <c r="F214" s="351" t="s">
        <v>482</v>
      </c>
      <c r="G214" s="351" t="s">
        <v>483</v>
      </c>
      <c r="H214" s="351">
        <v>18</v>
      </c>
      <c r="I214" s="351">
        <v>4</v>
      </c>
      <c r="J214" s="351">
        <v>22</v>
      </c>
      <c r="K214" s="350">
        <v>19</v>
      </c>
      <c r="L214" s="350">
        <v>4</v>
      </c>
      <c r="M214" s="350">
        <v>23</v>
      </c>
    </row>
    <row r="215" spans="2:13" x14ac:dyDescent="0.35">
      <c r="B215" s="351" t="s">
        <v>503</v>
      </c>
      <c r="C215" s="351" t="s">
        <v>78</v>
      </c>
      <c r="F215" s="351" t="s">
        <v>484</v>
      </c>
      <c r="G215" s="351" t="s">
        <v>485</v>
      </c>
      <c r="H215" s="351">
        <v>26</v>
      </c>
      <c r="I215" s="351">
        <v>9</v>
      </c>
      <c r="J215" s="351">
        <v>35</v>
      </c>
      <c r="K215" s="350">
        <v>24</v>
      </c>
      <c r="L215" s="350">
        <v>7</v>
      </c>
      <c r="M215" s="350">
        <v>31</v>
      </c>
    </row>
    <row r="216" spans="2:13" x14ac:dyDescent="0.35">
      <c r="B216" s="351" t="s">
        <v>505</v>
      </c>
      <c r="C216" s="351" t="s">
        <v>83</v>
      </c>
      <c r="F216" s="351" t="s">
        <v>486</v>
      </c>
      <c r="G216" s="351" t="s">
        <v>487</v>
      </c>
      <c r="H216" s="351">
        <v>12</v>
      </c>
      <c r="I216" s="351">
        <v>2</v>
      </c>
      <c r="J216" s="351">
        <v>14</v>
      </c>
      <c r="K216" s="350">
        <v>12</v>
      </c>
      <c r="L216" s="350">
        <v>1</v>
      </c>
      <c r="M216" s="350">
        <v>13</v>
      </c>
    </row>
    <row r="217" spans="2:13" x14ac:dyDescent="0.35">
      <c r="B217" s="351" t="s">
        <v>507</v>
      </c>
      <c r="C217" s="351" t="s">
        <v>78</v>
      </c>
      <c r="F217" s="351" t="s">
        <v>488</v>
      </c>
      <c r="G217" s="351" t="s">
        <v>489</v>
      </c>
      <c r="H217" s="351">
        <v>18</v>
      </c>
      <c r="I217" s="351">
        <v>6</v>
      </c>
      <c r="J217" s="351">
        <v>24</v>
      </c>
      <c r="K217" s="350">
        <v>22</v>
      </c>
      <c r="L217" s="350">
        <v>13</v>
      </c>
      <c r="M217" s="350">
        <v>35</v>
      </c>
    </row>
    <row r="218" spans="2:13" x14ac:dyDescent="0.35">
      <c r="B218" s="351" t="s">
        <v>509</v>
      </c>
      <c r="C218" s="351" t="s">
        <v>788</v>
      </c>
      <c r="F218" s="351" t="s">
        <v>490</v>
      </c>
      <c r="G218" s="351" t="s">
        <v>491</v>
      </c>
      <c r="H218" s="351">
        <v>17</v>
      </c>
      <c r="I218" s="351">
        <v>1</v>
      </c>
      <c r="J218" s="351">
        <v>18</v>
      </c>
      <c r="K218" s="350">
        <v>16</v>
      </c>
      <c r="L218" s="350">
        <v>1</v>
      </c>
      <c r="M218" s="350">
        <v>17</v>
      </c>
    </row>
    <row r="219" spans="2:13" x14ac:dyDescent="0.35">
      <c r="B219" s="351" t="s">
        <v>511</v>
      </c>
      <c r="C219" s="351" t="s">
        <v>82</v>
      </c>
      <c r="F219" s="351" t="s">
        <v>492</v>
      </c>
      <c r="G219" s="351" t="s">
        <v>493</v>
      </c>
      <c r="H219" s="351">
        <v>15</v>
      </c>
      <c r="I219" s="351">
        <v>4</v>
      </c>
      <c r="J219" s="351">
        <v>19</v>
      </c>
      <c r="K219" s="350">
        <v>14</v>
      </c>
      <c r="L219" s="350">
        <v>8</v>
      </c>
      <c r="M219" s="350">
        <v>22</v>
      </c>
    </row>
    <row r="220" spans="2:13" x14ac:dyDescent="0.35">
      <c r="B220" s="351" t="s">
        <v>513</v>
      </c>
      <c r="C220" s="351" t="s">
        <v>85</v>
      </c>
      <c r="F220" s="351" t="s">
        <v>494</v>
      </c>
      <c r="G220" s="351" t="s">
        <v>495</v>
      </c>
      <c r="H220" s="351">
        <v>15</v>
      </c>
      <c r="I220" s="351">
        <v>5</v>
      </c>
      <c r="J220" s="351">
        <v>20</v>
      </c>
      <c r="K220" s="350">
        <v>17</v>
      </c>
      <c r="L220" s="350">
        <v>4</v>
      </c>
      <c r="M220" s="350">
        <v>21</v>
      </c>
    </row>
    <row r="221" spans="2:13" x14ac:dyDescent="0.35">
      <c r="B221" s="351" t="s">
        <v>515</v>
      </c>
      <c r="C221" s="351" t="s">
        <v>788</v>
      </c>
      <c r="F221" s="351" t="s">
        <v>496</v>
      </c>
      <c r="G221" s="351" t="s">
        <v>497</v>
      </c>
      <c r="H221" s="351">
        <v>23</v>
      </c>
      <c r="I221" s="351">
        <v>5</v>
      </c>
      <c r="J221" s="351">
        <v>28</v>
      </c>
      <c r="K221" s="350">
        <v>24</v>
      </c>
      <c r="L221" s="350">
        <v>6</v>
      </c>
      <c r="M221" s="350">
        <v>30</v>
      </c>
    </row>
    <row r="222" spans="2:13" x14ac:dyDescent="0.35">
      <c r="B222" s="351" t="s">
        <v>517</v>
      </c>
      <c r="C222" s="351" t="s">
        <v>84</v>
      </c>
      <c r="F222" s="351" t="s">
        <v>498</v>
      </c>
      <c r="G222" s="351" t="s">
        <v>499</v>
      </c>
      <c r="H222" s="351">
        <v>20</v>
      </c>
      <c r="I222" s="351">
        <v>4</v>
      </c>
      <c r="J222" s="351">
        <v>24</v>
      </c>
      <c r="K222" s="350">
        <v>24</v>
      </c>
      <c r="L222" s="350">
        <v>7</v>
      </c>
      <c r="M222" s="350">
        <v>31</v>
      </c>
    </row>
    <row r="223" spans="2:13" x14ac:dyDescent="0.35">
      <c r="B223" s="351" t="s">
        <v>519</v>
      </c>
      <c r="C223" s="351" t="s">
        <v>82</v>
      </c>
      <c r="F223" s="351" t="s">
        <v>500</v>
      </c>
      <c r="G223" s="351" t="s">
        <v>501</v>
      </c>
      <c r="H223" s="351">
        <v>17</v>
      </c>
      <c r="I223" s="351">
        <v>4</v>
      </c>
      <c r="J223" s="351">
        <v>21</v>
      </c>
      <c r="K223" s="350">
        <v>20</v>
      </c>
      <c r="L223" s="350">
        <v>5</v>
      </c>
      <c r="M223" s="350">
        <v>25</v>
      </c>
    </row>
    <row r="224" spans="2:13" x14ac:dyDescent="0.35">
      <c r="B224" s="351" t="s">
        <v>521</v>
      </c>
      <c r="C224" s="351" t="s">
        <v>788</v>
      </c>
      <c r="F224" s="351" t="s">
        <v>502</v>
      </c>
      <c r="G224" s="351" t="s">
        <v>503</v>
      </c>
      <c r="H224" s="351">
        <v>17</v>
      </c>
      <c r="I224" s="351">
        <v>2</v>
      </c>
      <c r="J224" s="351">
        <v>19</v>
      </c>
      <c r="K224" s="350">
        <v>26</v>
      </c>
      <c r="L224" s="350">
        <v>5</v>
      </c>
      <c r="M224" s="350">
        <v>31</v>
      </c>
    </row>
    <row r="225" spans="2:13" x14ac:dyDescent="0.35">
      <c r="B225" s="351" t="s">
        <v>523</v>
      </c>
      <c r="C225" s="351" t="s">
        <v>83</v>
      </c>
      <c r="F225" s="351" t="s">
        <v>504</v>
      </c>
      <c r="G225" s="351" t="s">
        <v>505</v>
      </c>
      <c r="H225" s="351">
        <v>24</v>
      </c>
      <c r="I225" s="351">
        <v>1</v>
      </c>
      <c r="J225" s="351">
        <v>25</v>
      </c>
      <c r="K225" s="350">
        <v>24</v>
      </c>
      <c r="L225" s="350">
        <v>7</v>
      </c>
      <c r="M225" s="350">
        <v>31</v>
      </c>
    </row>
    <row r="226" spans="2:13" x14ac:dyDescent="0.35">
      <c r="B226" s="351" t="s">
        <v>525</v>
      </c>
      <c r="C226" s="351" t="s">
        <v>788</v>
      </c>
      <c r="F226" s="351" t="s">
        <v>506</v>
      </c>
      <c r="G226" s="351" t="s">
        <v>507</v>
      </c>
      <c r="H226" s="351">
        <v>12</v>
      </c>
      <c r="I226" s="351">
        <v>2</v>
      </c>
      <c r="J226" s="351">
        <v>14</v>
      </c>
      <c r="K226" s="350">
        <v>12</v>
      </c>
      <c r="L226" s="350">
        <v>2</v>
      </c>
      <c r="M226" s="350">
        <v>14</v>
      </c>
    </row>
    <row r="227" spans="2:13" x14ac:dyDescent="0.35">
      <c r="B227" s="351" t="s">
        <v>527</v>
      </c>
      <c r="C227" s="351" t="s">
        <v>85</v>
      </c>
      <c r="F227" s="351" t="s">
        <v>508</v>
      </c>
      <c r="G227" s="351" t="s">
        <v>509</v>
      </c>
      <c r="H227" s="351">
        <v>11</v>
      </c>
      <c r="I227" s="351">
        <v>4</v>
      </c>
      <c r="J227" s="351">
        <v>15</v>
      </c>
      <c r="K227" s="350">
        <v>15</v>
      </c>
      <c r="L227" s="350">
        <v>2</v>
      </c>
      <c r="M227" s="350">
        <v>17</v>
      </c>
    </row>
    <row r="228" spans="2:13" x14ac:dyDescent="0.35">
      <c r="B228" s="351" t="s">
        <v>529</v>
      </c>
      <c r="C228" s="351" t="s">
        <v>83</v>
      </c>
      <c r="F228" s="351" t="s">
        <v>510</v>
      </c>
      <c r="G228" s="351" t="s">
        <v>511</v>
      </c>
      <c r="H228" s="351">
        <v>26</v>
      </c>
      <c r="I228" s="351">
        <v>8</v>
      </c>
      <c r="J228" s="351">
        <v>34</v>
      </c>
      <c r="K228" s="350">
        <v>25</v>
      </c>
      <c r="L228" s="350">
        <v>12</v>
      </c>
      <c r="M228" s="350">
        <v>37</v>
      </c>
    </row>
    <row r="229" spans="2:13" x14ac:dyDescent="0.35">
      <c r="B229" s="351" t="s">
        <v>531</v>
      </c>
      <c r="C229" s="351" t="s">
        <v>85</v>
      </c>
      <c r="F229" s="351" t="s">
        <v>512</v>
      </c>
      <c r="G229" s="351" t="s">
        <v>513</v>
      </c>
      <c r="H229" s="351">
        <v>24</v>
      </c>
      <c r="I229" s="351">
        <v>6</v>
      </c>
      <c r="J229" s="351">
        <v>30</v>
      </c>
      <c r="K229" s="350">
        <v>24</v>
      </c>
      <c r="L229" s="350">
        <v>8</v>
      </c>
      <c r="M229" s="350">
        <v>32</v>
      </c>
    </row>
    <row r="230" spans="2:13" x14ac:dyDescent="0.35">
      <c r="B230" s="351" t="s">
        <v>533</v>
      </c>
      <c r="C230" s="351" t="s">
        <v>84</v>
      </c>
      <c r="F230" s="351" t="s">
        <v>514</v>
      </c>
      <c r="G230" s="351" t="s">
        <v>515</v>
      </c>
      <c r="H230" s="351">
        <v>21</v>
      </c>
      <c r="I230" s="351">
        <v>4</v>
      </c>
      <c r="J230" s="351">
        <v>25</v>
      </c>
      <c r="K230" s="350">
        <v>23</v>
      </c>
      <c r="L230" s="350">
        <v>5</v>
      </c>
      <c r="M230" s="350">
        <v>28</v>
      </c>
    </row>
    <row r="231" spans="2:13" x14ac:dyDescent="0.35">
      <c r="B231" s="351" t="s">
        <v>535</v>
      </c>
      <c r="C231" s="351" t="s">
        <v>79</v>
      </c>
      <c r="F231" s="351" t="s">
        <v>516</v>
      </c>
      <c r="G231" s="351" t="s">
        <v>517</v>
      </c>
      <c r="H231" s="351">
        <v>16</v>
      </c>
      <c r="I231" s="351">
        <v>9</v>
      </c>
      <c r="J231" s="351">
        <v>25</v>
      </c>
      <c r="K231" s="350">
        <v>22</v>
      </c>
      <c r="L231" s="350">
        <v>9</v>
      </c>
      <c r="M231" s="350">
        <v>31</v>
      </c>
    </row>
    <row r="232" spans="2:13" x14ac:dyDescent="0.35">
      <c r="B232" s="351" t="s">
        <v>537</v>
      </c>
      <c r="C232" s="351" t="s">
        <v>78</v>
      </c>
      <c r="F232" s="351" t="s">
        <v>518</v>
      </c>
      <c r="G232" s="351" t="s">
        <v>519</v>
      </c>
      <c r="H232" s="351">
        <v>23</v>
      </c>
      <c r="I232" s="351">
        <v>9</v>
      </c>
      <c r="J232" s="351">
        <v>32</v>
      </c>
      <c r="K232" s="350">
        <v>21</v>
      </c>
      <c r="L232" s="350">
        <v>11</v>
      </c>
      <c r="M232" s="350">
        <v>32</v>
      </c>
    </row>
    <row r="233" spans="2:13" x14ac:dyDescent="0.35">
      <c r="B233" s="351" t="s">
        <v>539</v>
      </c>
      <c r="C233" s="351" t="s">
        <v>84</v>
      </c>
      <c r="F233" s="351" t="s">
        <v>520</v>
      </c>
      <c r="G233" s="351" t="s">
        <v>521</v>
      </c>
      <c r="H233" s="351">
        <v>18</v>
      </c>
      <c r="I233" s="351">
        <v>1</v>
      </c>
      <c r="J233" s="351">
        <v>19</v>
      </c>
      <c r="K233" s="350">
        <v>23</v>
      </c>
      <c r="L233" s="350">
        <v>1</v>
      </c>
      <c r="M233" s="350">
        <v>24</v>
      </c>
    </row>
    <row r="234" spans="2:13" x14ac:dyDescent="0.35">
      <c r="B234" s="351" t="s">
        <v>541</v>
      </c>
      <c r="C234" s="351" t="s">
        <v>84</v>
      </c>
      <c r="F234" s="351" t="s">
        <v>522</v>
      </c>
      <c r="G234" s="351" t="s">
        <v>523</v>
      </c>
      <c r="H234" s="351">
        <v>14</v>
      </c>
      <c r="I234" s="351">
        <v>7</v>
      </c>
      <c r="J234" s="351">
        <v>21</v>
      </c>
      <c r="K234" s="350">
        <v>18</v>
      </c>
      <c r="L234" s="350">
        <v>6</v>
      </c>
      <c r="M234" s="350">
        <v>24</v>
      </c>
    </row>
    <row r="235" spans="2:13" x14ac:dyDescent="0.35">
      <c r="B235" s="351" t="s">
        <v>543</v>
      </c>
      <c r="C235" s="351" t="s">
        <v>78</v>
      </c>
      <c r="F235" s="351" t="s">
        <v>524</v>
      </c>
      <c r="G235" s="351" t="s">
        <v>525</v>
      </c>
      <c r="H235" s="351">
        <v>30</v>
      </c>
      <c r="I235" s="351">
        <v>14</v>
      </c>
      <c r="J235" s="351">
        <v>44</v>
      </c>
      <c r="K235" s="350">
        <v>29</v>
      </c>
      <c r="L235" s="350">
        <v>15</v>
      </c>
      <c r="M235" s="350">
        <v>44</v>
      </c>
    </row>
    <row r="236" spans="2:13" x14ac:dyDescent="0.35">
      <c r="B236" s="351" t="s">
        <v>545</v>
      </c>
      <c r="C236" s="351" t="s">
        <v>78</v>
      </c>
      <c r="F236" s="351" t="s">
        <v>526</v>
      </c>
      <c r="G236" s="351" t="s">
        <v>527</v>
      </c>
      <c r="H236" s="351">
        <v>25</v>
      </c>
      <c r="I236" s="351">
        <v>10</v>
      </c>
      <c r="J236" s="351">
        <v>35</v>
      </c>
      <c r="K236" s="350">
        <v>25</v>
      </c>
      <c r="L236" s="350">
        <v>10</v>
      </c>
      <c r="M236" s="350">
        <v>35</v>
      </c>
    </row>
    <row r="237" spans="2:13" x14ac:dyDescent="0.35">
      <c r="B237" s="351" t="s">
        <v>547</v>
      </c>
      <c r="C237" s="351" t="s">
        <v>82</v>
      </c>
      <c r="F237" s="351" t="s">
        <v>528</v>
      </c>
      <c r="G237" s="351" t="s">
        <v>529</v>
      </c>
      <c r="H237" s="351">
        <v>28</v>
      </c>
      <c r="I237" s="351">
        <v>8</v>
      </c>
      <c r="J237" s="351">
        <v>36</v>
      </c>
      <c r="K237" s="350">
        <v>27</v>
      </c>
      <c r="L237" s="350">
        <v>7</v>
      </c>
      <c r="M237" s="350">
        <v>34</v>
      </c>
    </row>
    <row r="238" spans="2:13" x14ac:dyDescent="0.35">
      <c r="B238" s="351" t="s">
        <v>549</v>
      </c>
      <c r="C238" s="351" t="s">
        <v>79</v>
      </c>
      <c r="F238" s="351" t="s">
        <v>530</v>
      </c>
      <c r="G238" s="351" t="s">
        <v>531</v>
      </c>
      <c r="H238" s="351">
        <v>23</v>
      </c>
      <c r="I238" s="351">
        <v>7</v>
      </c>
      <c r="J238" s="351">
        <v>30</v>
      </c>
      <c r="K238" s="350">
        <v>22</v>
      </c>
      <c r="L238" s="350">
        <v>10</v>
      </c>
      <c r="M238" s="350">
        <v>32</v>
      </c>
    </row>
    <row r="239" spans="2:13" x14ac:dyDescent="0.35">
      <c r="B239" s="351" t="s">
        <v>551</v>
      </c>
      <c r="C239" s="351" t="s">
        <v>83</v>
      </c>
      <c r="F239" s="351" t="s">
        <v>532</v>
      </c>
      <c r="G239" s="351" t="s">
        <v>533</v>
      </c>
      <c r="H239" s="351">
        <v>0</v>
      </c>
      <c r="I239" s="351">
        <v>0</v>
      </c>
      <c r="J239" s="351">
        <v>0</v>
      </c>
      <c r="K239" s="350">
        <v>28</v>
      </c>
      <c r="L239" s="350">
        <v>13</v>
      </c>
      <c r="M239" s="350">
        <v>41</v>
      </c>
    </row>
    <row r="240" spans="2:13" x14ac:dyDescent="0.35">
      <c r="B240" s="351" t="s">
        <v>553</v>
      </c>
      <c r="C240" s="351" t="s">
        <v>82</v>
      </c>
      <c r="F240" s="351" t="s">
        <v>534</v>
      </c>
      <c r="G240" s="351" t="s">
        <v>535</v>
      </c>
      <c r="H240" s="351">
        <v>27</v>
      </c>
      <c r="I240" s="351">
        <v>3</v>
      </c>
      <c r="J240" s="351">
        <v>30</v>
      </c>
      <c r="K240" s="350">
        <v>31</v>
      </c>
      <c r="L240" s="350">
        <v>2</v>
      </c>
      <c r="M240" s="350">
        <v>33</v>
      </c>
    </row>
    <row r="241" spans="2:13" x14ac:dyDescent="0.35">
      <c r="B241" s="351" t="s">
        <v>555</v>
      </c>
      <c r="C241" s="351" t="s">
        <v>84</v>
      </c>
      <c r="F241" s="351" t="s">
        <v>536</v>
      </c>
      <c r="G241" s="351" t="s">
        <v>537</v>
      </c>
      <c r="H241" s="351">
        <v>12</v>
      </c>
      <c r="I241" s="351">
        <v>4</v>
      </c>
      <c r="J241" s="351">
        <v>16</v>
      </c>
      <c r="K241" s="350">
        <v>21</v>
      </c>
      <c r="L241" s="350">
        <v>4</v>
      </c>
      <c r="M241" s="350">
        <v>25</v>
      </c>
    </row>
    <row r="242" spans="2:13" x14ac:dyDescent="0.35">
      <c r="B242" s="351" t="s">
        <v>557</v>
      </c>
      <c r="C242" s="351" t="s">
        <v>85</v>
      </c>
      <c r="F242" s="351" t="s">
        <v>538</v>
      </c>
      <c r="G242" s="351" t="s">
        <v>539</v>
      </c>
      <c r="H242" s="351">
        <v>23</v>
      </c>
      <c r="I242" s="351">
        <v>15</v>
      </c>
      <c r="J242" s="351">
        <v>38</v>
      </c>
      <c r="K242" s="350">
        <v>25</v>
      </c>
      <c r="L242" s="350">
        <v>12</v>
      </c>
      <c r="M242" s="350">
        <v>37</v>
      </c>
    </row>
    <row r="243" spans="2:13" x14ac:dyDescent="0.35">
      <c r="B243" s="351" t="s">
        <v>559</v>
      </c>
      <c r="C243" s="351" t="s">
        <v>81</v>
      </c>
      <c r="F243" s="351" t="s">
        <v>540</v>
      </c>
      <c r="G243" s="351" t="s">
        <v>541</v>
      </c>
      <c r="H243" s="351">
        <v>13</v>
      </c>
      <c r="I243" s="351">
        <v>6</v>
      </c>
      <c r="J243" s="351">
        <v>19</v>
      </c>
      <c r="K243" s="350">
        <v>22</v>
      </c>
      <c r="L243" s="350">
        <v>4</v>
      </c>
      <c r="M243" s="350">
        <v>26</v>
      </c>
    </row>
    <row r="244" spans="2:13" x14ac:dyDescent="0.35">
      <c r="B244" s="351" t="s">
        <v>561</v>
      </c>
      <c r="C244" s="351" t="s">
        <v>83</v>
      </c>
      <c r="F244" s="351" t="s">
        <v>542</v>
      </c>
      <c r="G244" s="351" t="s">
        <v>543</v>
      </c>
      <c r="H244" s="351">
        <v>15</v>
      </c>
      <c r="I244" s="351">
        <v>3</v>
      </c>
      <c r="J244" s="351">
        <v>18</v>
      </c>
      <c r="K244" s="350">
        <v>18</v>
      </c>
      <c r="L244" s="350">
        <v>4</v>
      </c>
      <c r="M244" s="350">
        <v>22</v>
      </c>
    </row>
    <row r="245" spans="2:13" x14ac:dyDescent="0.35">
      <c r="B245" s="351" t="s">
        <v>563</v>
      </c>
      <c r="C245" s="351" t="s">
        <v>79</v>
      </c>
      <c r="F245" s="351" t="s">
        <v>544</v>
      </c>
      <c r="G245" s="351" t="s">
        <v>545</v>
      </c>
      <c r="H245" s="351">
        <v>29</v>
      </c>
      <c r="I245" s="351">
        <v>5</v>
      </c>
      <c r="J245" s="351">
        <v>34</v>
      </c>
      <c r="K245" s="350">
        <v>24</v>
      </c>
      <c r="L245" s="350">
        <v>5</v>
      </c>
      <c r="M245" s="350">
        <v>29</v>
      </c>
    </row>
    <row r="246" spans="2:13" x14ac:dyDescent="0.35">
      <c r="B246" s="351" t="s">
        <v>565</v>
      </c>
      <c r="C246" s="351" t="s">
        <v>80</v>
      </c>
      <c r="F246" s="351" t="s">
        <v>546</v>
      </c>
      <c r="G246" s="351" t="s">
        <v>547</v>
      </c>
      <c r="H246" s="351">
        <v>9</v>
      </c>
      <c r="I246" s="351">
        <v>5</v>
      </c>
      <c r="J246" s="351">
        <v>14</v>
      </c>
      <c r="K246" s="350">
        <v>12</v>
      </c>
      <c r="L246" s="350">
        <v>6</v>
      </c>
      <c r="M246" s="350">
        <v>18</v>
      </c>
    </row>
    <row r="247" spans="2:13" x14ac:dyDescent="0.35">
      <c r="B247" s="351" t="s">
        <v>567</v>
      </c>
      <c r="C247" s="351" t="s">
        <v>83</v>
      </c>
      <c r="F247" s="351" t="s">
        <v>548</v>
      </c>
      <c r="G247" s="351" t="s">
        <v>549</v>
      </c>
      <c r="H247" s="351">
        <v>19</v>
      </c>
      <c r="I247" s="351">
        <v>1</v>
      </c>
      <c r="J247" s="351">
        <v>20</v>
      </c>
      <c r="K247" s="350">
        <v>21</v>
      </c>
      <c r="L247" s="350">
        <v>2</v>
      </c>
      <c r="M247" s="350">
        <v>23</v>
      </c>
    </row>
    <row r="248" spans="2:13" x14ac:dyDescent="0.35">
      <c r="B248" s="351" t="s">
        <v>569</v>
      </c>
      <c r="C248" s="351" t="s">
        <v>79</v>
      </c>
      <c r="F248" s="351" t="s">
        <v>550</v>
      </c>
      <c r="G248" s="351" t="s">
        <v>551</v>
      </c>
      <c r="H248" s="351">
        <v>20</v>
      </c>
      <c r="I248" s="351">
        <v>8</v>
      </c>
      <c r="J248" s="351">
        <v>28</v>
      </c>
      <c r="K248" s="350">
        <v>33</v>
      </c>
      <c r="L248" s="350">
        <v>9</v>
      </c>
      <c r="M248" s="350">
        <v>42</v>
      </c>
    </row>
    <row r="249" spans="2:13" x14ac:dyDescent="0.35">
      <c r="B249" s="351" t="s">
        <v>571</v>
      </c>
      <c r="C249" s="351" t="s">
        <v>82</v>
      </c>
      <c r="F249" s="351" t="s">
        <v>552</v>
      </c>
      <c r="G249" s="351" t="s">
        <v>553</v>
      </c>
      <c r="H249" s="351">
        <v>14</v>
      </c>
      <c r="I249" s="351">
        <v>3</v>
      </c>
      <c r="J249" s="351">
        <v>17</v>
      </c>
      <c r="K249" s="350">
        <v>18</v>
      </c>
      <c r="L249" s="350">
        <v>9</v>
      </c>
      <c r="M249" s="350">
        <v>27</v>
      </c>
    </row>
    <row r="250" spans="2:13" x14ac:dyDescent="0.35">
      <c r="B250" s="351" t="s">
        <v>573</v>
      </c>
      <c r="C250" s="351" t="s">
        <v>85</v>
      </c>
      <c r="F250" s="351" t="s">
        <v>554</v>
      </c>
      <c r="G250" s="351" t="s">
        <v>555</v>
      </c>
      <c r="H250" s="351">
        <v>21</v>
      </c>
      <c r="I250" s="351">
        <v>4</v>
      </c>
      <c r="J250" s="351">
        <v>25</v>
      </c>
      <c r="K250" s="350">
        <v>27</v>
      </c>
      <c r="L250" s="350">
        <v>10</v>
      </c>
      <c r="M250" s="350">
        <v>37</v>
      </c>
    </row>
    <row r="251" spans="2:13" x14ac:dyDescent="0.35">
      <c r="B251" s="351" t="s">
        <v>575</v>
      </c>
      <c r="C251" s="351" t="s">
        <v>85</v>
      </c>
      <c r="F251" s="351" t="s">
        <v>556</v>
      </c>
      <c r="G251" s="351" t="s">
        <v>557</v>
      </c>
      <c r="H251" s="351">
        <v>12</v>
      </c>
      <c r="I251" s="351">
        <v>1</v>
      </c>
      <c r="J251" s="351">
        <v>13</v>
      </c>
      <c r="K251" s="350">
        <v>14</v>
      </c>
      <c r="L251" s="350">
        <v>3</v>
      </c>
      <c r="M251" s="350">
        <v>17</v>
      </c>
    </row>
    <row r="252" spans="2:13" x14ac:dyDescent="0.35">
      <c r="B252" s="351" t="s">
        <v>577</v>
      </c>
      <c r="C252" s="351" t="s">
        <v>79</v>
      </c>
      <c r="F252" s="351" t="s">
        <v>558</v>
      </c>
      <c r="G252" s="351" t="s">
        <v>559</v>
      </c>
      <c r="H252" s="351">
        <v>17</v>
      </c>
      <c r="I252" s="351">
        <v>7</v>
      </c>
      <c r="J252" s="351">
        <v>24</v>
      </c>
      <c r="K252" s="350">
        <v>17</v>
      </c>
      <c r="L252" s="350">
        <v>8</v>
      </c>
      <c r="M252" s="350">
        <v>25</v>
      </c>
    </row>
    <row r="253" spans="2:13" x14ac:dyDescent="0.35">
      <c r="B253" s="351" t="s">
        <v>579</v>
      </c>
      <c r="C253" s="351" t="s">
        <v>82</v>
      </c>
      <c r="F253" s="351" t="s">
        <v>560</v>
      </c>
      <c r="G253" s="351" t="s">
        <v>561</v>
      </c>
      <c r="H253" s="351">
        <v>29</v>
      </c>
      <c r="I253" s="351">
        <v>9</v>
      </c>
      <c r="J253" s="351">
        <v>38</v>
      </c>
      <c r="K253" s="350">
        <v>31</v>
      </c>
      <c r="L253" s="350">
        <v>8</v>
      </c>
      <c r="M253" s="350">
        <v>39</v>
      </c>
    </row>
    <row r="254" spans="2:13" x14ac:dyDescent="0.35">
      <c r="B254" s="351" t="s">
        <v>581</v>
      </c>
      <c r="C254" s="351" t="s">
        <v>81</v>
      </c>
      <c r="F254" s="351" t="s">
        <v>562</v>
      </c>
      <c r="G254" s="351" t="s">
        <v>563</v>
      </c>
      <c r="H254" s="351">
        <v>26</v>
      </c>
      <c r="I254" s="351">
        <v>6</v>
      </c>
      <c r="J254" s="351">
        <v>32</v>
      </c>
      <c r="K254" s="350">
        <v>27</v>
      </c>
      <c r="L254" s="350">
        <v>9</v>
      </c>
      <c r="M254" s="350">
        <v>36</v>
      </c>
    </row>
    <row r="255" spans="2:13" x14ac:dyDescent="0.35">
      <c r="B255" s="351" t="s">
        <v>583</v>
      </c>
      <c r="C255" s="351" t="s">
        <v>85</v>
      </c>
      <c r="F255" s="351" t="s">
        <v>564</v>
      </c>
      <c r="G255" s="351" t="s">
        <v>565</v>
      </c>
      <c r="H255" s="351">
        <v>33</v>
      </c>
      <c r="I255" s="351">
        <v>30</v>
      </c>
      <c r="J255" s="351">
        <v>63</v>
      </c>
      <c r="K255" s="350">
        <v>30</v>
      </c>
      <c r="L255" s="350">
        <v>32</v>
      </c>
      <c r="M255" s="350">
        <v>62</v>
      </c>
    </row>
    <row r="256" spans="2:13" x14ac:dyDescent="0.35">
      <c r="B256" s="351" t="s">
        <v>585</v>
      </c>
      <c r="C256" s="351" t="s">
        <v>85</v>
      </c>
      <c r="F256" s="351" t="s">
        <v>566</v>
      </c>
      <c r="G256" s="351" t="s">
        <v>567</v>
      </c>
      <c r="H256" s="351">
        <v>14</v>
      </c>
      <c r="I256" s="351">
        <v>7</v>
      </c>
      <c r="J256" s="351">
        <v>21</v>
      </c>
      <c r="K256" s="350">
        <v>14</v>
      </c>
      <c r="L256" s="350">
        <v>3</v>
      </c>
      <c r="M256" s="350">
        <v>17</v>
      </c>
    </row>
    <row r="257" spans="2:13" x14ac:dyDescent="0.35">
      <c r="B257" s="351" t="s">
        <v>587</v>
      </c>
      <c r="C257" s="351" t="s">
        <v>84</v>
      </c>
      <c r="F257" s="351" t="s">
        <v>568</v>
      </c>
      <c r="G257" s="351" t="s">
        <v>569</v>
      </c>
      <c r="H257" s="351">
        <v>18</v>
      </c>
      <c r="I257" s="351">
        <v>5</v>
      </c>
      <c r="J257" s="351">
        <v>23</v>
      </c>
      <c r="K257" s="350">
        <v>22</v>
      </c>
      <c r="L257" s="350">
        <v>5</v>
      </c>
      <c r="M257" s="350">
        <v>27</v>
      </c>
    </row>
    <row r="258" spans="2:13" x14ac:dyDescent="0.35">
      <c r="B258" s="351" t="s">
        <v>589</v>
      </c>
      <c r="C258" s="351" t="s">
        <v>81</v>
      </c>
      <c r="F258" s="351" t="s">
        <v>570</v>
      </c>
      <c r="G258" s="351" t="s">
        <v>571</v>
      </c>
      <c r="H258" s="351">
        <v>21</v>
      </c>
      <c r="I258" s="351">
        <v>6</v>
      </c>
      <c r="J258" s="351">
        <v>27</v>
      </c>
      <c r="K258" s="350">
        <v>27</v>
      </c>
      <c r="L258" s="350">
        <v>4</v>
      </c>
      <c r="M258" s="350">
        <v>31</v>
      </c>
    </row>
    <row r="259" spans="2:13" x14ac:dyDescent="0.35">
      <c r="B259" s="351" t="s">
        <v>591</v>
      </c>
      <c r="C259" s="351" t="s">
        <v>83</v>
      </c>
      <c r="F259" s="351" t="s">
        <v>572</v>
      </c>
      <c r="G259" s="351" t="s">
        <v>573</v>
      </c>
      <c r="H259" s="351">
        <v>19</v>
      </c>
      <c r="I259" s="351">
        <v>3</v>
      </c>
      <c r="J259" s="351">
        <v>22</v>
      </c>
      <c r="K259" s="350">
        <v>19</v>
      </c>
      <c r="L259" s="350">
        <v>2</v>
      </c>
      <c r="M259" s="350">
        <v>21</v>
      </c>
    </row>
    <row r="260" spans="2:13" x14ac:dyDescent="0.35">
      <c r="B260" s="351" t="s">
        <v>593</v>
      </c>
      <c r="C260" s="351" t="s">
        <v>80</v>
      </c>
      <c r="F260" s="351" t="s">
        <v>574</v>
      </c>
      <c r="G260" s="351" t="s">
        <v>575</v>
      </c>
      <c r="H260" s="351">
        <v>10</v>
      </c>
      <c r="I260" s="351">
        <v>7</v>
      </c>
      <c r="J260" s="351">
        <v>17</v>
      </c>
      <c r="K260" s="350">
        <v>20</v>
      </c>
      <c r="L260" s="350">
        <v>6</v>
      </c>
      <c r="M260" s="350">
        <v>26</v>
      </c>
    </row>
    <row r="261" spans="2:13" x14ac:dyDescent="0.35">
      <c r="B261" s="351" t="s">
        <v>595</v>
      </c>
      <c r="C261" s="351" t="s">
        <v>83</v>
      </c>
      <c r="F261" s="351" t="s">
        <v>576</v>
      </c>
      <c r="G261" s="351" t="s">
        <v>577</v>
      </c>
      <c r="H261" s="351">
        <v>24</v>
      </c>
      <c r="I261" s="351">
        <v>4</v>
      </c>
      <c r="J261" s="351">
        <v>28</v>
      </c>
      <c r="K261" s="350">
        <v>26</v>
      </c>
      <c r="L261" s="350">
        <v>8</v>
      </c>
      <c r="M261" s="350">
        <v>34</v>
      </c>
    </row>
    <row r="262" spans="2:13" x14ac:dyDescent="0.35">
      <c r="B262" s="351" t="s">
        <v>597</v>
      </c>
      <c r="C262" s="351" t="s">
        <v>84</v>
      </c>
      <c r="F262" s="351" t="s">
        <v>578</v>
      </c>
      <c r="G262" s="351" t="s">
        <v>579</v>
      </c>
      <c r="H262" s="351">
        <v>21</v>
      </c>
      <c r="I262" s="351">
        <v>6</v>
      </c>
      <c r="J262" s="351">
        <v>27</v>
      </c>
      <c r="K262" s="350">
        <v>24</v>
      </c>
      <c r="L262" s="350">
        <v>9</v>
      </c>
      <c r="M262" s="350">
        <v>33</v>
      </c>
    </row>
    <row r="263" spans="2:13" x14ac:dyDescent="0.35">
      <c r="B263" s="351" t="s">
        <v>599</v>
      </c>
      <c r="C263" s="351" t="s">
        <v>82</v>
      </c>
      <c r="F263" s="351" t="s">
        <v>580</v>
      </c>
      <c r="G263" s="351" t="s">
        <v>581</v>
      </c>
      <c r="H263" s="351">
        <v>17</v>
      </c>
      <c r="I263" s="351">
        <v>2</v>
      </c>
      <c r="J263" s="351">
        <v>19</v>
      </c>
      <c r="K263" s="350">
        <v>18</v>
      </c>
      <c r="L263" s="350">
        <v>6</v>
      </c>
      <c r="M263" s="350">
        <v>24</v>
      </c>
    </row>
    <row r="264" spans="2:13" x14ac:dyDescent="0.35">
      <c r="B264" s="351" t="s">
        <v>601</v>
      </c>
      <c r="C264" s="351" t="s">
        <v>85</v>
      </c>
      <c r="F264" s="351" t="s">
        <v>582</v>
      </c>
      <c r="G264" s="351" t="s">
        <v>583</v>
      </c>
      <c r="H264" s="351">
        <v>17</v>
      </c>
      <c r="I264" s="351">
        <v>8</v>
      </c>
      <c r="J264" s="351">
        <v>25</v>
      </c>
      <c r="K264" s="350">
        <v>19</v>
      </c>
      <c r="L264" s="350">
        <v>11</v>
      </c>
      <c r="M264" s="350">
        <v>30</v>
      </c>
    </row>
    <row r="265" spans="2:13" x14ac:dyDescent="0.35">
      <c r="B265" s="351" t="s">
        <v>603</v>
      </c>
      <c r="C265" s="351" t="s">
        <v>83</v>
      </c>
      <c r="F265" s="351" t="s">
        <v>584</v>
      </c>
      <c r="G265" s="351" t="s">
        <v>585</v>
      </c>
      <c r="H265" s="351">
        <v>12</v>
      </c>
      <c r="I265" s="351">
        <v>6</v>
      </c>
      <c r="J265" s="351">
        <v>18</v>
      </c>
      <c r="K265" s="350">
        <v>21</v>
      </c>
      <c r="L265" s="350">
        <v>10</v>
      </c>
      <c r="M265" s="350">
        <v>31</v>
      </c>
    </row>
    <row r="266" spans="2:13" x14ac:dyDescent="0.35">
      <c r="B266" s="351" t="s">
        <v>605</v>
      </c>
      <c r="C266" s="351" t="s">
        <v>84</v>
      </c>
      <c r="F266" s="351" t="s">
        <v>586</v>
      </c>
      <c r="G266" s="351" t="s">
        <v>587</v>
      </c>
      <c r="H266" s="351">
        <v>26</v>
      </c>
      <c r="I266" s="351">
        <v>7</v>
      </c>
      <c r="J266" s="351">
        <v>33</v>
      </c>
      <c r="K266" s="350">
        <v>28</v>
      </c>
      <c r="L266" s="350">
        <v>13</v>
      </c>
      <c r="M266" s="350">
        <v>41</v>
      </c>
    </row>
    <row r="267" spans="2:13" x14ac:dyDescent="0.35">
      <c r="B267" s="351" t="s">
        <v>607</v>
      </c>
      <c r="C267" s="351" t="s">
        <v>85</v>
      </c>
      <c r="F267" s="351" t="s">
        <v>588</v>
      </c>
      <c r="G267" s="351" t="s">
        <v>589</v>
      </c>
      <c r="H267" s="351">
        <v>19</v>
      </c>
      <c r="I267" s="351">
        <v>12</v>
      </c>
      <c r="J267" s="351">
        <v>31</v>
      </c>
      <c r="K267" s="350">
        <v>24</v>
      </c>
      <c r="L267" s="350">
        <v>12</v>
      </c>
      <c r="M267" s="350">
        <v>36</v>
      </c>
    </row>
    <row r="268" spans="2:13" x14ac:dyDescent="0.35">
      <c r="B268" s="351" t="s">
        <v>609</v>
      </c>
      <c r="C268" s="351" t="s">
        <v>79</v>
      </c>
      <c r="F268" s="351" t="s">
        <v>590</v>
      </c>
      <c r="G268" s="351" t="s">
        <v>591</v>
      </c>
      <c r="H268" s="351">
        <v>12</v>
      </c>
      <c r="I268" s="351">
        <v>3</v>
      </c>
      <c r="J268" s="351">
        <v>15</v>
      </c>
      <c r="K268" s="350">
        <v>19</v>
      </c>
      <c r="L268" s="350">
        <v>6</v>
      </c>
      <c r="M268" s="350">
        <v>25</v>
      </c>
    </row>
    <row r="269" spans="2:13" x14ac:dyDescent="0.35">
      <c r="B269" s="351" t="s">
        <v>611</v>
      </c>
      <c r="C269" s="351" t="s">
        <v>83</v>
      </c>
      <c r="F269" s="351" t="s">
        <v>592</v>
      </c>
      <c r="G269" s="351" t="s">
        <v>593</v>
      </c>
      <c r="H269" s="351">
        <v>30</v>
      </c>
      <c r="I269" s="351">
        <v>8</v>
      </c>
      <c r="J269" s="351">
        <v>38</v>
      </c>
      <c r="K269" s="350">
        <v>29</v>
      </c>
      <c r="L269" s="350">
        <v>12</v>
      </c>
      <c r="M269" s="350">
        <v>41</v>
      </c>
    </row>
    <row r="270" spans="2:13" x14ac:dyDescent="0.35">
      <c r="B270" s="351" t="s">
        <v>613</v>
      </c>
      <c r="C270" s="351" t="s">
        <v>84</v>
      </c>
      <c r="F270" s="351" t="s">
        <v>594</v>
      </c>
      <c r="G270" s="351" t="s">
        <v>595</v>
      </c>
      <c r="H270" s="351">
        <v>18</v>
      </c>
      <c r="I270" s="351">
        <v>5</v>
      </c>
      <c r="J270" s="351">
        <v>23</v>
      </c>
      <c r="K270" s="350">
        <v>23</v>
      </c>
      <c r="L270" s="350">
        <v>6</v>
      </c>
      <c r="M270" s="350">
        <v>29</v>
      </c>
    </row>
    <row r="271" spans="2:13" x14ac:dyDescent="0.35">
      <c r="B271" s="351" t="s">
        <v>615</v>
      </c>
      <c r="C271" s="351" t="s">
        <v>83</v>
      </c>
      <c r="F271" s="351" t="s">
        <v>596</v>
      </c>
      <c r="G271" s="351" t="s">
        <v>597</v>
      </c>
      <c r="H271" s="351">
        <v>30</v>
      </c>
      <c r="I271" s="351">
        <v>6</v>
      </c>
      <c r="J271" s="351">
        <v>36</v>
      </c>
      <c r="K271" s="350">
        <v>29</v>
      </c>
      <c r="L271" s="350">
        <v>3</v>
      </c>
      <c r="M271" s="350">
        <v>32</v>
      </c>
    </row>
    <row r="272" spans="2:13" x14ac:dyDescent="0.35">
      <c r="B272" s="351" t="s">
        <v>617</v>
      </c>
      <c r="C272" s="351" t="s">
        <v>79</v>
      </c>
      <c r="F272" s="351" t="s">
        <v>598</v>
      </c>
      <c r="G272" s="351" t="s">
        <v>599</v>
      </c>
      <c r="H272" s="351">
        <v>23</v>
      </c>
      <c r="I272" s="351">
        <v>5</v>
      </c>
      <c r="J272" s="351">
        <v>28</v>
      </c>
      <c r="K272" s="350">
        <v>23</v>
      </c>
      <c r="L272" s="350">
        <v>9</v>
      </c>
      <c r="M272" s="350">
        <v>32</v>
      </c>
    </row>
    <row r="273" spans="2:13" x14ac:dyDescent="0.35">
      <c r="B273" s="351" t="s">
        <v>619</v>
      </c>
      <c r="C273" s="351" t="s">
        <v>79</v>
      </c>
      <c r="F273" s="351" t="s">
        <v>600</v>
      </c>
      <c r="G273" s="351" t="s">
        <v>601</v>
      </c>
      <c r="H273" s="351">
        <v>17</v>
      </c>
      <c r="I273" s="351">
        <v>1</v>
      </c>
      <c r="J273" s="351">
        <v>18</v>
      </c>
      <c r="K273" s="350">
        <v>19</v>
      </c>
      <c r="L273" s="350">
        <v>2</v>
      </c>
      <c r="M273" s="350">
        <v>21</v>
      </c>
    </row>
    <row r="274" spans="2:13" x14ac:dyDescent="0.35">
      <c r="B274" s="351" t="s">
        <v>621</v>
      </c>
      <c r="C274" s="351" t="s">
        <v>83</v>
      </c>
      <c r="F274" s="351" t="s">
        <v>602</v>
      </c>
      <c r="G274" s="351" t="s">
        <v>603</v>
      </c>
      <c r="H274" s="351">
        <v>16</v>
      </c>
      <c r="I274" s="351">
        <v>9</v>
      </c>
      <c r="J274" s="351">
        <v>25</v>
      </c>
      <c r="K274" s="350">
        <v>20</v>
      </c>
      <c r="L274" s="350">
        <v>10</v>
      </c>
      <c r="M274" s="350">
        <v>30</v>
      </c>
    </row>
    <row r="275" spans="2:13" x14ac:dyDescent="0.35">
      <c r="B275" s="351" t="s">
        <v>623</v>
      </c>
      <c r="C275" s="351" t="s">
        <v>84</v>
      </c>
      <c r="F275" s="351" t="s">
        <v>604</v>
      </c>
      <c r="G275" s="351" t="s">
        <v>605</v>
      </c>
      <c r="H275" s="351">
        <v>20</v>
      </c>
      <c r="I275" s="351">
        <v>3</v>
      </c>
      <c r="J275" s="351">
        <v>23</v>
      </c>
      <c r="K275" s="350">
        <v>22</v>
      </c>
      <c r="L275" s="350">
        <v>6</v>
      </c>
      <c r="M275" s="350">
        <v>28</v>
      </c>
    </row>
    <row r="276" spans="2:13" x14ac:dyDescent="0.35">
      <c r="B276" s="351" t="s">
        <v>625</v>
      </c>
      <c r="C276" s="351" t="s">
        <v>84</v>
      </c>
      <c r="F276" s="351" t="s">
        <v>606</v>
      </c>
      <c r="G276" s="351" t="s">
        <v>607</v>
      </c>
      <c r="H276" s="351">
        <v>14</v>
      </c>
      <c r="I276" s="351">
        <v>6</v>
      </c>
      <c r="J276" s="351">
        <v>20</v>
      </c>
      <c r="K276" s="350">
        <v>20</v>
      </c>
      <c r="L276" s="350">
        <v>9</v>
      </c>
      <c r="M276" s="350">
        <v>29</v>
      </c>
    </row>
    <row r="277" spans="2:13" x14ac:dyDescent="0.35">
      <c r="B277" s="351" t="s">
        <v>627</v>
      </c>
      <c r="C277" s="351" t="s">
        <v>80</v>
      </c>
      <c r="F277" s="351" t="s">
        <v>608</v>
      </c>
      <c r="G277" s="351" t="s">
        <v>609</v>
      </c>
      <c r="H277" s="351">
        <v>29</v>
      </c>
      <c r="I277" s="351">
        <v>2</v>
      </c>
      <c r="J277" s="351">
        <v>31</v>
      </c>
      <c r="K277" s="350">
        <v>32</v>
      </c>
      <c r="L277" s="350">
        <v>7</v>
      </c>
      <c r="M277" s="350">
        <v>39</v>
      </c>
    </row>
    <row r="278" spans="2:13" x14ac:dyDescent="0.35">
      <c r="B278" s="351" t="s">
        <v>629</v>
      </c>
      <c r="C278" s="351" t="s">
        <v>82</v>
      </c>
      <c r="F278" s="351" t="s">
        <v>610</v>
      </c>
      <c r="G278" s="351" t="s">
        <v>611</v>
      </c>
      <c r="H278" s="351">
        <v>20</v>
      </c>
      <c r="I278" s="351">
        <v>5</v>
      </c>
      <c r="J278" s="351">
        <v>25</v>
      </c>
      <c r="K278" s="350">
        <v>23</v>
      </c>
      <c r="L278" s="350">
        <v>6</v>
      </c>
      <c r="M278" s="350">
        <v>29</v>
      </c>
    </row>
    <row r="279" spans="2:13" x14ac:dyDescent="0.35">
      <c r="B279" s="351" t="s">
        <v>631</v>
      </c>
      <c r="C279" s="351" t="s">
        <v>83</v>
      </c>
      <c r="F279" s="351" t="s">
        <v>612</v>
      </c>
      <c r="G279" s="351" t="s">
        <v>613</v>
      </c>
      <c r="H279" s="351">
        <v>20</v>
      </c>
      <c r="I279" s="351">
        <v>1</v>
      </c>
      <c r="J279" s="351">
        <v>21</v>
      </c>
      <c r="K279" s="350">
        <v>23</v>
      </c>
      <c r="L279" s="350">
        <v>3</v>
      </c>
      <c r="M279" s="350">
        <v>26</v>
      </c>
    </row>
    <row r="280" spans="2:13" x14ac:dyDescent="0.35">
      <c r="B280" s="351" t="s">
        <v>633</v>
      </c>
      <c r="C280" s="351" t="s">
        <v>79</v>
      </c>
      <c r="F280" s="351" t="s">
        <v>614</v>
      </c>
      <c r="G280" s="351" t="s">
        <v>615</v>
      </c>
      <c r="H280" s="351">
        <v>20</v>
      </c>
      <c r="I280" s="351">
        <v>2</v>
      </c>
      <c r="J280" s="351">
        <v>22</v>
      </c>
      <c r="K280" s="350">
        <v>19</v>
      </c>
      <c r="L280" s="350">
        <v>5</v>
      </c>
      <c r="M280" s="350">
        <v>24</v>
      </c>
    </row>
    <row r="281" spans="2:13" x14ac:dyDescent="0.35">
      <c r="B281" s="351" t="s">
        <v>635</v>
      </c>
      <c r="C281" s="351" t="s">
        <v>83</v>
      </c>
      <c r="F281" s="351" t="s">
        <v>616</v>
      </c>
      <c r="G281" s="351" t="s">
        <v>617</v>
      </c>
      <c r="H281" s="351">
        <v>26</v>
      </c>
      <c r="I281" s="351">
        <v>3</v>
      </c>
      <c r="J281" s="351">
        <v>29</v>
      </c>
      <c r="K281" s="350">
        <v>24</v>
      </c>
      <c r="L281" s="350">
        <v>3</v>
      </c>
      <c r="M281" s="350">
        <v>27</v>
      </c>
    </row>
    <row r="282" spans="2:13" x14ac:dyDescent="0.35">
      <c r="B282" s="351" t="s">
        <v>637</v>
      </c>
      <c r="C282" s="351" t="s">
        <v>788</v>
      </c>
      <c r="F282" s="351" t="s">
        <v>618</v>
      </c>
      <c r="G282" s="351" t="s">
        <v>619</v>
      </c>
      <c r="H282" s="351">
        <v>19</v>
      </c>
      <c r="I282" s="351">
        <v>2</v>
      </c>
      <c r="J282" s="351">
        <v>21</v>
      </c>
      <c r="K282" s="350">
        <v>19</v>
      </c>
      <c r="L282" s="350">
        <v>3</v>
      </c>
      <c r="M282" s="350">
        <v>22</v>
      </c>
    </row>
    <row r="283" spans="2:13" x14ac:dyDescent="0.35">
      <c r="B283" s="351" t="s">
        <v>639</v>
      </c>
      <c r="C283" s="351" t="s">
        <v>85</v>
      </c>
      <c r="F283" s="351" t="s">
        <v>620</v>
      </c>
      <c r="G283" s="351" t="s">
        <v>621</v>
      </c>
      <c r="H283" s="351">
        <v>20</v>
      </c>
      <c r="I283" s="351">
        <v>5</v>
      </c>
      <c r="J283" s="351">
        <v>25</v>
      </c>
      <c r="K283" s="350">
        <v>24</v>
      </c>
      <c r="L283" s="350">
        <v>9</v>
      </c>
      <c r="M283" s="350">
        <v>33</v>
      </c>
    </row>
    <row r="284" spans="2:13" x14ac:dyDescent="0.35">
      <c r="B284" s="351" t="s">
        <v>641</v>
      </c>
      <c r="C284" s="351" t="s">
        <v>80</v>
      </c>
      <c r="F284" s="351" t="s">
        <v>622</v>
      </c>
      <c r="G284" s="351" t="s">
        <v>623</v>
      </c>
      <c r="H284" s="351">
        <v>15</v>
      </c>
      <c r="I284" s="351">
        <v>7</v>
      </c>
      <c r="J284" s="351">
        <v>22</v>
      </c>
      <c r="K284" s="350">
        <v>23</v>
      </c>
      <c r="L284" s="350">
        <v>8</v>
      </c>
      <c r="M284" s="350">
        <v>31</v>
      </c>
    </row>
    <row r="285" spans="2:13" x14ac:dyDescent="0.35">
      <c r="B285" s="351" t="s">
        <v>643</v>
      </c>
      <c r="C285" s="351" t="s">
        <v>80</v>
      </c>
      <c r="F285" s="351" t="s">
        <v>624</v>
      </c>
      <c r="G285" s="351" t="s">
        <v>625</v>
      </c>
      <c r="H285" s="351">
        <v>9</v>
      </c>
      <c r="I285" s="351">
        <v>3</v>
      </c>
      <c r="J285" s="351">
        <v>12</v>
      </c>
      <c r="K285" s="350">
        <v>14</v>
      </c>
      <c r="L285" s="350">
        <v>8</v>
      </c>
      <c r="M285" s="350">
        <v>22</v>
      </c>
    </row>
    <row r="286" spans="2:13" x14ac:dyDescent="0.35">
      <c r="B286" s="351" t="s">
        <v>645</v>
      </c>
      <c r="C286" s="351" t="s">
        <v>82</v>
      </c>
      <c r="F286" s="351" t="s">
        <v>626</v>
      </c>
      <c r="G286" s="351" t="s">
        <v>627</v>
      </c>
      <c r="H286" s="351">
        <v>36</v>
      </c>
      <c r="I286" s="351">
        <v>15</v>
      </c>
      <c r="J286" s="351">
        <v>51</v>
      </c>
      <c r="K286" s="350">
        <v>32</v>
      </c>
      <c r="L286" s="350">
        <v>17</v>
      </c>
      <c r="M286" s="350">
        <v>49</v>
      </c>
    </row>
    <row r="287" spans="2:13" x14ac:dyDescent="0.35">
      <c r="B287" s="351" t="s">
        <v>647</v>
      </c>
      <c r="C287" s="351" t="s">
        <v>85</v>
      </c>
      <c r="F287" s="351" t="s">
        <v>628</v>
      </c>
      <c r="G287" s="351" t="s">
        <v>629</v>
      </c>
      <c r="H287" s="351">
        <v>25</v>
      </c>
      <c r="I287" s="351">
        <v>7</v>
      </c>
      <c r="J287" s="351">
        <v>32</v>
      </c>
      <c r="K287" s="350">
        <v>28</v>
      </c>
      <c r="L287" s="350">
        <v>7</v>
      </c>
      <c r="M287" s="350">
        <v>35</v>
      </c>
    </row>
    <row r="288" spans="2:13" x14ac:dyDescent="0.35">
      <c r="B288" s="351" t="s">
        <v>649</v>
      </c>
      <c r="C288" s="351" t="s">
        <v>79</v>
      </c>
      <c r="F288" s="351" t="s">
        <v>630</v>
      </c>
      <c r="G288" s="351" t="s">
        <v>631</v>
      </c>
      <c r="H288" s="351">
        <v>24</v>
      </c>
      <c r="I288" s="351">
        <v>12</v>
      </c>
      <c r="J288" s="351">
        <v>36</v>
      </c>
      <c r="K288" s="350">
        <v>23</v>
      </c>
      <c r="L288" s="350">
        <v>14</v>
      </c>
      <c r="M288" s="350">
        <v>37</v>
      </c>
    </row>
    <row r="289" spans="2:13" x14ac:dyDescent="0.35">
      <c r="B289" s="351" t="s">
        <v>651</v>
      </c>
      <c r="C289" s="351" t="s">
        <v>83</v>
      </c>
      <c r="F289" s="351" t="s">
        <v>632</v>
      </c>
      <c r="G289" s="351" t="s">
        <v>633</v>
      </c>
      <c r="H289" s="351">
        <v>19</v>
      </c>
      <c r="I289" s="351">
        <v>3</v>
      </c>
      <c r="J289" s="351">
        <v>22</v>
      </c>
      <c r="K289" s="350">
        <v>28</v>
      </c>
      <c r="L289" s="350">
        <v>3</v>
      </c>
      <c r="M289" s="350">
        <v>31</v>
      </c>
    </row>
    <row r="290" spans="2:13" x14ac:dyDescent="0.35">
      <c r="B290" s="351" t="s">
        <v>653</v>
      </c>
      <c r="C290" s="351" t="s">
        <v>83</v>
      </c>
      <c r="F290" s="351" t="s">
        <v>634</v>
      </c>
      <c r="G290" s="351" t="s">
        <v>635</v>
      </c>
      <c r="H290" s="351">
        <v>15</v>
      </c>
      <c r="I290" s="351">
        <v>5</v>
      </c>
      <c r="J290" s="351">
        <v>20</v>
      </c>
      <c r="K290" s="350">
        <v>24</v>
      </c>
      <c r="L290" s="350">
        <v>7</v>
      </c>
      <c r="M290" s="350">
        <v>31</v>
      </c>
    </row>
    <row r="291" spans="2:13" x14ac:dyDescent="0.35">
      <c r="B291" s="351" t="s">
        <v>655</v>
      </c>
      <c r="C291" s="351" t="s">
        <v>79</v>
      </c>
      <c r="F291" s="351" t="s">
        <v>636</v>
      </c>
      <c r="G291" s="351" t="s">
        <v>637</v>
      </c>
      <c r="H291" s="351">
        <v>20</v>
      </c>
      <c r="I291" s="351">
        <v>8</v>
      </c>
      <c r="J291" s="351">
        <v>28</v>
      </c>
      <c r="K291" s="350">
        <v>26</v>
      </c>
      <c r="L291" s="350">
        <v>11</v>
      </c>
      <c r="M291" s="350">
        <v>37</v>
      </c>
    </row>
    <row r="292" spans="2:13" x14ac:dyDescent="0.35">
      <c r="B292" s="351" t="s">
        <v>657</v>
      </c>
      <c r="C292" s="351" t="s">
        <v>83</v>
      </c>
      <c r="F292" s="351" t="s">
        <v>638</v>
      </c>
      <c r="G292" s="351" t="s">
        <v>639</v>
      </c>
      <c r="H292" s="351">
        <v>23</v>
      </c>
      <c r="I292" s="351">
        <v>10</v>
      </c>
      <c r="J292" s="351">
        <v>33</v>
      </c>
      <c r="K292" s="350">
        <v>21</v>
      </c>
      <c r="L292" s="350">
        <v>10</v>
      </c>
      <c r="M292" s="350">
        <v>31</v>
      </c>
    </row>
    <row r="293" spans="2:13" x14ac:dyDescent="0.35">
      <c r="B293" s="351" t="s">
        <v>659</v>
      </c>
      <c r="C293" s="351" t="s">
        <v>84</v>
      </c>
      <c r="F293" s="351" t="s">
        <v>640</v>
      </c>
      <c r="G293" s="351" t="s">
        <v>641</v>
      </c>
      <c r="H293" s="351">
        <v>33</v>
      </c>
      <c r="I293" s="351">
        <v>12</v>
      </c>
      <c r="J293" s="351">
        <v>45</v>
      </c>
      <c r="K293" s="350">
        <v>31</v>
      </c>
      <c r="L293" s="350">
        <v>14</v>
      </c>
      <c r="M293" s="350">
        <v>45</v>
      </c>
    </row>
    <row r="294" spans="2:13" x14ac:dyDescent="0.35">
      <c r="B294" s="351" t="s">
        <v>661</v>
      </c>
      <c r="C294" s="351" t="s">
        <v>82</v>
      </c>
      <c r="F294" s="351" t="s">
        <v>642</v>
      </c>
      <c r="G294" s="351" t="s">
        <v>643</v>
      </c>
      <c r="H294" s="351">
        <v>33</v>
      </c>
      <c r="I294" s="351">
        <v>14</v>
      </c>
      <c r="J294" s="351">
        <v>47</v>
      </c>
      <c r="K294" s="350">
        <v>26</v>
      </c>
      <c r="L294" s="350">
        <v>17</v>
      </c>
      <c r="M294" s="350">
        <v>43</v>
      </c>
    </row>
    <row r="295" spans="2:13" x14ac:dyDescent="0.35">
      <c r="B295" s="351" t="s">
        <v>663</v>
      </c>
      <c r="C295" s="351" t="s">
        <v>78</v>
      </c>
      <c r="F295" s="351" t="s">
        <v>644</v>
      </c>
      <c r="G295" s="351" t="s">
        <v>645</v>
      </c>
      <c r="H295" s="351">
        <v>24</v>
      </c>
      <c r="I295" s="351">
        <v>2</v>
      </c>
      <c r="J295" s="351">
        <v>26</v>
      </c>
      <c r="K295" s="350">
        <v>27</v>
      </c>
      <c r="L295" s="350">
        <v>7</v>
      </c>
      <c r="M295" s="350">
        <v>34</v>
      </c>
    </row>
    <row r="296" spans="2:13" x14ac:dyDescent="0.35">
      <c r="B296" s="351" t="s">
        <v>798</v>
      </c>
      <c r="C296" s="351" t="s">
        <v>78</v>
      </c>
      <c r="F296" s="351" t="s">
        <v>646</v>
      </c>
      <c r="G296" s="351" t="s">
        <v>647</v>
      </c>
      <c r="H296" s="351">
        <v>17</v>
      </c>
      <c r="I296" s="351">
        <v>8</v>
      </c>
      <c r="J296" s="351">
        <v>25</v>
      </c>
      <c r="K296" s="350">
        <v>24</v>
      </c>
      <c r="L296" s="350">
        <v>7</v>
      </c>
      <c r="M296" s="350">
        <v>31</v>
      </c>
    </row>
    <row r="297" spans="2:13" x14ac:dyDescent="0.35">
      <c r="B297" s="351" t="s">
        <v>665</v>
      </c>
      <c r="C297" s="351" t="s">
        <v>83</v>
      </c>
      <c r="F297" s="351" t="s">
        <v>648</v>
      </c>
      <c r="G297" s="351" t="s">
        <v>649</v>
      </c>
      <c r="H297" s="351">
        <v>26</v>
      </c>
      <c r="I297" s="351">
        <v>2</v>
      </c>
      <c r="J297" s="351">
        <v>28</v>
      </c>
      <c r="K297" s="350">
        <v>25</v>
      </c>
      <c r="L297" s="350">
        <v>10</v>
      </c>
      <c r="M297" s="350">
        <v>35</v>
      </c>
    </row>
    <row r="298" spans="2:13" x14ac:dyDescent="0.35">
      <c r="B298" s="351" t="s">
        <v>667</v>
      </c>
      <c r="C298" s="351" t="s">
        <v>79</v>
      </c>
      <c r="F298" s="351" t="s">
        <v>650</v>
      </c>
      <c r="G298" s="351" t="s">
        <v>651</v>
      </c>
      <c r="H298" s="351">
        <v>17</v>
      </c>
      <c r="I298" s="351">
        <v>6</v>
      </c>
      <c r="J298" s="351">
        <v>23</v>
      </c>
      <c r="K298" s="350">
        <v>24</v>
      </c>
      <c r="L298" s="350">
        <v>8</v>
      </c>
      <c r="M298" s="350">
        <v>32</v>
      </c>
    </row>
    <row r="299" spans="2:13" x14ac:dyDescent="0.35">
      <c r="B299" s="351" t="s">
        <v>669</v>
      </c>
      <c r="C299" s="351" t="s">
        <v>80</v>
      </c>
      <c r="F299" s="351" t="s">
        <v>652</v>
      </c>
      <c r="G299" s="351" t="s">
        <v>653</v>
      </c>
      <c r="H299" s="351">
        <v>19</v>
      </c>
      <c r="I299" s="351">
        <v>4</v>
      </c>
      <c r="J299" s="351">
        <v>23</v>
      </c>
      <c r="K299" s="350">
        <v>22</v>
      </c>
      <c r="L299" s="350">
        <v>7</v>
      </c>
      <c r="M299" s="350">
        <v>29</v>
      </c>
    </row>
    <row r="300" spans="2:13" x14ac:dyDescent="0.35">
      <c r="B300" s="351" t="s">
        <v>671</v>
      </c>
      <c r="C300" s="351" t="s">
        <v>82</v>
      </c>
      <c r="F300" s="351" t="s">
        <v>654</v>
      </c>
      <c r="G300" s="351" t="s">
        <v>655</v>
      </c>
      <c r="H300" s="351">
        <v>24</v>
      </c>
      <c r="I300" s="351">
        <v>7</v>
      </c>
      <c r="J300" s="351">
        <v>31</v>
      </c>
      <c r="K300" s="350">
        <v>26</v>
      </c>
      <c r="L300" s="350">
        <v>4</v>
      </c>
      <c r="M300" s="350">
        <v>30</v>
      </c>
    </row>
    <row r="301" spans="2:13" x14ac:dyDescent="0.35">
      <c r="B301" s="351" t="s">
        <v>673</v>
      </c>
      <c r="C301" s="351" t="s">
        <v>84</v>
      </c>
      <c r="F301" s="351" t="s">
        <v>656</v>
      </c>
      <c r="G301" s="351" t="s">
        <v>657</v>
      </c>
      <c r="H301" s="351">
        <v>29</v>
      </c>
      <c r="I301" s="351">
        <v>3</v>
      </c>
      <c r="J301" s="351">
        <v>32</v>
      </c>
      <c r="K301" s="350">
        <v>33</v>
      </c>
      <c r="L301" s="350">
        <v>4</v>
      </c>
      <c r="M301" s="350">
        <v>37</v>
      </c>
    </row>
    <row r="302" spans="2:13" x14ac:dyDescent="0.35">
      <c r="B302" s="351" t="s">
        <v>675</v>
      </c>
      <c r="C302" s="351" t="s">
        <v>83</v>
      </c>
      <c r="F302" s="351" t="s">
        <v>658</v>
      </c>
      <c r="G302" s="351" t="s">
        <v>659</v>
      </c>
      <c r="H302" s="351">
        <v>14</v>
      </c>
      <c r="I302" s="351">
        <v>6</v>
      </c>
      <c r="J302" s="351">
        <v>20</v>
      </c>
      <c r="K302" s="350">
        <v>14</v>
      </c>
      <c r="L302" s="350">
        <v>7</v>
      </c>
      <c r="M302" s="350">
        <v>21</v>
      </c>
    </row>
    <row r="303" spans="2:13" x14ac:dyDescent="0.35">
      <c r="B303" s="351" t="s">
        <v>677</v>
      </c>
      <c r="C303" s="351" t="s">
        <v>83</v>
      </c>
      <c r="F303" s="351" t="s">
        <v>660</v>
      </c>
      <c r="G303" s="351" t="s">
        <v>661</v>
      </c>
      <c r="H303" s="351">
        <v>24</v>
      </c>
      <c r="I303" s="351">
        <v>6</v>
      </c>
      <c r="J303" s="351">
        <v>30</v>
      </c>
      <c r="K303" s="350">
        <v>24</v>
      </c>
      <c r="L303" s="350">
        <v>9</v>
      </c>
      <c r="M303" s="350">
        <v>33</v>
      </c>
    </row>
    <row r="304" spans="2:13" x14ac:dyDescent="0.35">
      <c r="B304" s="351" t="s">
        <v>679</v>
      </c>
      <c r="C304" s="351" t="s">
        <v>82</v>
      </c>
      <c r="F304" s="351" t="s">
        <v>662</v>
      </c>
      <c r="G304" s="351" t="s">
        <v>663</v>
      </c>
      <c r="H304" s="351">
        <v>15</v>
      </c>
      <c r="I304" s="351">
        <v>4</v>
      </c>
      <c r="J304" s="351">
        <v>19</v>
      </c>
      <c r="K304" s="350">
        <v>15</v>
      </c>
      <c r="L304" s="350">
        <v>4</v>
      </c>
      <c r="M304" s="350">
        <v>19</v>
      </c>
    </row>
    <row r="305" spans="2:13" x14ac:dyDescent="0.35">
      <c r="B305" s="351" t="s">
        <v>681</v>
      </c>
      <c r="C305" s="351" t="s">
        <v>83</v>
      </c>
      <c r="F305" s="351" t="s">
        <v>800</v>
      </c>
      <c r="G305" s="351" t="s">
        <v>798</v>
      </c>
      <c r="H305" s="351">
        <v>41</v>
      </c>
      <c r="I305" s="351">
        <v>4</v>
      </c>
      <c r="J305" s="351">
        <v>45</v>
      </c>
      <c r="K305" s="350">
        <v>40</v>
      </c>
      <c r="L305" s="350">
        <v>7</v>
      </c>
      <c r="M305" s="350">
        <v>47</v>
      </c>
    </row>
    <row r="306" spans="2:13" x14ac:dyDescent="0.35">
      <c r="B306" s="351" t="s">
        <v>683</v>
      </c>
      <c r="C306" s="351" t="s">
        <v>83</v>
      </c>
      <c r="F306" s="351" t="s">
        <v>664</v>
      </c>
      <c r="G306" s="351" t="s">
        <v>665</v>
      </c>
      <c r="H306" s="351">
        <v>16</v>
      </c>
      <c r="I306" s="351">
        <v>2</v>
      </c>
      <c r="J306" s="351">
        <v>18</v>
      </c>
      <c r="K306" s="350">
        <v>23</v>
      </c>
      <c r="L306" s="350">
        <v>2</v>
      </c>
      <c r="M306" s="350">
        <v>25</v>
      </c>
    </row>
    <row r="307" spans="2:13" x14ac:dyDescent="0.35">
      <c r="B307" s="351" t="s">
        <v>685</v>
      </c>
      <c r="C307" s="351" t="s">
        <v>85</v>
      </c>
      <c r="F307" s="351" t="s">
        <v>666</v>
      </c>
      <c r="G307" s="351" t="s">
        <v>667</v>
      </c>
      <c r="H307" s="351">
        <v>0</v>
      </c>
      <c r="I307" s="351">
        <v>0</v>
      </c>
      <c r="J307" s="351">
        <v>0</v>
      </c>
      <c r="K307" s="350">
        <v>29</v>
      </c>
      <c r="L307" s="350">
        <v>5</v>
      </c>
      <c r="M307" s="350">
        <v>34</v>
      </c>
    </row>
    <row r="308" spans="2:13" x14ac:dyDescent="0.35">
      <c r="B308" s="351" t="s">
        <v>687</v>
      </c>
      <c r="C308" s="351" t="s">
        <v>85</v>
      </c>
      <c r="F308" s="351" t="s">
        <v>668</v>
      </c>
      <c r="G308" s="351" t="s">
        <v>669</v>
      </c>
      <c r="H308" s="351">
        <v>25</v>
      </c>
      <c r="I308" s="351">
        <v>18</v>
      </c>
      <c r="J308" s="351">
        <v>43</v>
      </c>
      <c r="K308" s="350">
        <v>22</v>
      </c>
      <c r="L308" s="350">
        <v>20</v>
      </c>
      <c r="M308" s="350">
        <v>42</v>
      </c>
    </row>
    <row r="309" spans="2:13" x14ac:dyDescent="0.35">
      <c r="B309" s="351" t="s">
        <v>689</v>
      </c>
      <c r="C309" s="351" t="s">
        <v>83</v>
      </c>
      <c r="F309" s="351" t="s">
        <v>670</v>
      </c>
      <c r="G309" s="351" t="s">
        <v>671</v>
      </c>
      <c r="H309" s="351">
        <v>16</v>
      </c>
      <c r="I309" s="351">
        <v>5</v>
      </c>
      <c r="J309" s="351">
        <v>21</v>
      </c>
      <c r="K309" s="350">
        <v>20</v>
      </c>
      <c r="L309" s="350">
        <v>9</v>
      </c>
      <c r="M309" s="350">
        <v>29</v>
      </c>
    </row>
    <row r="310" spans="2:13" x14ac:dyDescent="0.35">
      <c r="B310" s="351" t="s">
        <v>691</v>
      </c>
      <c r="C310" s="351" t="s">
        <v>85</v>
      </c>
      <c r="F310" s="351" t="s">
        <v>672</v>
      </c>
      <c r="G310" s="351" t="s">
        <v>673</v>
      </c>
      <c r="H310" s="351">
        <v>44</v>
      </c>
      <c r="I310" s="351">
        <v>15</v>
      </c>
      <c r="J310" s="351">
        <v>59</v>
      </c>
      <c r="K310" s="350">
        <v>47</v>
      </c>
      <c r="L310" s="350">
        <v>14</v>
      </c>
      <c r="M310" s="350">
        <v>61</v>
      </c>
    </row>
    <row r="311" spans="2:13" x14ac:dyDescent="0.35">
      <c r="B311" s="351" t="s">
        <v>693</v>
      </c>
      <c r="C311" s="351" t="s">
        <v>82</v>
      </c>
      <c r="F311" s="351" t="s">
        <v>674</v>
      </c>
      <c r="G311" s="351" t="s">
        <v>675</v>
      </c>
      <c r="H311" s="351">
        <v>21</v>
      </c>
      <c r="I311" s="351">
        <v>8</v>
      </c>
      <c r="J311" s="351">
        <v>29</v>
      </c>
      <c r="K311" s="350">
        <v>25</v>
      </c>
      <c r="L311" s="350">
        <v>7</v>
      </c>
      <c r="M311" s="350">
        <v>32</v>
      </c>
    </row>
    <row r="312" spans="2:13" x14ac:dyDescent="0.35">
      <c r="B312" s="351" t="s">
        <v>695</v>
      </c>
      <c r="C312" s="351" t="s">
        <v>85</v>
      </c>
      <c r="F312" s="351" t="s">
        <v>676</v>
      </c>
      <c r="G312" s="351" t="s">
        <v>677</v>
      </c>
      <c r="H312" s="351">
        <v>21</v>
      </c>
      <c r="I312" s="351">
        <v>3</v>
      </c>
      <c r="J312" s="351">
        <v>24</v>
      </c>
      <c r="K312" s="350">
        <v>19</v>
      </c>
      <c r="L312" s="350">
        <v>4</v>
      </c>
      <c r="M312" s="350">
        <v>23</v>
      </c>
    </row>
    <row r="313" spans="2:13" x14ac:dyDescent="0.35">
      <c r="B313" s="351" t="s">
        <v>697</v>
      </c>
      <c r="C313" s="351" t="s">
        <v>788</v>
      </c>
      <c r="F313" s="351" t="s">
        <v>678</v>
      </c>
      <c r="G313" s="351" t="s">
        <v>679</v>
      </c>
      <c r="H313" s="351">
        <v>18</v>
      </c>
      <c r="I313" s="351">
        <v>14</v>
      </c>
      <c r="J313" s="351">
        <v>32</v>
      </c>
      <c r="K313" s="350">
        <v>20</v>
      </c>
      <c r="L313" s="350">
        <v>15</v>
      </c>
      <c r="M313" s="350">
        <v>35</v>
      </c>
    </row>
    <row r="314" spans="2:13" x14ac:dyDescent="0.35">
      <c r="B314" s="144"/>
      <c r="C314" s="144"/>
      <c r="F314" s="351" t="s">
        <v>680</v>
      </c>
      <c r="G314" s="351" t="s">
        <v>681</v>
      </c>
      <c r="H314" s="351">
        <v>24</v>
      </c>
      <c r="I314" s="351">
        <v>4</v>
      </c>
      <c r="J314" s="351">
        <v>28</v>
      </c>
      <c r="K314" s="350">
        <v>23</v>
      </c>
      <c r="L314" s="350">
        <v>7</v>
      </c>
      <c r="M314" s="350">
        <v>30</v>
      </c>
    </row>
    <row r="315" spans="2:13" x14ac:dyDescent="0.35">
      <c r="B315" s="144"/>
      <c r="C315" s="144"/>
      <c r="F315" s="351" t="s">
        <v>682</v>
      </c>
      <c r="G315" s="351" t="s">
        <v>683</v>
      </c>
      <c r="H315" s="351">
        <v>24</v>
      </c>
      <c r="I315" s="351">
        <v>3</v>
      </c>
      <c r="J315" s="351">
        <v>27</v>
      </c>
      <c r="K315" s="350">
        <v>26</v>
      </c>
      <c r="L315" s="350">
        <v>6</v>
      </c>
      <c r="M315" s="350">
        <v>32</v>
      </c>
    </row>
    <row r="316" spans="2:13" x14ac:dyDescent="0.35">
      <c r="B316" s="144"/>
      <c r="C316" s="144"/>
      <c r="F316" s="351" t="s">
        <v>684</v>
      </c>
      <c r="G316" s="351" t="s">
        <v>685</v>
      </c>
      <c r="H316" s="351">
        <v>18</v>
      </c>
      <c r="I316" s="351">
        <v>7</v>
      </c>
      <c r="J316" s="351">
        <v>25</v>
      </c>
      <c r="K316" s="350">
        <v>22</v>
      </c>
      <c r="L316" s="350">
        <v>11</v>
      </c>
      <c r="M316" s="350">
        <v>33</v>
      </c>
    </row>
    <row r="317" spans="2:13" x14ac:dyDescent="0.35">
      <c r="B317" s="144"/>
      <c r="C317" s="144"/>
      <c r="F317" s="351" t="s">
        <v>686</v>
      </c>
      <c r="G317" s="351" t="s">
        <v>687</v>
      </c>
      <c r="H317" s="351">
        <v>21</v>
      </c>
      <c r="I317" s="351">
        <v>7</v>
      </c>
      <c r="J317" s="351">
        <v>28</v>
      </c>
      <c r="K317" s="350">
        <v>23</v>
      </c>
      <c r="L317" s="350">
        <v>12</v>
      </c>
      <c r="M317" s="350">
        <v>35</v>
      </c>
    </row>
    <row r="318" spans="2:13" x14ac:dyDescent="0.35">
      <c r="B318" s="144"/>
      <c r="C318" s="144"/>
      <c r="F318" s="351" t="s">
        <v>688</v>
      </c>
      <c r="G318" s="351" t="s">
        <v>689</v>
      </c>
      <c r="H318" s="351">
        <v>17</v>
      </c>
      <c r="I318" s="351">
        <v>7</v>
      </c>
      <c r="J318" s="351">
        <v>24</v>
      </c>
      <c r="K318" s="350">
        <v>15</v>
      </c>
      <c r="L318" s="350">
        <v>8</v>
      </c>
      <c r="M318" s="350">
        <v>23</v>
      </c>
    </row>
    <row r="319" spans="2:13" x14ac:dyDescent="0.35">
      <c r="B319" s="144"/>
      <c r="C319" s="144"/>
      <c r="F319" s="351" t="s">
        <v>690</v>
      </c>
      <c r="G319" s="351" t="s">
        <v>691</v>
      </c>
      <c r="H319" s="351">
        <v>17</v>
      </c>
      <c r="I319" s="351">
        <v>2</v>
      </c>
      <c r="J319" s="351">
        <v>19</v>
      </c>
      <c r="K319" s="350">
        <v>19</v>
      </c>
      <c r="L319" s="350">
        <v>4</v>
      </c>
      <c r="M319" s="350">
        <v>23</v>
      </c>
    </row>
    <row r="320" spans="2:13" x14ac:dyDescent="0.35">
      <c r="B320" s="144"/>
      <c r="C320" s="144"/>
      <c r="F320" s="351" t="s">
        <v>692</v>
      </c>
      <c r="G320" s="351" t="s">
        <v>693</v>
      </c>
      <c r="H320" s="351">
        <v>12</v>
      </c>
      <c r="I320" s="351">
        <v>6</v>
      </c>
      <c r="J320" s="351">
        <v>18</v>
      </c>
      <c r="K320" s="350">
        <v>18</v>
      </c>
      <c r="L320" s="350">
        <v>12</v>
      </c>
      <c r="M320" s="350">
        <v>30</v>
      </c>
    </row>
    <row r="321" spans="2:13" x14ac:dyDescent="0.35">
      <c r="B321" s="144"/>
      <c r="C321" s="144"/>
      <c r="F321" s="351" t="s">
        <v>694</v>
      </c>
      <c r="G321" s="351" t="s">
        <v>695</v>
      </c>
      <c r="H321" s="351">
        <v>16</v>
      </c>
      <c r="I321" s="351">
        <v>1</v>
      </c>
      <c r="J321" s="351">
        <v>17</v>
      </c>
      <c r="K321" s="350">
        <v>12</v>
      </c>
      <c r="L321" s="350">
        <v>4</v>
      </c>
      <c r="M321" s="350">
        <v>16</v>
      </c>
    </row>
    <row r="322" spans="2:13" x14ac:dyDescent="0.35">
      <c r="F322" s="351" t="s">
        <v>696</v>
      </c>
      <c r="G322" s="351" t="s">
        <v>697</v>
      </c>
      <c r="H322" s="351">
        <v>16</v>
      </c>
      <c r="I322" s="351">
        <v>8</v>
      </c>
      <c r="J322" s="351">
        <v>24</v>
      </c>
      <c r="K322" s="350">
        <v>22</v>
      </c>
      <c r="L322" s="350">
        <v>7</v>
      </c>
      <c r="M322" s="350">
        <v>29</v>
      </c>
    </row>
    <row r="323" spans="2:13" x14ac:dyDescent="0.35">
      <c r="F323" s="395"/>
      <c r="G323" s="395"/>
    </row>
  </sheetData>
  <mergeCells count="1">
    <mergeCell ref="F2:M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3719E-7B7E-48AC-AFA9-21DDFD251A0D}">
  <sheetPr codeName="Sheet13">
    <tabColor rgb="FFEDEBF5"/>
    <pageSetUpPr fitToPage="1"/>
  </sheetPr>
  <dimension ref="B2:F55"/>
  <sheetViews>
    <sheetView workbookViewId="0"/>
  </sheetViews>
  <sheetFormatPr defaultColWidth="9.1796875" defaultRowHeight="14" x14ac:dyDescent="0.3"/>
  <cols>
    <col min="1" max="1" width="2.1796875" style="310" customWidth="1"/>
    <col min="2" max="16384" width="9.1796875" style="310"/>
  </cols>
  <sheetData>
    <row r="2" spans="2:2" ht="28" x14ac:dyDescent="0.6">
      <c r="B2" s="305" t="s">
        <v>785</v>
      </c>
    </row>
    <row r="4" spans="2:2" x14ac:dyDescent="0.3">
      <c r="B4" s="311" t="s">
        <v>795</v>
      </c>
    </row>
    <row r="5" spans="2:2" x14ac:dyDescent="0.3">
      <c r="B5" s="311"/>
    </row>
    <row r="6" spans="2:2" x14ac:dyDescent="0.3">
      <c r="B6" s="311"/>
    </row>
    <row r="7" spans="2:2" x14ac:dyDescent="0.3">
      <c r="B7" s="311"/>
    </row>
    <row r="8" spans="2:2" x14ac:dyDescent="0.3">
      <c r="B8" s="311"/>
    </row>
    <row r="9" spans="2:2" x14ac:dyDescent="0.3">
      <c r="B9" s="311"/>
    </row>
    <row r="10" spans="2:2" x14ac:dyDescent="0.3">
      <c r="B10" s="311"/>
    </row>
    <row r="11" spans="2:2" x14ac:dyDescent="0.3">
      <c r="B11" s="311"/>
    </row>
    <row r="12" spans="2:2" ht="15.5" x14ac:dyDescent="0.35">
      <c r="B12" s="306" t="s">
        <v>767</v>
      </c>
    </row>
    <row r="14" spans="2:2" x14ac:dyDescent="0.3">
      <c r="B14" s="315" t="s">
        <v>771</v>
      </c>
    </row>
    <row r="25" spans="2:2" ht="15.5" x14ac:dyDescent="0.35">
      <c r="B25" s="306" t="s">
        <v>768</v>
      </c>
    </row>
    <row r="27" spans="2:2" x14ac:dyDescent="0.3">
      <c r="B27" s="315" t="s">
        <v>772</v>
      </c>
    </row>
    <row r="35" spans="2:2" x14ac:dyDescent="0.3">
      <c r="B35" s="315" t="s">
        <v>773</v>
      </c>
    </row>
    <row r="46" spans="2:2" x14ac:dyDescent="0.3">
      <c r="B46" s="311" t="s">
        <v>774</v>
      </c>
    </row>
    <row r="47" spans="2:2" x14ac:dyDescent="0.3">
      <c r="B47" s="311"/>
    </row>
    <row r="48" spans="2:2" x14ac:dyDescent="0.3">
      <c r="B48" s="311"/>
    </row>
    <row r="49" spans="2:6" x14ac:dyDescent="0.3">
      <c r="B49" s="311"/>
    </row>
    <row r="50" spans="2:6" x14ac:dyDescent="0.3">
      <c r="B50" s="311"/>
    </row>
    <row r="51" spans="2:6" x14ac:dyDescent="0.3">
      <c r="B51" s="311"/>
    </row>
    <row r="52" spans="2:6" x14ac:dyDescent="0.3">
      <c r="B52" s="311"/>
    </row>
    <row r="53" spans="2:6" x14ac:dyDescent="0.3">
      <c r="B53" s="311"/>
    </row>
    <row r="54" spans="2:6" x14ac:dyDescent="0.3">
      <c r="B54" s="437" t="s">
        <v>816</v>
      </c>
      <c r="C54" s="437"/>
      <c r="D54" s="437"/>
      <c r="E54" s="437"/>
      <c r="F54" s="437"/>
    </row>
    <row r="55" spans="2:6" x14ac:dyDescent="0.3">
      <c r="B55" s="438"/>
      <c r="C55" s="438"/>
      <c r="D55" s="438"/>
      <c r="E55" s="438"/>
    </row>
  </sheetData>
  <sheetProtection algorithmName="SHA-512" hashValue="eTpYkT2nrA4m64GlKXdIqUmWHpHJjrrCJz9voUPietfydpke8AWPhpo2TxDfzvNKcAqHoNeBcYOPzqlIK4IZAA==" saltValue="DOzayEeDmWRw8JCq+XXF7g==" spinCount="100000" sheet="1" objects="1" scenarios="1"/>
  <mergeCells count="2">
    <mergeCell ref="B54:F54"/>
    <mergeCell ref="B55:E55"/>
  </mergeCells>
  <hyperlinks>
    <hyperlink ref="B54" location="'LA Lookup results 2015-20'!A1" display="Return to sheet &quot;LA Lookup results 2015-20&quot;" xr:uid="{436A82AF-06F9-448F-93F1-166230B51C96}"/>
    <hyperlink ref="B54:F54" location="'PRP LA trend tool 2015-23'!F3" display="Return to sheet &quot;PRP LA trend tool 2015-22&quot;" xr:uid="{E065EC9B-DE38-484C-A2B9-9F8840B1CC7D}"/>
  </hyperlinks>
  <pageMargins left="0.70866141732283472" right="0.70866141732283472" top="0.74803149606299213" bottom="0.74803149606299213" header="0.31496062992125984" footer="0.31496062992125984"/>
  <pageSetup paperSize="9" scale="62" orientation="portrait" r:id="rId1"/>
  <headerFooter>
    <oddFooter>&amp;C&amp;1#&amp;"Calibri"&amp;12&amp;K0078D7OFFICIAL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36828-BBAA-404F-A617-5DDAC6C2B884}">
  <sheetPr codeName="Sheet2">
    <tabColor rgb="FFFFFF00"/>
  </sheetPr>
  <dimension ref="A1:AG322"/>
  <sheetViews>
    <sheetView zoomScale="80" zoomScaleNormal="80" workbookViewId="0">
      <selection sqref="A1:XFD1048576"/>
    </sheetView>
  </sheetViews>
  <sheetFormatPr defaultColWidth="9.1796875" defaultRowHeight="12.5" x14ac:dyDescent="0.25"/>
  <cols>
    <col min="1" max="8" width="9.1796875" style="145"/>
    <col min="9" max="10" width="10.453125" style="145" customWidth="1"/>
    <col min="11" max="11" width="10.453125" style="145" bestFit="1" customWidth="1"/>
    <col min="12" max="16384" width="9.1796875" style="145"/>
  </cols>
  <sheetData>
    <row r="1" spans="1:33" s="144" customFormat="1" ht="13" x14ac:dyDescent="0.3">
      <c r="A1" s="134"/>
      <c r="B1" s="134"/>
      <c r="C1" s="135" t="s">
        <v>38</v>
      </c>
      <c r="D1" s="135" t="s">
        <v>38</v>
      </c>
      <c r="E1" s="135" t="s">
        <v>38</v>
      </c>
      <c r="F1" s="135" t="s">
        <v>38</v>
      </c>
      <c r="G1" s="135" t="s">
        <v>38</v>
      </c>
      <c r="H1" s="135" t="s">
        <v>38</v>
      </c>
      <c r="I1" s="136" t="s">
        <v>39</v>
      </c>
      <c r="J1" s="136" t="s">
        <v>39</v>
      </c>
      <c r="K1" s="137" t="s">
        <v>40</v>
      </c>
      <c r="L1" s="137" t="s">
        <v>40</v>
      </c>
      <c r="M1" s="137" t="s">
        <v>40</v>
      </c>
      <c r="N1" s="138" t="s">
        <v>40</v>
      </c>
      <c r="O1" s="137" t="s">
        <v>40</v>
      </c>
      <c r="P1" s="139" t="s">
        <v>41</v>
      </c>
      <c r="Q1" s="139" t="s">
        <v>41</v>
      </c>
      <c r="R1" s="139" t="s">
        <v>41</v>
      </c>
      <c r="S1" s="139" t="s">
        <v>41</v>
      </c>
      <c r="T1" s="139" t="s">
        <v>41</v>
      </c>
      <c r="U1" s="140" t="s">
        <v>42</v>
      </c>
      <c r="V1" s="140" t="s">
        <v>42</v>
      </c>
      <c r="W1" s="141" t="s">
        <v>43</v>
      </c>
      <c r="X1" s="141" t="s">
        <v>43</v>
      </c>
      <c r="Y1" s="142" t="s">
        <v>44</v>
      </c>
      <c r="Z1" s="142" t="s">
        <v>44</v>
      </c>
      <c r="AA1" s="142" t="s">
        <v>44</v>
      </c>
      <c r="AB1" s="142" t="s">
        <v>44</v>
      </c>
      <c r="AC1" s="142" t="s">
        <v>44</v>
      </c>
      <c r="AD1" s="143" t="s">
        <v>45</v>
      </c>
      <c r="AE1" s="143" t="s">
        <v>45</v>
      </c>
      <c r="AF1" s="143" t="s">
        <v>45</v>
      </c>
      <c r="AG1" s="143" t="s">
        <v>45</v>
      </c>
    </row>
    <row r="2" spans="1:33" x14ac:dyDescent="0.25">
      <c r="B2" s="146">
        <v>1</v>
      </c>
      <c r="C2" s="146">
        <v>2</v>
      </c>
      <c r="D2" s="146">
        <v>3</v>
      </c>
      <c r="E2" s="146">
        <v>4</v>
      </c>
      <c r="F2" s="146">
        <v>5</v>
      </c>
      <c r="G2" s="146">
        <v>6</v>
      </c>
      <c r="H2" s="146">
        <v>7</v>
      </c>
      <c r="I2" s="146">
        <v>8</v>
      </c>
      <c r="J2" s="146">
        <v>9</v>
      </c>
      <c r="K2" s="146">
        <v>10</v>
      </c>
      <c r="L2" s="146">
        <v>11</v>
      </c>
      <c r="M2" s="146">
        <v>12</v>
      </c>
      <c r="N2" s="146">
        <v>13</v>
      </c>
      <c r="O2" s="146">
        <v>14</v>
      </c>
      <c r="P2" s="146">
        <v>15</v>
      </c>
      <c r="Q2" s="146">
        <v>16</v>
      </c>
      <c r="R2" s="146">
        <v>17</v>
      </c>
      <c r="S2" s="146">
        <v>18</v>
      </c>
      <c r="T2" s="146">
        <v>19</v>
      </c>
      <c r="U2" s="146">
        <v>20</v>
      </c>
      <c r="V2" s="146">
        <v>21</v>
      </c>
      <c r="W2" s="146">
        <v>22</v>
      </c>
      <c r="X2" s="146">
        <v>23</v>
      </c>
      <c r="Y2" s="146">
        <v>24</v>
      </c>
      <c r="Z2" s="146">
        <v>25</v>
      </c>
      <c r="AA2" s="146">
        <v>26</v>
      </c>
      <c r="AB2" s="146">
        <v>27</v>
      </c>
      <c r="AC2" s="146">
        <v>28</v>
      </c>
      <c r="AD2" s="146">
        <v>29</v>
      </c>
      <c r="AE2" s="146">
        <v>30</v>
      </c>
      <c r="AF2" s="146">
        <v>31</v>
      </c>
      <c r="AG2" s="146">
        <v>32</v>
      </c>
    </row>
    <row r="3" spans="1:33" ht="87.5" x14ac:dyDescent="0.25">
      <c r="A3" s="145" t="s">
        <v>46</v>
      </c>
      <c r="B3" s="145" t="s">
        <v>47</v>
      </c>
      <c r="C3" s="147" t="s">
        <v>48</v>
      </c>
      <c r="D3" s="147" t="s">
        <v>49</v>
      </c>
      <c r="E3" s="147" t="s">
        <v>50</v>
      </c>
      <c r="F3" s="147" t="s">
        <v>51</v>
      </c>
      <c r="G3" s="147" t="s">
        <v>52</v>
      </c>
      <c r="H3" s="147" t="s">
        <v>53</v>
      </c>
      <c r="I3" s="148" t="s">
        <v>54</v>
      </c>
      <c r="J3" s="148" t="s">
        <v>55</v>
      </c>
      <c r="K3" s="149" t="s">
        <v>56</v>
      </c>
      <c r="L3" s="149" t="s">
        <v>57</v>
      </c>
      <c r="M3" s="149" t="s">
        <v>58</v>
      </c>
      <c r="N3" s="150" t="s">
        <v>59</v>
      </c>
      <c r="O3" s="149" t="s">
        <v>60</v>
      </c>
      <c r="P3" s="151" t="s">
        <v>61</v>
      </c>
      <c r="Q3" s="151" t="s">
        <v>62</v>
      </c>
      <c r="R3" s="151" t="s">
        <v>58</v>
      </c>
      <c r="S3" s="151" t="s">
        <v>63</v>
      </c>
      <c r="T3" s="151" t="s">
        <v>64</v>
      </c>
      <c r="U3" s="152" t="s">
        <v>65</v>
      </c>
      <c r="V3" s="152" t="s">
        <v>66</v>
      </c>
      <c r="W3" s="153" t="s">
        <v>67</v>
      </c>
      <c r="X3" s="153" t="s">
        <v>68</v>
      </c>
      <c r="Y3" s="154" t="s">
        <v>69</v>
      </c>
      <c r="Z3" s="154" t="s">
        <v>70</v>
      </c>
      <c r="AA3" s="154" t="s">
        <v>71</v>
      </c>
      <c r="AB3" s="154" t="s">
        <v>72</v>
      </c>
      <c r="AC3" s="154" t="s">
        <v>73</v>
      </c>
      <c r="AD3" s="155" t="s">
        <v>74</v>
      </c>
      <c r="AE3" s="155" t="s">
        <v>75</v>
      </c>
      <c r="AF3" s="155" t="s">
        <v>76</v>
      </c>
      <c r="AG3" s="155" t="s">
        <v>77</v>
      </c>
    </row>
    <row r="4" spans="1:33" x14ac:dyDescent="0.25">
      <c r="A4" s="329" t="s">
        <v>13</v>
      </c>
      <c r="B4" s="329" t="s">
        <v>13</v>
      </c>
      <c r="C4" s="330">
        <v>2027038</v>
      </c>
      <c r="D4" s="330">
        <v>8596</v>
      </c>
      <c r="E4" s="330">
        <v>116082</v>
      </c>
      <c r="F4" s="330">
        <v>300267</v>
      </c>
      <c r="G4" s="330">
        <v>156784</v>
      </c>
      <c r="H4" s="331">
        <v>2608767</v>
      </c>
      <c r="I4" s="330">
        <v>2451983</v>
      </c>
      <c r="J4" s="330">
        <v>16474</v>
      </c>
      <c r="K4" s="332">
        <v>95.88</v>
      </c>
      <c r="L4" s="332">
        <v>96.85</v>
      </c>
      <c r="M4" s="332">
        <v>6.02</v>
      </c>
      <c r="N4" s="332">
        <v>99.33</v>
      </c>
      <c r="O4" s="333">
        <v>1824788</v>
      </c>
      <c r="P4" s="330">
        <v>87.71</v>
      </c>
      <c r="Q4" s="330">
        <v>85.34</v>
      </c>
      <c r="R4" s="330">
        <v>31.28</v>
      </c>
      <c r="S4" s="330">
        <v>115.98</v>
      </c>
      <c r="T4" s="330">
        <v>361210</v>
      </c>
      <c r="U4" s="330">
        <v>124.34</v>
      </c>
      <c r="V4" s="330">
        <v>117288</v>
      </c>
      <c r="W4" s="330">
        <v>146.38999999999999</v>
      </c>
      <c r="X4" s="330">
        <v>5976</v>
      </c>
      <c r="Y4" s="330">
        <v>4098</v>
      </c>
      <c r="Z4" s="330">
        <v>5162</v>
      </c>
      <c r="AA4" s="330">
        <v>2803</v>
      </c>
      <c r="AB4" s="330">
        <v>7734</v>
      </c>
      <c r="AC4" s="330">
        <v>4862</v>
      </c>
      <c r="AD4" s="334">
        <v>1967526</v>
      </c>
      <c r="AE4" s="330">
        <v>15068</v>
      </c>
      <c r="AF4" s="330">
        <v>12347</v>
      </c>
      <c r="AG4" s="330">
        <v>27415</v>
      </c>
    </row>
    <row r="5" spans="1:33" x14ac:dyDescent="0.25">
      <c r="A5" s="335" t="s">
        <v>78</v>
      </c>
      <c r="B5" s="335" t="s">
        <v>78</v>
      </c>
      <c r="C5" s="331">
        <v>103532</v>
      </c>
      <c r="D5" s="331">
        <v>202</v>
      </c>
      <c r="E5" s="331">
        <v>7470</v>
      </c>
      <c r="F5" s="331">
        <v>24836</v>
      </c>
      <c r="G5" s="331">
        <v>10684</v>
      </c>
      <c r="H5" s="331">
        <v>146724</v>
      </c>
      <c r="I5" s="330">
        <v>136040</v>
      </c>
      <c r="J5" s="330">
        <v>553</v>
      </c>
      <c r="K5" s="332">
        <v>87.91</v>
      </c>
      <c r="L5" s="332">
        <v>88.33</v>
      </c>
      <c r="M5" s="332">
        <v>4.51</v>
      </c>
      <c r="N5" s="332">
        <v>90.58</v>
      </c>
      <c r="O5" s="333">
        <v>95037</v>
      </c>
      <c r="P5" s="330">
        <v>83.9</v>
      </c>
      <c r="Q5" s="330">
        <v>80.900000000000006</v>
      </c>
      <c r="R5" s="330">
        <v>26.57</v>
      </c>
      <c r="S5" s="330">
        <v>106.95</v>
      </c>
      <c r="T5" s="330">
        <v>28863</v>
      </c>
      <c r="U5" s="330">
        <v>104.47</v>
      </c>
      <c r="V5" s="330">
        <v>4186</v>
      </c>
      <c r="W5" s="330">
        <v>131.38</v>
      </c>
      <c r="X5" s="330">
        <v>311</v>
      </c>
      <c r="Y5" s="330">
        <v>42</v>
      </c>
      <c r="Z5" s="330">
        <v>255</v>
      </c>
      <c r="AA5" s="330">
        <v>186</v>
      </c>
      <c r="AB5" s="330">
        <v>557</v>
      </c>
      <c r="AC5" s="330">
        <v>320</v>
      </c>
      <c r="AD5" s="334">
        <v>100833</v>
      </c>
      <c r="AE5" s="330">
        <v>781</v>
      </c>
      <c r="AF5" s="330">
        <v>560</v>
      </c>
      <c r="AG5" s="330">
        <v>1341</v>
      </c>
    </row>
    <row r="6" spans="1:33" x14ac:dyDescent="0.25">
      <c r="A6" s="335" t="s">
        <v>79</v>
      </c>
      <c r="B6" s="335" t="s">
        <v>79</v>
      </c>
      <c r="C6" s="331">
        <v>203432</v>
      </c>
      <c r="D6" s="331">
        <v>774</v>
      </c>
      <c r="E6" s="331">
        <v>12673</v>
      </c>
      <c r="F6" s="331">
        <v>30621</v>
      </c>
      <c r="G6" s="331">
        <v>17383</v>
      </c>
      <c r="H6" s="331">
        <v>264883</v>
      </c>
      <c r="I6" s="330">
        <v>247500</v>
      </c>
      <c r="J6" s="330">
        <v>642</v>
      </c>
      <c r="K6" s="332">
        <v>100.22</v>
      </c>
      <c r="L6" s="332">
        <v>101.02</v>
      </c>
      <c r="M6" s="332">
        <v>5.0599999999999996</v>
      </c>
      <c r="N6" s="332">
        <v>102.68</v>
      </c>
      <c r="O6" s="333">
        <v>185091</v>
      </c>
      <c r="P6" s="330">
        <v>88.69</v>
      </c>
      <c r="Q6" s="330">
        <v>86.74</v>
      </c>
      <c r="R6" s="330">
        <v>30.72</v>
      </c>
      <c r="S6" s="330">
        <v>116.37</v>
      </c>
      <c r="T6" s="330">
        <v>37112</v>
      </c>
      <c r="U6" s="330">
        <v>127.41</v>
      </c>
      <c r="V6" s="330">
        <v>12541</v>
      </c>
      <c r="W6" s="330">
        <v>173.76</v>
      </c>
      <c r="X6" s="330">
        <v>206</v>
      </c>
      <c r="Y6" s="330">
        <v>302</v>
      </c>
      <c r="Z6" s="330">
        <v>515</v>
      </c>
      <c r="AA6" s="330">
        <v>210</v>
      </c>
      <c r="AB6" s="330">
        <v>881</v>
      </c>
      <c r="AC6" s="330">
        <v>543</v>
      </c>
      <c r="AD6" s="334">
        <v>201484</v>
      </c>
      <c r="AE6" s="330">
        <v>1123</v>
      </c>
      <c r="AF6" s="330">
        <v>743</v>
      </c>
      <c r="AG6" s="330">
        <v>1866</v>
      </c>
    </row>
    <row r="7" spans="1:33" x14ac:dyDescent="0.25">
      <c r="A7" s="335" t="s">
        <v>80</v>
      </c>
      <c r="B7" s="335" t="s">
        <v>80</v>
      </c>
      <c r="C7" s="331">
        <v>337595</v>
      </c>
      <c r="D7" s="331">
        <v>3908</v>
      </c>
      <c r="E7" s="331">
        <v>28004</v>
      </c>
      <c r="F7" s="331">
        <v>28168</v>
      </c>
      <c r="G7" s="331">
        <v>42965</v>
      </c>
      <c r="H7" s="331">
        <v>440640</v>
      </c>
      <c r="I7" s="330">
        <v>397675</v>
      </c>
      <c r="J7" s="330">
        <v>7269</v>
      </c>
      <c r="K7" s="332">
        <v>121.37</v>
      </c>
      <c r="L7" s="332">
        <v>125.74</v>
      </c>
      <c r="M7" s="332">
        <v>10.33</v>
      </c>
      <c r="N7" s="332">
        <v>128.47999999999999</v>
      </c>
      <c r="O7" s="333">
        <v>292516</v>
      </c>
      <c r="P7" s="330">
        <v>109.81</v>
      </c>
      <c r="Q7" s="330">
        <v>109.53</v>
      </c>
      <c r="R7" s="330">
        <v>44.22</v>
      </c>
      <c r="S7" s="330">
        <v>151.03</v>
      </c>
      <c r="T7" s="330">
        <v>44560</v>
      </c>
      <c r="U7" s="330">
        <v>176.79</v>
      </c>
      <c r="V7" s="330">
        <v>16454</v>
      </c>
      <c r="W7" s="330">
        <v>198.29</v>
      </c>
      <c r="X7" s="330">
        <v>582</v>
      </c>
      <c r="Y7" s="330">
        <v>432</v>
      </c>
      <c r="Z7" s="330">
        <v>622</v>
      </c>
      <c r="AA7" s="330">
        <v>367</v>
      </c>
      <c r="AB7" s="330">
        <v>2729</v>
      </c>
      <c r="AC7" s="330">
        <v>1842</v>
      </c>
      <c r="AD7" s="334">
        <v>317692</v>
      </c>
      <c r="AE7" s="330">
        <v>1699</v>
      </c>
      <c r="AF7" s="330">
        <v>2347</v>
      </c>
      <c r="AG7" s="330">
        <v>4046</v>
      </c>
    </row>
    <row r="8" spans="1:33" x14ac:dyDescent="0.25">
      <c r="A8" s="335" t="s">
        <v>81</v>
      </c>
      <c r="B8" s="335" t="s">
        <v>81</v>
      </c>
      <c r="C8" s="331">
        <v>133500</v>
      </c>
      <c r="D8" s="331">
        <v>516</v>
      </c>
      <c r="E8" s="331">
        <v>6113</v>
      </c>
      <c r="F8" s="331">
        <v>20069</v>
      </c>
      <c r="G8" s="331">
        <v>3278</v>
      </c>
      <c r="H8" s="331">
        <v>163476</v>
      </c>
      <c r="I8" s="330">
        <v>160198</v>
      </c>
      <c r="J8" s="330">
        <v>1143</v>
      </c>
      <c r="K8" s="332">
        <v>80.45</v>
      </c>
      <c r="L8" s="332">
        <v>79.09</v>
      </c>
      <c r="M8" s="332">
        <v>6.11</v>
      </c>
      <c r="N8" s="332">
        <v>82.84</v>
      </c>
      <c r="O8" s="333">
        <v>122573</v>
      </c>
      <c r="P8" s="330">
        <v>79.900000000000006</v>
      </c>
      <c r="Q8" s="330">
        <v>73.63</v>
      </c>
      <c r="R8" s="330">
        <v>34.08</v>
      </c>
      <c r="S8" s="330">
        <v>106.51</v>
      </c>
      <c r="T8" s="330">
        <v>24130</v>
      </c>
      <c r="U8" s="330">
        <v>95.31</v>
      </c>
      <c r="V8" s="330">
        <v>8324</v>
      </c>
      <c r="W8" s="330">
        <v>124.71</v>
      </c>
      <c r="X8" s="330">
        <v>946</v>
      </c>
      <c r="Y8" s="330">
        <v>12</v>
      </c>
      <c r="Z8" s="330">
        <v>391</v>
      </c>
      <c r="AA8" s="330">
        <v>174</v>
      </c>
      <c r="AB8" s="330">
        <v>119</v>
      </c>
      <c r="AC8" s="330">
        <v>63</v>
      </c>
      <c r="AD8" s="334">
        <v>130902</v>
      </c>
      <c r="AE8" s="330">
        <v>1959</v>
      </c>
      <c r="AF8" s="330">
        <v>1185</v>
      </c>
      <c r="AG8" s="330">
        <v>3144</v>
      </c>
    </row>
    <row r="9" spans="1:33" x14ac:dyDescent="0.25">
      <c r="A9" s="335" t="s">
        <v>82</v>
      </c>
      <c r="B9" s="335" t="s">
        <v>82</v>
      </c>
      <c r="C9" s="331">
        <v>421015</v>
      </c>
      <c r="D9" s="331">
        <v>262</v>
      </c>
      <c r="E9" s="331">
        <v>18367</v>
      </c>
      <c r="F9" s="331">
        <v>60515</v>
      </c>
      <c r="G9" s="331">
        <v>12546</v>
      </c>
      <c r="H9" s="331">
        <v>512705</v>
      </c>
      <c r="I9" s="330">
        <v>500159</v>
      </c>
      <c r="J9" s="330">
        <v>3823</v>
      </c>
      <c r="K9" s="332">
        <v>83.13</v>
      </c>
      <c r="L9" s="332">
        <v>83.73</v>
      </c>
      <c r="M9" s="332">
        <v>4.63</v>
      </c>
      <c r="N9" s="332">
        <v>85.4</v>
      </c>
      <c r="O9" s="333">
        <v>383526</v>
      </c>
      <c r="P9" s="330">
        <v>80.430000000000007</v>
      </c>
      <c r="Q9" s="330">
        <v>77.290000000000006</v>
      </c>
      <c r="R9" s="330">
        <v>27.83</v>
      </c>
      <c r="S9" s="330">
        <v>105.06</v>
      </c>
      <c r="T9" s="330">
        <v>72495</v>
      </c>
      <c r="U9" s="330">
        <v>103.75</v>
      </c>
      <c r="V9" s="330">
        <v>25832</v>
      </c>
      <c r="W9" s="330">
        <v>133.34</v>
      </c>
      <c r="X9" s="330">
        <v>704</v>
      </c>
      <c r="Y9" s="330">
        <v>530</v>
      </c>
      <c r="Z9" s="330">
        <v>1561</v>
      </c>
      <c r="AA9" s="330">
        <v>535</v>
      </c>
      <c r="AB9" s="330">
        <v>478</v>
      </c>
      <c r="AC9" s="330">
        <v>210</v>
      </c>
      <c r="AD9" s="334">
        <v>410100</v>
      </c>
      <c r="AE9" s="330">
        <v>3458</v>
      </c>
      <c r="AF9" s="330">
        <v>3313</v>
      </c>
      <c r="AG9" s="330">
        <v>6771</v>
      </c>
    </row>
    <row r="10" spans="1:33" x14ac:dyDescent="0.25">
      <c r="A10" s="335" t="s">
        <v>83</v>
      </c>
      <c r="B10" s="335" t="s">
        <v>83</v>
      </c>
      <c r="C10" s="331">
        <v>277126</v>
      </c>
      <c r="D10" s="331">
        <v>1802</v>
      </c>
      <c r="E10" s="331">
        <v>14787</v>
      </c>
      <c r="F10" s="331">
        <v>41007</v>
      </c>
      <c r="G10" s="331">
        <v>34664</v>
      </c>
      <c r="H10" s="331">
        <v>369386</v>
      </c>
      <c r="I10" s="330">
        <v>334722</v>
      </c>
      <c r="J10" s="330">
        <v>1370</v>
      </c>
      <c r="K10" s="332">
        <v>108.64</v>
      </c>
      <c r="L10" s="332">
        <v>109.06</v>
      </c>
      <c r="M10" s="332">
        <v>5.15</v>
      </c>
      <c r="N10" s="332">
        <v>111.92</v>
      </c>
      <c r="O10" s="333">
        <v>245434</v>
      </c>
      <c r="P10" s="330">
        <v>93.09</v>
      </c>
      <c r="Q10" s="330">
        <v>91.58</v>
      </c>
      <c r="R10" s="330">
        <v>29.66</v>
      </c>
      <c r="S10" s="330">
        <v>120.78</v>
      </c>
      <c r="T10" s="330">
        <v>46375</v>
      </c>
      <c r="U10" s="330">
        <v>144.28</v>
      </c>
      <c r="V10" s="330">
        <v>19467</v>
      </c>
      <c r="W10" s="330">
        <v>162.1</v>
      </c>
      <c r="X10" s="330">
        <v>1034</v>
      </c>
      <c r="Y10" s="330">
        <v>1220</v>
      </c>
      <c r="Z10" s="330">
        <v>404</v>
      </c>
      <c r="AA10" s="330">
        <v>243</v>
      </c>
      <c r="AB10" s="330">
        <v>1578</v>
      </c>
      <c r="AC10" s="330">
        <v>1040</v>
      </c>
      <c r="AD10" s="334">
        <v>270526</v>
      </c>
      <c r="AE10" s="330">
        <v>1390</v>
      </c>
      <c r="AF10" s="330">
        <v>1086</v>
      </c>
      <c r="AG10" s="330">
        <v>2476</v>
      </c>
    </row>
    <row r="11" spans="1:33" x14ac:dyDescent="0.25">
      <c r="A11" s="335" t="s">
        <v>84</v>
      </c>
      <c r="B11" s="335" t="s">
        <v>84</v>
      </c>
      <c r="C11" s="331">
        <v>184140</v>
      </c>
      <c r="D11" s="331">
        <v>366</v>
      </c>
      <c r="E11" s="331">
        <v>9873</v>
      </c>
      <c r="F11" s="331">
        <v>35369</v>
      </c>
      <c r="G11" s="331">
        <v>15193</v>
      </c>
      <c r="H11" s="331">
        <v>244941</v>
      </c>
      <c r="I11" s="330">
        <v>229748</v>
      </c>
      <c r="J11" s="330">
        <v>978</v>
      </c>
      <c r="K11" s="332">
        <v>92.7</v>
      </c>
      <c r="L11" s="332">
        <v>92.25</v>
      </c>
      <c r="M11" s="332">
        <v>4.3600000000000003</v>
      </c>
      <c r="N11" s="332">
        <v>95.29</v>
      </c>
      <c r="O11" s="333">
        <v>163918</v>
      </c>
      <c r="P11" s="330">
        <v>84.4</v>
      </c>
      <c r="Q11" s="330">
        <v>82.27</v>
      </c>
      <c r="R11" s="330">
        <v>25.72</v>
      </c>
      <c r="S11" s="330">
        <v>108.76</v>
      </c>
      <c r="T11" s="330">
        <v>40073</v>
      </c>
      <c r="U11" s="330">
        <v>120.22</v>
      </c>
      <c r="V11" s="330">
        <v>11611</v>
      </c>
      <c r="W11" s="330">
        <v>142.26</v>
      </c>
      <c r="X11" s="330">
        <v>433</v>
      </c>
      <c r="Y11" s="330">
        <v>712</v>
      </c>
      <c r="Z11" s="330">
        <v>465</v>
      </c>
      <c r="AA11" s="330">
        <v>321</v>
      </c>
      <c r="AB11" s="330">
        <v>700</v>
      </c>
      <c r="AC11" s="330">
        <v>336</v>
      </c>
      <c r="AD11" s="334">
        <v>176364</v>
      </c>
      <c r="AE11" s="330">
        <v>1105</v>
      </c>
      <c r="AF11" s="330">
        <v>770</v>
      </c>
      <c r="AG11" s="330">
        <v>1875</v>
      </c>
    </row>
    <row r="12" spans="1:33" x14ac:dyDescent="0.25">
      <c r="A12" s="335" t="s">
        <v>85</v>
      </c>
      <c r="B12" s="335" t="s">
        <v>85</v>
      </c>
      <c r="C12" s="331">
        <v>208332</v>
      </c>
      <c r="D12" s="331">
        <v>380</v>
      </c>
      <c r="E12" s="331">
        <v>10941</v>
      </c>
      <c r="F12" s="331">
        <v>33405</v>
      </c>
      <c r="G12" s="331">
        <v>13918</v>
      </c>
      <c r="H12" s="331">
        <v>266976</v>
      </c>
      <c r="I12" s="330">
        <v>253058</v>
      </c>
      <c r="J12" s="330">
        <v>354</v>
      </c>
      <c r="K12" s="332">
        <v>89.27</v>
      </c>
      <c r="L12" s="332">
        <v>89.52</v>
      </c>
      <c r="M12" s="332">
        <v>5.34</v>
      </c>
      <c r="N12" s="332">
        <v>92.81</v>
      </c>
      <c r="O12" s="333">
        <v>189788</v>
      </c>
      <c r="P12" s="330">
        <v>84.86</v>
      </c>
      <c r="Q12" s="330">
        <v>83.24</v>
      </c>
      <c r="R12" s="330">
        <v>34.770000000000003</v>
      </c>
      <c r="S12" s="330">
        <v>116.2</v>
      </c>
      <c r="T12" s="330">
        <v>37668</v>
      </c>
      <c r="U12" s="330">
        <v>107.52</v>
      </c>
      <c r="V12" s="330">
        <v>10861</v>
      </c>
      <c r="W12" s="330">
        <v>150.26</v>
      </c>
      <c r="X12" s="330">
        <v>970</v>
      </c>
      <c r="Y12" s="330">
        <v>537</v>
      </c>
      <c r="Z12" s="330">
        <v>550</v>
      </c>
      <c r="AA12" s="330">
        <v>400</v>
      </c>
      <c r="AB12" s="330">
        <v>533</v>
      </c>
      <c r="AC12" s="330">
        <v>367</v>
      </c>
      <c r="AD12" s="334">
        <v>202879</v>
      </c>
      <c r="AE12" s="330">
        <v>1401</v>
      </c>
      <c r="AF12" s="330">
        <v>889</v>
      </c>
      <c r="AG12" s="330">
        <v>2290</v>
      </c>
    </row>
    <row r="13" spans="1:33" x14ac:dyDescent="0.25">
      <c r="A13" s="335" t="s">
        <v>788</v>
      </c>
      <c r="B13" s="335" t="s">
        <v>788</v>
      </c>
      <c r="C13" s="331">
        <v>158366</v>
      </c>
      <c r="D13" s="331">
        <v>386</v>
      </c>
      <c r="E13" s="331">
        <v>7854</v>
      </c>
      <c r="F13" s="331">
        <v>26277</v>
      </c>
      <c r="G13" s="331">
        <v>6153</v>
      </c>
      <c r="H13" s="331">
        <v>199036</v>
      </c>
      <c r="I13" s="330">
        <v>192883</v>
      </c>
      <c r="J13" s="330">
        <v>342</v>
      </c>
      <c r="K13" s="332">
        <v>81.790000000000006</v>
      </c>
      <c r="L13" s="332">
        <v>83.56</v>
      </c>
      <c r="M13" s="332">
        <v>5.26</v>
      </c>
      <c r="N13" s="332">
        <v>84.68</v>
      </c>
      <c r="O13" s="333">
        <v>146905</v>
      </c>
      <c r="P13" s="330">
        <v>80.91</v>
      </c>
      <c r="Q13" s="330">
        <v>77.010000000000005</v>
      </c>
      <c r="R13" s="330">
        <v>28.8</v>
      </c>
      <c r="S13" s="330">
        <v>108.09</v>
      </c>
      <c r="T13" s="330">
        <v>29934</v>
      </c>
      <c r="U13" s="330">
        <v>99.11</v>
      </c>
      <c r="V13" s="330">
        <v>8012</v>
      </c>
      <c r="W13" s="330">
        <v>121.45</v>
      </c>
      <c r="X13" s="330">
        <v>790</v>
      </c>
      <c r="Y13" s="330">
        <v>311</v>
      </c>
      <c r="Z13" s="330">
        <v>399</v>
      </c>
      <c r="AA13" s="330">
        <v>367</v>
      </c>
      <c r="AB13" s="330">
        <v>159</v>
      </c>
      <c r="AC13" s="330">
        <v>141</v>
      </c>
      <c r="AD13" s="334">
        <v>156746</v>
      </c>
      <c r="AE13" s="330">
        <v>2152</v>
      </c>
      <c r="AF13" s="330">
        <v>1454</v>
      </c>
      <c r="AG13" s="330">
        <v>3606</v>
      </c>
    </row>
    <row r="14" spans="1:33" x14ac:dyDescent="0.25">
      <c r="A14" s="329" t="s">
        <v>86</v>
      </c>
      <c r="B14" s="335" t="s">
        <v>87</v>
      </c>
      <c r="C14" s="331">
        <v>810</v>
      </c>
      <c r="D14" s="331">
        <v>0</v>
      </c>
      <c r="E14" s="331">
        <v>49</v>
      </c>
      <c r="F14" s="331">
        <v>137</v>
      </c>
      <c r="G14" s="331">
        <v>134</v>
      </c>
      <c r="H14" s="331">
        <v>1130</v>
      </c>
      <c r="I14" s="330">
        <v>996</v>
      </c>
      <c r="J14" s="330">
        <v>0</v>
      </c>
      <c r="K14" s="332">
        <v>112.71</v>
      </c>
      <c r="L14" s="332">
        <v>111.46</v>
      </c>
      <c r="M14" s="332">
        <v>4.49</v>
      </c>
      <c r="N14" s="332">
        <v>116.12</v>
      </c>
      <c r="O14" s="333">
        <v>732</v>
      </c>
      <c r="P14" s="330">
        <v>81.540000000000006</v>
      </c>
      <c r="Q14" s="330">
        <v>82.23</v>
      </c>
      <c r="R14" s="330">
        <v>26.07</v>
      </c>
      <c r="S14" s="330">
        <v>107.61</v>
      </c>
      <c r="T14" s="330">
        <v>165</v>
      </c>
      <c r="U14" s="330">
        <v>142.38</v>
      </c>
      <c r="V14" s="330">
        <v>50</v>
      </c>
      <c r="W14" s="330">
        <v>128.79</v>
      </c>
      <c r="X14" s="330">
        <v>13</v>
      </c>
      <c r="Y14" s="330">
        <v>0</v>
      </c>
      <c r="Z14" s="330">
        <v>0</v>
      </c>
      <c r="AA14" s="330">
        <v>0</v>
      </c>
      <c r="AB14" s="330">
        <v>0</v>
      </c>
      <c r="AC14" s="330">
        <v>6</v>
      </c>
      <c r="AD14" s="334">
        <v>789</v>
      </c>
      <c r="AE14" s="334">
        <v>2</v>
      </c>
      <c r="AF14" s="334">
        <v>1</v>
      </c>
      <c r="AG14" s="334">
        <v>3</v>
      </c>
    </row>
    <row r="15" spans="1:33" x14ac:dyDescent="0.25">
      <c r="A15" s="329" t="s">
        <v>88</v>
      </c>
      <c r="B15" s="335" t="s">
        <v>89</v>
      </c>
      <c r="C15" s="331">
        <v>8058</v>
      </c>
      <c r="D15" s="331">
        <v>30</v>
      </c>
      <c r="E15" s="331">
        <v>161</v>
      </c>
      <c r="F15" s="331">
        <v>353</v>
      </c>
      <c r="G15" s="331">
        <v>99</v>
      </c>
      <c r="H15" s="331">
        <v>8701</v>
      </c>
      <c r="I15" s="330">
        <v>8602</v>
      </c>
      <c r="J15" s="330">
        <v>7</v>
      </c>
      <c r="K15" s="332">
        <v>84.4</v>
      </c>
      <c r="L15" s="332">
        <v>84.02</v>
      </c>
      <c r="M15" s="332">
        <v>2.36</v>
      </c>
      <c r="N15" s="332">
        <v>86.13</v>
      </c>
      <c r="O15" s="333">
        <v>7314</v>
      </c>
      <c r="P15" s="330">
        <v>77.510000000000005</v>
      </c>
      <c r="Q15" s="330">
        <v>75.39</v>
      </c>
      <c r="R15" s="330">
        <v>28.1</v>
      </c>
      <c r="S15" s="330">
        <v>104.88</v>
      </c>
      <c r="T15" s="330">
        <v>506</v>
      </c>
      <c r="U15" s="330">
        <v>103.16</v>
      </c>
      <c r="V15" s="330">
        <v>236</v>
      </c>
      <c r="W15" s="330">
        <v>0</v>
      </c>
      <c r="X15" s="330">
        <v>0</v>
      </c>
      <c r="Y15" s="330">
        <v>0</v>
      </c>
      <c r="Z15" s="330">
        <v>12</v>
      </c>
      <c r="AA15" s="330">
        <v>6</v>
      </c>
      <c r="AB15" s="330">
        <v>0</v>
      </c>
      <c r="AC15" s="330">
        <v>0</v>
      </c>
      <c r="AD15" s="334">
        <v>7444</v>
      </c>
      <c r="AE15" s="334">
        <v>119</v>
      </c>
      <c r="AF15" s="334">
        <v>59</v>
      </c>
      <c r="AG15" s="334">
        <v>178</v>
      </c>
    </row>
    <row r="16" spans="1:33" x14ac:dyDescent="0.25">
      <c r="A16" s="329" t="s">
        <v>90</v>
      </c>
      <c r="B16" s="335" t="s">
        <v>91</v>
      </c>
      <c r="C16" s="331">
        <v>4461</v>
      </c>
      <c r="D16" s="331">
        <v>0</v>
      </c>
      <c r="E16" s="331">
        <v>145</v>
      </c>
      <c r="F16" s="331">
        <v>2427</v>
      </c>
      <c r="G16" s="331">
        <v>113</v>
      </c>
      <c r="H16" s="331">
        <v>7146</v>
      </c>
      <c r="I16" s="330">
        <v>7033</v>
      </c>
      <c r="J16" s="330">
        <v>0</v>
      </c>
      <c r="K16" s="332">
        <v>90.9</v>
      </c>
      <c r="L16" s="332">
        <v>92.19</v>
      </c>
      <c r="M16" s="332">
        <v>2.34</v>
      </c>
      <c r="N16" s="332">
        <v>93.01</v>
      </c>
      <c r="O16" s="333">
        <v>4432</v>
      </c>
      <c r="P16" s="330">
        <v>83.05</v>
      </c>
      <c r="Q16" s="330">
        <v>85.45</v>
      </c>
      <c r="R16" s="330">
        <v>7.47</v>
      </c>
      <c r="S16" s="330">
        <v>90.47</v>
      </c>
      <c r="T16" s="330">
        <v>2540</v>
      </c>
      <c r="U16" s="330">
        <v>96.57</v>
      </c>
      <c r="V16" s="330">
        <v>13</v>
      </c>
      <c r="W16" s="330">
        <v>0</v>
      </c>
      <c r="X16" s="330">
        <v>0</v>
      </c>
      <c r="Y16" s="330">
        <v>0</v>
      </c>
      <c r="Z16" s="330">
        <v>21</v>
      </c>
      <c r="AA16" s="330">
        <v>9</v>
      </c>
      <c r="AB16" s="330">
        <v>3</v>
      </c>
      <c r="AC16" s="330">
        <v>1</v>
      </c>
      <c r="AD16" s="334">
        <v>4453</v>
      </c>
      <c r="AE16" s="334">
        <v>33</v>
      </c>
      <c r="AF16" s="334">
        <v>21</v>
      </c>
      <c r="AG16" s="334">
        <v>54</v>
      </c>
    </row>
    <row r="17" spans="1:33" x14ac:dyDescent="0.25">
      <c r="A17" s="329" t="s">
        <v>92</v>
      </c>
      <c r="B17" s="335" t="s">
        <v>93</v>
      </c>
      <c r="C17" s="331">
        <v>2629</v>
      </c>
      <c r="D17" s="331">
        <v>67</v>
      </c>
      <c r="E17" s="331">
        <v>169</v>
      </c>
      <c r="F17" s="331">
        <v>373</v>
      </c>
      <c r="G17" s="331">
        <v>468</v>
      </c>
      <c r="H17" s="331">
        <v>3706</v>
      </c>
      <c r="I17" s="330">
        <v>3238</v>
      </c>
      <c r="J17" s="330">
        <v>3</v>
      </c>
      <c r="K17" s="332">
        <v>109.5</v>
      </c>
      <c r="L17" s="332">
        <v>108.76</v>
      </c>
      <c r="M17" s="332">
        <v>4.5</v>
      </c>
      <c r="N17" s="332">
        <v>113.21</v>
      </c>
      <c r="O17" s="333">
        <v>2209</v>
      </c>
      <c r="P17" s="330">
        <v>87.81</v>
      </c>
      <c r="Q17" s="330">
        <v>84.21</v>
      </c>
      <c r="R17" s="330">
        <v>34.869999999999997</v>
      </c>
      <c r="S17" s="330">
        <v>120.13</v>
      </c>
      <c r="T17" s="330">
        <v>422</v>
      </c>
      <c r="U17" s="330">
        <v>155.74</v>
      </c>
      <c r="V17" s="330">
        <v>369</v>
      </c>
      <c r="W17" s="330">
        <v>0</v>
      </c>
      <c r="X17" s="330">
        <v>0</v>
      </c>
      <c r="Y17" s="330">
        <v>0</v>
      </c>
      <c r="Z17" s="330">
        <v>0</v>
      </c>
      <c r="AA17" s="330">
        <v>2</v>
      </c>
      <c r="AB17" s="330">
        <v>12</v>
      </c>
      <c r="AC17" s="330">
        <v>10</v>
      </c>
      <c r="AD17" s="334">
        <v>2622</v>
      </c>
      <c r="AE17" s="334">
        <v>9</v>
      </c>
      <c r="AF17" s="334">
        <v>12</v>
      </c>
      <c r="AG17" s="334">
        <v>21</v>
      </c>
    </row>
    <row r="18" spans="1:33" x14ac:dyDescent="0.25">
      <c r="A18" s="329" t="s">
        <v>94</v>
      </c>
      <c r="B18" s="335" t="s">
        <v>95</v>
      </c>
      <c r="C18" s="331">
        <v>1472</v>
      </c>
      <c r="D18" s="331">
        <v>0</v>
      </c>
      <c r="E18" s="331">
        <v>140</v>
      </c>
      <c r="F18" s="331">
        <v>288</v>
      </c>
      <c r="G18" s="331">
        <v>174</v>
      </c>
      <c r="H18" s="331">
        <v>2074</v>
      </c>
      <c r="I18" s="330">
        <v>1900</v>
      </c>
      <c r="J18" s="330">
        <v>0</v>
      </c>
      <c r="K18" s="332">
        <v>86.18</v>
      </c>
      <c r="L18" s="332">
        <v>84.71</v>
      </c>
      <c r="M18" s="332">
        <v>4.7</v>
      </c>
      <c r="N18" s="332">
        <v>88.5</v>
      </c>
      <c r="O18" s="333">
        <v>1364</v>
      </c>
      <c r="P18" s="330">
        <v>89.27</v>
      </c>
      <c r="Q18" s="330">
        <v>83.83</v>
      </c>
      <c r="R18" s="330">
        <v>33.58</v>
      </c>
      <c r="S18" s="330">
        <v>121.02</v>
      </c>
      <c r="T18" s="330">
        <v>385</v>
      </c>
      <c r="U18" s="330">
        <v>100.15</v>
      </c>
      <c r="V18" s="330">
        <v>38</v>
      </c>
      <c r="W18" s="330">
        <v>0</v>
      </c>
      <c r="X18" s="330">
        <v>0</v>
      </c>
      <c r="Y18" s="330">
        <v>0</v>
      </c>
      <c r="Z18" s="330">
        <v>1</v>
      </c>
      <c r="AA18" s="330">
        <v>1</v>
      </c>
      <c r="AB18" s="330">
        <v>9</v>
      </c>
      <c r="AC18" s="330">
        <v>6</v>
      </c>
      <c r="AD18" s="334">
        <v>1472</v>
      </c>
      <c r="AE18" s="334">
        <v>4</v>
      </c>
      <c r="AF18" s="334">
        <v>7</v>
      </c>
      <c r="AG18" s="334">
        <v>11</v>
      </c>
    </row>
    <row r="19" spans="1:33" x14ac:dyDescent="0.25">
      <c r="A19" s="329" t="s">
        <v>96</v>
      </c>
      <c r="B19" s="335" t="s">
        <v>97</v>
      </c>
      <c r="C19" s="331">
        <v>2059</v>
      </c>
      <c r="D19" s="331">
        <v>0</v>
      </c>
      <c r="E19" s="331">
        <v>97</v>
      </c>
      <c r="F19" s="331">
        <v>91</v>
      </c>
      <c r="G19" s="331">
        <v>603</v>
      </c>
      <c r="H19" s="331">
        <v>2850</v>
      </c>
      <c r="I19" s="330">
        <v>2247</v>
      </c>
      <c r="J19" s="330">
        <v>0</v>
      </c>
      <c r="K19" s="332">
        <v>101.1</v>
      </c>
      <c r="L19" s="332">
        <v>100</v>
      </c>
      <c r="M19" s="332">
        <v>5.4</v>
      </c>
      <c r="N19" s="332">
        <v>105.42</v>
      </c>
      <c r="O19" s="333">
        <v>1778</v>
      </c>
      <c r="P19" s="330">
        <v>85.77</v>
      </c>
      <c r="Q19" s="330">
        <v>84.58</v>
      </c>
      <c r="R19" s="330">
        <v>38.78</v>
      </c>
      <c r="S19" s="330">
        <v>123.3</v>
      </c>
      <c r="T19" s="330">
        <v>187</v>
      </c>
      <c r="U19" s="330">
        <v>125.5</v>
      </c>
      <c r="V19" s="330">
        <v>183</v>
      </c>
      <c r="W19" s="330">
        <v>0</v>
      </c>
      <c r="X19" s="330">
        <v>0</v>
      </c>
      <c r="Y19" s="330">
        <v>0</v>
      </c>
      <c r="Z19" s="330">
        <v>0</v>
      </c>
      <c r="AA19" s="330">
        <v>0</v>
      </c>
      <c r="AB19" s="330">
        <v>11</v>
      </c>
      <c r="AC19" s="330">
        <v>10</v>
      </c>
      <c r="AD19" s="334">
        <v>1997</v>
      </c>
      <c r="AE19" s="334">
        <v>13</v>
      </c>
      <c r="AF19" s="334">
        <v>0</v>
      </c>
      <c r="AG19" s="334">
        <v>13</v>
      </c>
    </row>
    <row r="20" spans="1:33" x14ac:dyDescent="0.25">
      <c r="A20" s="329" t="s">
        <v>98</v>
      </c>
      <c r="B20" s="335" t="s">
        <v>99</v>
      </c>
      <c r="C20" s="331">
        <v>1645</v>
      </c>
      <c r="D20" s="331">
        <v>0</v>
      </c>
      <c r="E20" s="331">
        <v>133</v>
      </c>
      <c r="F20" s="331">
        <v>125</v>
      </c>
      <c r="G20" s="331">
        <v>155</v>
      </c>
      <c r="H20" s="331">
        <v>2058</v>
      </c>
      <c r="I20" s="330">
        <v>1903</v>
      </c>
      <c r="J20" s="330">
        <v>17</v>
      </c>
      <c r="K20" s="332">
        <v>93.38</v>
      </c>
      <c r="L20" s="332">
        <v>92.74</v>
      </c>
      <c r="M20" s="332">
        <v>3.59</v>
      </c>
      <c r="N20" s="332">
        <v>95.18</v>
      </c>
      <c r="O20" s="333">
        <v>1341</v>
      </c>
      <c r="P20" s="330">
        <v>100.74</v>
      </c>
      <c r="Q20" s="330">
        <v>89.64</v>
      </c>
      <c r="R20" s="330">
        <v>44.54</v>
      </c>
      <c r="S20" s="330">
        <v>142.15</v>
      </c>
      <c r="T20" s="330">
        <v>199</v>
      </c>
      <c r="U20" s="330">
        <v>115.96</v>
      </c>
      <c r="V20" s="330">
        <v>252</v>
      </c>
      <c r="W20" s="330">
        <v>108.62</v>
      </c>
      <c r="X20" s="330">
        <v>2</v>
      </c>
      <c r="Y20" s="330">
        <v>0</v>
      </c>
      <c r="Z20" s="330">
        <v>0</v>
      </c>
      <c r="AA20" s="330">
        <v>5</v>
      </c>
      <c r="AB20" s="330">
        <v>9</v>
      </c>
      <c r="AC20" s="330">
        <v>0</v>
      </c>
      <c r="AD20" s="334">
        <v>1638</v>
      </c>
      <c r="AE20" s="334">
        <v>13</v>
      </c>
      <c r="AF20" s="334">
        <v>7</v>
      </c>
      <c r="AG20" s="334">
        <v>20</v>
      </c>
    </row>
    <row r="21" spans="1:33" x14ac:dyDescent="0.25">
      <c r="A21" s="329" t="s">
        <v>100</v>
      </c>
      <c r="B21" s="335" t="s">
        <v>101</v>
      </c>
      <c r="C21" s="331">
        <v>3467</v>
      </c>
      <c r="D21" s="331">
        <v>5</v>
      </c>
      <c r="E21" s="331">
        <v>494</v>
      </c>
      <c r="F21" s="331">
        <v>464</v>
      </c>
      <c r="G21" s="331">
        <v>801</v>
      </c>
      <c r="H21" s="331">
        <v>5231</v>
      </c>
      <c r="I21" s="330">
        <v>4430</v>
      </c>
      <c r="J21" s="330">
        <v>19</v>
      </c>
      <c r="K21" s="332">
        <v>127.02</v>
      </c>
      <c r="L21" s="332">
        <v>115.73</v>
      </c>
      <c r="M21" s="332">
        <v>4.18</v>
      </c>
      <c r="N21" s="332">
        <v>129.63999999999999</v>
      </c>
      <c r="O21" s="333">
        <v>2754</v>
      </c>
      <c r="P21" s="330">
        <v>102.08</v>
      </c>
      <c r="Q21" s="330">
        <v>99.4</v>
      </c>
      <c r="R21" s="330">
        <v>54.04</v>
      </c>
      <c r="S21" s="330">
        <v>150.09</v>
      </c>
      <c r="T21" s="330">
        <v>806</v>
      </c>
      <c r="U21" s="330">
        <v>166.51</v>
      </c>
      <c r="V21" s="330">
        <v>379</v>
      </c>
      <c r="W21" s="330">
        <v>0</v>
      </c>
      <c r="X21" s="330">
        <v>0</v>
      </c>
      <c r="Y21" s="330">
        <v>0</v>
      </c>
      <c r="Z21" s="330">
        <v>3</v>
      </c>
      <c r="AA21" s="330">
        <v>1</v>
      </c>
      <c r="AB21" s="330">
        <v>13</v>
      </c>
      <c r="AC21" s="330">
        <v>12</v>
      </c>
      <c r="AD21" s="334">
        <v>3467</v>
      </c>
      <c r="AE21" s="334">
        <v>60</v>
      </c>
      <c r="AF21" s="334">
        <v>3</v>
      </c>
      <c r="AG21" s="334">
        <v>63</v>
      </c>
    </row>
    <row r="22" spans="1:33" x14ac:dyDescent="0.25">
      <c r="A22" s="329" t="s">
        <v>102</v>
      </c>
      <c r="B22" s="335" t="s">
        <v>103</v>
      </c>
      <c r="C22" s="331">
        <v>6186</v>
      </c>
      <c r="D22" s="331">
        <v>36</v>
      </c>
      <c r="E22" s="331">
        <v>442</v>
      </c>
      <c r="F22" s="331">
        <v>1199</v>
      </c>
      <c r="G22" s="331">
        <v>1280</v>
      </c>
      <c r="H22" s="331">
        <v>9143</v>
      </c>
      <c r="I22" s="330">
        <v>7863</v>
      </c>
      <c r="J22" s="330">
        <v>92</v>
      </c>
      <c r="K22" s="332">
        <v>127.15</v>
      </c>
      <c r="L22" s="332">
        <v>129.22999999999999</v>
      </c>
      <c r="M22" s="332">
        <v>12.27</v>
      </c>
      <c r="N22" s="332">
        <v>137.32</v>
      </c>
      <c r="O22" s="333">
        <v>5559</v>
      </c>
      <c r="P22" s="330">
        <v>111.7</v>
      </c>
      <c r="Q22" s="330">
        <v>109.31</v>
      </c>
      <c r="R22" s="330">
        <v>52.21</v>
      </c>
      <c r="S22" s="330">
        <v>160.24</v>
      </c>
      <c r="T22" s="330">
        <v>769</v>
      </c>
      <c r="U22" s="330">
        <v>182.04</v>
      </c>
      <c r="V22" s="330">
        <v>307</v>
      </c>
      <c r="W22" s="330">
        <v>0</v>
      </c>
      <c r="X22" s="330">
        <v>0</v>
      </c>
      <c r="Y22" s="330">
        <v>0</v>
      </c>
      <c r="Z22" s="330">
        <v>4</v>
      </c>
      <c r="AA22" s="330">
        <v>14</v>
      </c>
      <c r="AB22" s="330">
        <v>13</v>
      </c>
      <c r="AC22" s="330">
        <v>31</v>
      </c>
      <c r="AD22" s="334">
        <v>5924</v>
      </c>
      <c r="AE22" s="334">
        <v>82</v>
      </c>
      <c r="AF22" s="334">
        <v>10</v>
      </c>
      <c r="AG22" s="334">
        <v>92</v>
      </c>
    </row>
    <row r="23" spans="1:33" x14ac:dyDescent="0.25">
      <c r="A23" s="329" t="s">
        <v>104</v>
      </c>
      <c r="B23" s="335" t="s">
        <v>105</v>
      </c>
      <c r="C23" s="331">
        <v>2500</v>
      </c>
      <c r="D23" s="331">
        <v>0</v>
      </c>
      <c r="E23" s="331">
        <v>266</v>
      </c>
      <c r="F23" s="331">
        <v>745</v>
      </c>
      <c r="G23" s="331">
        <v>246</v>
      </c>
      <c r="H23" s="331">
        <v>3757</v>
      </c>
      <c r="I23" s="330">
        <v>3511</v>
      </c>
      <c r="J23" s="330">
        <v>5</v>
      </c>
      <c r="K23" s="332">
        <v>86.24</v>
      </c>
      <c r="L23" s="332">
        <v>84.61</v>
      </c>
      <c r="M23" s="332">
        <v>5.31</v>
      </c>
      <c r="N23" s="332">
        <v>88.63</v>
      </c>
      <c r="O23" s="333">
        <v>1904</v>
      </c>
      <c r="P23" s="330">
        <v>82.4</v>
      </c>
      <c r="Q23" s="330">
        <v>80</v>
      </c>
      <c r="R23" s="330">
        <v>32.24</v>
      </c>
      <c r="S23" s="330">
        <v>114.28</v>
      </c>
      <c r="T23" s="330">
        <v>956</v>
      </c>
      <c r="U23" s="330">
        <v>92.3</v>
      </c>
      <c r="V23" s="330">
        <v>437</v>
      </c>
      <c r="W23" s="330">
        <v>0</v>
      </c>
      <c r="X23" s="330">
        <v>0</v>
      </c>
      <c r="Y23" s="330">
        <v>0</v>
      </c>
      <c r="Z23" s="330">
        <v>2</v>
      </c>
      <c r="AA23" s="330">
        <v>12</v>
      </c>
      <c r="AB23" s="330">
        <v>5</v>
      </c>
      <c r="AC23" s="330">
        <v>2</v>
      </c>
      <c r="AD23" s="334">
        <v>2494</v>
      </c>
      <c r="AE23" s="334">
        <v>27</v>
      </c>
      <c r="AF23" s="334">
        <v>22</v>
      </c>
      <c r="AG23" s="334">
        <v>49</v>
      </c>
    </row>
    <row r="24" spans="1:33" x14ac:dyDescent="0.25">
      <c r="A24" s="329" t="s">
        <v>106</v>
      </c>
      <c r="B24" s="335" t="s">
        <v>107</v>
      </c>
      <c r="C24" s="331">
        <v>439</v>
      </c>
      <c r="D24" s="331">
        <v>0</v>
      </c>
      <c r="E24" s="331">
        <v>95</v>
      </c>
      <c r="F24" s="331">
        <v>278</v>
      </c>
      <c r="G24" s="331">
        <v>2</v>
      </c>
      <c r="H24" s="331">
        <v>814</v>
      </c>
      <c r="I24" s="330">
        <v>812</v>
      </c>
      <c r="J24" s="330">
        <v>57</v>
      </c>
      <c r="K24" s="332">
        <v>82.32</v>
      </c>
      <c r="L24" s="332">
        <v>82.51</v>
      </c>
      <c r="M24" s="332">
        <v>3.43</v>
      </c>
      <c r="N24" s="332">
        <v>84.07</v>
      </c>
      <c r="O24" s="333">
        <v>386</v>
      </c>
      <c r="P24" s="330">
        <v>77.8</v>
      </c>
      <c r="Q24" s="330">
        <v>78.33</v>
      </c>
      <c r="R24" s="330">
        <v>31.47</v>
      </c>
      <c r="S24" s="330">
        <v>108.82</v>
      </c>
      <c r="T24" s="330">
        <v>352</v>
      </c>
      <c r="U24" s="330">
        <v>109.62</v>
      </c>
      <c r="V24" s="330">
        <v>27</v>
      </c>
      <c r="W24" s="330">
        <v>0</v>
      </c>
      <c r="X24" s="330">
        <v>0</v>
      </c>
      <c r="Y24" s="330">
        <v>0</v>
      </c>
      <c r="Z24" s="330">
        <v>0</v>
      </c>
      <c r="AA24" s="330">
        <v>0</v>
      </c>
      <c r="AB24" s="330">
        <v>0</v>
      </c>
      <c r="AC24" s="330">
        <v>0</v>
      </c>
      <c r="AD24" s="334">
        <v>428</v>
      </c>
      <c r="AE24" s="334">
        <v>1</v>
      </c>
      <c r="AF24" s="334">
        <v>0</v>
      </c>
      <c r="AG24" s="334">
        <v>1</v>
      </c>
    </row>
    <row r="25" spans="1:33" x14ac:dyDescent="0.25">
      <c r="A25" s="329" t="s">
        <v>108</v>
      </c>
      <c r="B25" s="335" t="s">
        <v>109</v>
      </c>
      <c r="C25" s="331">
        <v>5176</v>
      </c>
      <c r="D25" s="331">
        <v>0</v>
      </c>
      <c r="E25" s="331">
        <v>243</v>
      </c>
      <c r="F25" s="331">
        <v>334</v>
      </c>
      <c r="G25" s="331">
        <v>696</v>
      </c>
      <c r="H25" s="331">
        <v>6449</v>
      </c>
      <c r="I25" s="330">
        <v>5753</v>
      </c>
      <c r="J25" s="330">
        <v>3</v>
      </c>
      <c r="K25" s="332">
        <v>109.58</v>
      </c>
      <c r="L25" s="332">
        <v>108.7</v>
      </c>
      <c r="M25" s="332">
        <v>4.21</v>
      </c>
      <c r="N25" s="332">
        <v>111.85</v>
      </c>
      <c r="O25" s="333">
        <v>4912</v>
      </c>
      <c r="P25" s="330">
        <v>92.26</v>
      </c>
      <c r="Q25" s="330">
        <v>90.69</v>
      </c>
      <c r="R25" s="330">
        <v>36.47</v>
      </c>
      <c r="S25" s="330">
        <v>127.89</v>
      </c>
      <c r="T25" s="330">
        <v>472</v>
      </c>
      <c r="U25" s="330">
        <v>123.74</v>
      </c>
      <c r="V25" s="330">
        <v>128</v>
      </c>
      <c r="W25" s="330">
        <v>0</v>
      </c>
      <c r="X25" s="330">
        <v>0</v>
      </c>
      <c r="Y25" s="330">
        <v>54</v>
      </c>
      <c r="Z25" s="330">
        <v>12</v>
      </c>
      <c r="AA25" s="330">
        <v>1</v>
      </c>
      <c r="AB25" s="330">
        <v>3</v>
      </c>
      <c r="AC25" s="330">
        <v>11</v>
      </c>
      <c r="AD25" s="334">
        <v>5176</v>
      </c>
      <c r="AE25" s="334">
        <v>31</v>
      </c>
      <c r="AF25" s="334">
        <v>12</v>
      </c>
      <c r="AG25" s="334">
        <v>43</v>
      </c>
    </row>
    <row r="26" spans="1:33" x14ac:dyDescent="0.25">
      <c r="A26" s="329" t="s">
        <v>110</v>
      </c>
      <c r="B26" s="335" t="s">
        <v>111</v>
      </c>
      <c r="C26" s="331">
        <v>11801</v>
      </c>
      <c r="D26" s="331">
        <v>1</v>
      </c>
      <c r="E26" s="331">
        <v>349</v>
      </c>
      <c r="F26" s="331">
        <v>1030</v>
      </c>
      <c r="G26" s="331">
        <v>962</v>
      </c>
      <c r="H26" s="331">
        <v>14143</v>
      </c>
      <c r="I26" s="330">
        <v>13181</v>
      </c>
      <c r="J26" s="330">
        <v>1</v>
      </c>
      <c r="K26" s="332">
        <v>113.43</v>
      </c>
      <c r="L26" s="332">
        <v>112.83</v>
      </c>
      <c r="M26" s="332">
        <v>4.2300000000000004</v>
      </c>
      <c r="N26" s="332">
        <v>114.99</v>
      </c>
      <c r="O26" s="333">
        <v>11005</v>
      </c>
      <c r="P26" s="330">
        <v>94.25</v>
      </c>
      <c r="Q26" s="330">
        <v>93.6</v>
      </c>
      <c r="R26" s="330">
        <v>29.55</v>
      </c>
      <c r="S26" s="330">
        <v>119.71</v>
      </c>
      <c r="T26" s="330">
        <v>1236</v>
      </c>
      <c r="U26" s="330">
        <v>141.47999999999999</v>
      </c>
      <c r="V26" s="330">
        <v>489</v>
      </c>
      <c r="W26" s="330">
        <v>0</v>
      </c>
      <c r="X26" s="330">
        <v>0</v>
      </c>
      <c r="Y26" s="330">
        <v>23</v>
      </c>
      <c r="Z26" s="330">
        <v>12</v>
      </c>
      <c r="AA26" s="330">
        <v>1</v>
      </c>
      <c r="AB26" s="330">
        <v>63</v>
      </c>
      <c r="AC26" s="330">
        <v>41</v>
      </c>
      <c r="AD26" s="334">
        <v>11801</v>
      </c>
      <c r="AE26" s="334">
        <v>45</v>
      </c>
      <c r="AF26" s="334">
        <v>44</v>
      </c>
      <c r="AG26" s="334">
        <v>89</v>
      </c>
    </row>
    <row r="27" spans="1:33" x14ac:dyDescent="0.25">
      <c r="A27" s="329" t="s">
        <v>112</v>
      </c>
      <c r="B27" s="335" t="s">
        <v>113</v>
      </c>
      <c r="C27" s="331">
        <v>838</v>
      </c>
      <c r="D27" s="331">
        <v>0</v>
      </c>
      <c r="E27" s="331">
        <v>258</v>
      </c>
      <c r="F27" s="331">
        <v>154</v>
      </c>
      <c r="G27" s="331">
        <v>72</v>
      </c>
      <c r="H27" s="331">
        <v>1322</v>
      </c>
      <c r="I27" s="330">
        <v>1250</v>
      </c>
      <c r="J27" s="330">
        <v>0</v>
      </c>
      <c r="K27" s="332">
        <v>86.71</v>
      </c>
      <c r="L27" s="332">
        <v>85.51</v>
      </c>
      <c r="M27" s="332">
        <v>3.25</v>
      </c>
      <c r="N27" s="332">
        <v>88.62</v>
      </c>
      <c r="O27" s="333">
        <v>798</v>
      </c>
      <c r="P27" s="330">
        <v>121.34</v>
      </c>
      <c r="Q27" s="330">
        <v>70.75</v>
      </c>
      <c r="R27" s="330">
        <v>31.54</v>
      </c>
      <c r="S27" s="330">
        <v>149.36000000000001</v>
      </c>
      <c r="T27" s="330">
        <v>313</v>
      </c>
      <c r="U27" s="330">
        <v>91</v>
      </c>
      <c r="V27" s="330">
        <v>11</v>
      </c>
      <c r="W27" s="330">
        <v>169.45</v>
      </c>
      <c r="X27" s="330">
        <v>4</v>
      </c>
      <c r="Y27" s="330">
        <v>0</v>
      </c>
      <c r="Z27" s="330">
        <v>1</v>
      </c>
      <c r="AA27" s="330">
        <v>9</v>
      </c>
      <c r="AB27" s="330">
        <v>1</v>
      </c>
      <c r="AC27" s="330">
        <v>2</v>
      </c>
      <c r="AD27" s="334">
        <v>835</v>
      </c>
      <c r="AE27" s="334">
        <v>3</v>
      </c>
      <c r="AF27" s="334">
        <v>1</v>
      </c>
      <c r="AG27" s="334">
        <v>4</v>
      </c>
    </row>
    <row r="28" spans="1:33" x14ac:dyDescent="0.25">
      <c r="A28" s="329" t="s">
        <v>114</v>
      </c>
      <c r="B28" s="335" t="s">
        <v>115</v>
      </c>
      <c r="C28" s="331">
        <v>8699</v>
      </c>
      <c r="D28" s="331">
        <v>0</v>
      </c>
      <c r="E28" s="331">
        <v>346</v>
      </c>
      <c r="F28" s="331">
        <v>2182</v>
      </c>
      <c r="G28" s="331">
        <v>404</v>
      </c>
      <c r="H28" s="331">
        <v>11631</v>
      </c>
      <c r="I28" s="330">
        <v>11227</v>
      </c>
      <c r="J28" s="330">
        <v>29</v>
      </c>
      <c r="K28" s="332">
        <v>105.73</v>
      </c>
      <c r="L28" s="332">
        <v>101.39</v>
      </c>
      <c r="M28" s="332">
        <v>4.83</v>
      </c>
      <c r="N28" s="332">
        <v>108.5</v>
      </c>
      <c r="O28" s="333">
        <v>8071</v>
      </c>
      <c r="P28" s="330">
        <v>93.55</v>
      </c>
      <c r="Q28" s="330">
        <v>91.3</v>
      </c>
      <c r="R28" s="330">
        <v>13.84</v>
      </c>
      <c r="S28" s="330">
        <v>105.79</v>
      </c>
      <c r="T28" s="330">
        <v>2280</v>
      </c>
      <c r="U28" s="330">
        <v>132.30000000000001</v>
      </c>
      <c r="V28" s="330">
        <v>482</v>
      </c>
      <c r="W28" s="330">
        <v>118.5</v>
      </c>
      <c r="X28" s="330">
        <v>77</v>
      </c>
      <c r="Y28" s="330">
        <v>0</v>
      </c>
      <c r="Z28" s="330">
        <v>32</v>
      </c>
      <c r="AA28" s="330">
        <v>12</v>
      </c>
      <c r="AB28" s="330">
        <v>31</v>
      </c>
      <c r="AC28" s="330">
        <v>12</v>
      </c>
      <c r="AD28" s="334">
        <v>8594</v>
      </c>
      <c r="AE28" s="334">
        <v>43</v>
      </c>
      <c r="AF28" s="334">
        <v>29</v>
      </c>
      <c r="AG28" s="334">
        <v>72</v>
      </c>
    </row>
    <row r="29" spans="1:33" x14ac:dyDescent="0.25">
      <c r="A29" s="329" t="s">
        <v>116</v>
      </c>
      <c r="B29" s="335" t="s">
        <v>117</v>
      </c>
      <c r="C29" s="331">
        <v>10340</v>
      </c>
      <c r="D29" s="331">
        <v>0</v>
      </c>
      <c r="E29" s="331">
        <v>363</v>
      </c>
      <c r="F29" s="331">
        <v>1188</v>
      </c>
      <c r="G29" s="331">
        <v>992</v>
      </c>
      <c r="H29" s="331">
        <v>12883</v>
      </c>
      <c r="I29" s="330">
        <v>11891</v>
      </c>
      <c r="J29" s="330">
        <v>5</v>
      </c>
      <c r="K29" s="332">
        <v>98.56</v>
      </c>
      <c r="L29" s="332">
        <v>98.09</v>
      </c>
      <c r="M29" s="332">
        <v>7.12</v>
      </c>
      <c r="N29" s="332">
        <v>103.73</v>
      </c>
      <c r="O29" s="333">
        <v>9339</v>
      </c>
      <c r="P29" s="330">
        <v>93.52</v>
      </c>
      <c r="Q29" s="330">
        <v>90.17</v>
      </c>
      <c r="R29" s="330">
        <v>36.47</v>
      </c>
      <c r="S29" s="330">
        <v>129.37</v>
      </c>
      <c r="T29" s="330">
        <v>1373</v>
      </c>
      <c r="U29" s="330">
        <v>122.56</v>
      </c>
      <c r="V29" s="330">
        <v>624</v>
      </c>
      <c r="W29" s="330">
        <v>102.65</v>
      </c>
      <c r="X29" s="330">
        <v>5</v>
      </c>
      <c r="Y29" s="330">
        <v>0</v>
      </c>
      <c r="Z29" s="330">
        <v>12</v>
      </c>
      <c r="AA29" s="330">
        <v>12</v>
      </c>
      <c r="AB29" s="330">
        <v>59</v>
      </c>
      <c r="AC29" s="330">
        <v>32</v>
      </c>
      <c r="AD29" s="334">
        <v>10265</v>
      </c>
      <c r="AE29" s="334">
        <v>64</v>
      </c>
      <c r="AF29" s="334">
        <v>27</v>
      </c>
      <c r="AG29" s="334">
        <v>91</v>
      </c>
    </row>
    <row r="30" spans="1:33" x14ac:dyDescent="0.25">
      <c r="A30" s="329" t="s">
        <v>118</v>
      </c>
      <c r="B30" s="335" t="s">
        <v>119</v>
      </c>
      <c r="C30" s="331">
        <v>12174</v>
      </c>
      <c r="D30" s="331">
        <v>2</v>
      </c>
      <c r="E30" s="331">
        <v>129</v>
      </c>
      <c r="F30" s="331">
        <v>1283</v>
      </c>
      <c r="G30" s="331">
        <v>894</v>
      </c>
      <c r="H30" s="331">
        <v>14482</v>
      </c>
      <c r="I30" s="330">
        <v>13588</v>
      </c>
      <c r="J30" s="330">
        <v>1625</v>
      </c>
      <c r="K30" s="332">
        <v>111.21</v>
      </c>
      <c r="L30" s="332">
        <v>108.46</v>
      </c>
      <c r="M30" s="332">
        <v>9.7100000000000009</v>
      </c>
      <c r="N30" s="332">
        <v>120.08</v>
      </c>
      <c r="O30" s="333">
        <v>10475</v>
      </c>
      <c r="P30" s="330">
        <v>92.67</v>
      </c>
      <c r="Q30" s="330">
        <v>94.01</v>
      </c>
      <c r="R30" s="330">
        <v>26.41</v>
      </c>
      <c r="S30" s="330">
        <v>119.06</v>
      </c>
      <c r="T30" s="330">
        <v>1260</v>
      </c>
      <c r="U30" s="330">
        <v>146.1</v>
      </c>
      <c r="V30" s="330">
        <v>968</v>
      </c>
      <c r="W30" s="330">
        <v>0</v>
      </c>
      <c r="X30" s="330">
        <v>0</v>
      </c>
      <c r="Y30" s="330">
        <v>0</v>
      </c>
      <c r="Z30" s="330">
        <v>44</v>
      </c>
      <c r="AA30" s="330">
        <v>1</v>
      </c>
      <c r="AB30" s="330">
        <v>60</v>
      </c>
      <c r="AC30" s="330">
        <v>8</v>
      </c>
      <c r="AD30" s="334">
        <v>11503</v>
      </c>
      <c r="AE30" s="334">
        <v>86</v>
      </c>
      <c r="AF30" s="334">
        <v>232</v>
      </c>
      <c r="AG30" s="334">
        <v>318</v>
      </c>
    </row>
    <row r="31" spans="1:33" x14ac:dyDescent="0.25">
      <c r="A31" s="329" t="s">
        <v>120</v>
      </c>
      <c r="B31" s="335" t="s">
        <v>121</v>
      </c>
      <c r="C31" s="331">
        <v>32785</v>
      </c>
      <c r="D31" s="331">
        <v>233</v>
      </c>
      <c r="E31" s="331">
        <v>4284</v>
      </c>
      <c r="F31" s="331">
        <v>5009</v>
      </c>
      <c r="G31" s="331">
        <v>3499</v>
      </c>
      <c r="H31" s="331">
        <v>45810</v>
      </c>
      <c r="I31" s="330">
        <v>42311</v>
      </c>
      <c r="J31" s="330">
        <v>119</v>
      </c>
      <c r="K31" s="332">
        <v>92.48</v>
      </c>
      <c r="L31" s="332">
        <v>94.05</v>
      </c>
      <c r="M31" s="332">
        <v>6.6</v>
      </c>
      <c r="N31" s="332">
        <v>97.67</v>
      </c>
      <c r="O31" s="333">
        <v>29142</v>
      </c>
      <c r="P31" s="330">
        <v>86.63</v>
      </c>
      <c r="Q31" s="330">
        <v>82.15</v>
      </c>
      <c r="R31" s="330">
        <v>43.05</v>
      </c>
      <c r="S31" s="330">
        <v>127.64</v>
      </c>
      <c r="T31" s="330">
        <v>6081</v>
      </c>
      <c r="U31" s="330">
        <v>112.78</v>
      </c>
      <c r="V31" s="330">
        <v>793</v>
      </c>
      <c r="W31" s="330">
        <v>141.94</v>
      </c>
      <c r="X31" s="330">
        <v>117</v>
      </c>
      <c r="Y31" s="330">
        <v>85</v>
      </c>
      <c r="Z31" s="330">
        <v>21</v>
      </c>
      <c r="AA31" s="330">
        <v>25</v>
      </c>
      <c r="AB31" s="330">
        <v>67</v>
      </c>
      <c r="AC31" s="330">
        <v>108</v>
      </c>
      <c r="AD31" s="334">
        <v>30371</v>
      </c>
      <c r="AE31" s="334">
        <v>197</v>
      </c>
      <c r="AF31" s="334">
        <v>116</v>
      </c>
      <c r="AG31" s="334">
        <v>313</v>
      </c>
    </row>
    <row r="32" spans="1:33" x14ac:dyDescent="0.25">
      <c r="A32" s="329" t="s">
        <v>122</v>
      </c>
      <c r="B32" s="335" t="s">
        <v>123</v>
      </c>
      <c r="C32" s="331">
        <v>1804</v>
      </c>
      <c r="D32" s="331">
        <v>0</v>
      </c>
      <c r="E32" s="331">
        <v>56</v>
      </c>
      <c r="F32" s="331">
        <v>1345</v>
      </c>
      <c r="G32" s="331">
        <v>276</v>
      </c>
      <c r="H32" s="331">
        <v>3481</v>
      </c>
      <c r="I32" s="330">
        <v>3205</v>
      </c>
      <c r="J32" s="330">
        <v>0</v>
      </c>
      <c r="K32" s="332">
        <v>86.22</v>
      </c>
      <c r="L32" s="332">
        <v>86.52</v>
      </c>
      <c r="M32" s="332">
        <v>3.63</v>
      </c>
      <c r="N32" s="332">
        <v>88.12</v>
      </c>
      <c r="O32" s="333">
        <v>1623</v>
      </c>
      <c r="P32" s="330">
        <v>75.540000000000006</v>
      </c>
      <c r="Q32" s="330">
        <v>74.739999999999995</v>
      </c>
      <c r="R32" s="330">
        <v>11.59</v>
      </c>
      <c r="S32" s="330">
        <v>87.03</v>
      </c>
      <c r="T32" s="330">
        <v>1395</v>
      </c>
      <c r="U32" s="330">
        <v>103.7</v>
      </c>
      <c r="V32" s="330">
        <v>121</v>
      </c>
      <c r="W32" s="330">
        <v>0</v>
      </c>
      <c r="X32" s="330">
        <v>0</v>
      </c>
      <c r="Y32" s="330">
        <v>0</v>
      </c>
      <c r="Z32" s="330">
        <v>12</v>
      </c>
      <c r="AA32" s="330">
        <v>0</v>
      </c>
      <c r="AB32" s="330">
        <v>24</v>
      </c>
      <c r="AC32" s="330">
        <v>6</v>
      </c>
      <c r="AD32" s="334">
        <v>1804</v>
      </c>
      <c r="AE32" s="334">
        <v>21</v>
      </c>
      <c r="AF32" s="334">
        <v>18</v>
      </c>
      <c r="AG32" s="334">
        <v>39</v>
      </c>
    </row>
    <row r="33" spans="1:33" x14ac:dyDescent="0.25">
      <c r="A33" s="329" t="s">
        <v>124</v>
      </c>
      <c r="B33" s="335" t="s">
        <v>125</v>
      </c>
      <c r="C33" s="331">
        <v>9586</v>
      </c>
      <c r="D33" s="331">
        <v>0</v>
      </c>
      <c r="E33" s="331">
        <v>409</v>
      </c>
      <c r="F33" s="331">
        <v>1500</v>
      </c>
      <c r="G33" s="331">
        <v>298</v>
      </c>
      <c r="H33" s="331">
        <v>11793</v>
      </c>
      <c r="I33" s="330">
        <v>11495</v>
      </c>
      <c r="J33" s="330">
        <v>4</v>
      </c>
      <c r="K33" s="332">
        <v>79.64</v>
      </c>
      <c r="L33" s="332">
        <v>79.28</v>
      </c>
      <c r="M33" s="332">
        <v>1.93</v>
      </c>
      <c r="N33" s="332">
        <v>81.33</v>
      </c>
      <c r="O33" s="333">
        <v>8906</v>
      </c>
      <c r="P33" s="330">
        <v>77.290000000000006</v>
      </c>
      <c r="Q33" s="330">
        <v>70.61</v>
      </c>
      <c r="R33" s="330">
        <v>27.91</v>
      </c>
      <c r="S33" s="330">
        <v>105.12</v>
      </c>
      <c r="T33" s="330">
        <v>1804</v>
      </c>
      <c r="U33" s="330">
        <v>95.53</v>
      </c>
      <c r="V33" s="330">
        <v>664</v>
      </c>
      <c r="W33" s="330">
        <v>134.93</v>
      </c>
      <c r="X33" s="330">
        <v>23</v>
      </c>
      <c r="Y33" s="330">
        <v>0</v>
      </c>
      <c r="Z33" s="330">
        <v>34</v>
      </c>
      <c r="AA33" s="330">
        <v>9</v>
      </c>
      <c r="AB33" s="330">
        <v>25</v>
      </c>
      <c r="AC33" s="330">
        <v>5</v>
      </c>
      <c r="AD33" s="334">
        <v>9570</v>
      </c>
      <c r="AE33" s="334">
        <v>97</v>
      </c>
      <c r="AF33" s="334">
        <v>55</v>
      </c>
      <c r="AG33" s="334">
        <v>152</v>
      </c>
    </row>
    <row r="34" spans="1:33" x14ac:dyDescent="0.25">
      <c r="A34" s="329" t="s">
        <v>126</v>
      </c>
      <c r="B34" s="335" t="s">
        <v>127</v>
      </c>
      <c r="C34" s="331">
        <v>1653</v>
      </c>
      <c r="D34" s="331">
        <v>0</v>
      </c>
      <c r="E34" s="331">
        <v>328</v>
      </c>
      <c r="F34" s="331">
        <v>207</v>
      </c>
      <c r="G34" s="331">
        <v>146</v>
      </c>
      <c r="H34" s="331">
        <v>2334</v>
      </c>
      <c r="I34" s="330">
        <v>2188</v>
      </c>
      <c r="J34" s="330">
        <v>0</v>
      </c>
      <c r="K34" s="332">
        <v>86.48</v>
      </c>
      <c r="L34" s="332">
        <v>85.68</v>
      </c>
      <c r="M34" s="332">
        <v>5.22</v>
      </c>
      <c r="N34" s="332">
        <v>90.45</v>
      </c>
      <c r="O34" s="333">
        <v>1269</v>
      </c>
      <c r="P34" s="330">
        <v>96.63</v>
      </c>
      <c r="Q34" s="330">
        <v>84.47</v>
      </c>
      <c r="R34" s="330">
        <v>45.76</v>
      </c>
      <c r="S34" s="330">
        <v>141.22999999999999</v>
      </c>
      <c r="T34" s="330">
        <v>514</v>
      </c>
      <c r="U34" s="330">
        <v>104.49</v>
      </c>
      <c r="V34" s="330">
        <v>244</v>
      </c>
      <c r="W34" s="330">
        <v>93.09</v>
      </c>
      <c r="X34" s="330">
        <v>2</v>
      </c>
      <c r="Y34" s="330">
        <v>1</v>
      </c>
      <c r="Z34" s="330">
        <v>1</v>
      </c>
      <c r="AA34" s="330">
        <v>5</v>
      </c>
      <c r="AB34" s="330">
        <v>0</v>
      </c>
      <c r="AC34" s="330">
        <v>2</v>
      </c>
      <c r="AD34" s="334">
        <v>1595</v>
      </c>
      <c r="AE34" s="334">
        <v>12</v>
      </c>
      <c r="AF34" s="334">
        <v>4</v>
      </c>
      <c r="AG34" s="334">
        <v>16</v>
      </c>
    </row>
    <row r="35" spans="1:33" x14ac:dyDescent="0.25">
      <c r="A35" s="329" t="s">
        <v>128</v>
      </c>
      <c r="B35" s="335" t="s">
        <v>129</v>
      </c>
      <c r="C35" s="331">
        <v>765</v>
      </c>
      <c r="D35" s="331">
        <v>0</v>
      </c>
      <c r="E35" s="331">
        <v>52</v>
      </c>
      <c r="F35" s="331">
        <v>263</v>
      </c>
      <c r="G35" s="331">
        <v>15</v>
      </c>
      <c r="H35" s="331">
        <v>1095</v>
      </c>
      <c r="I35" s="330">
        <v>1080</v>
      </c>
      <c r="J35" s="330">
        <v>0</v>
      </c>
      <c r="K35" s="332">
        <v>89.17</v>
      </c>
      <c r="L35" s="332">
        <v>87.09</v>
      </c>
      <c r="M35" s="332">
        <v>3.77</v>
      </c>
      <c r="N35" s="332">
        <v>91.3</v>
      </c>
      <c r="O35" s="333">
        <v>682</v>
      </c>
      <c r="P35" s="330">
        <v>88.19</v>
      </c>
      <c r="Q35" s="330">
        <v>84.74</v>
      </c>
      <c r="R35" s="330">
        <v>17.84</v>
      </c>
      <c r="S35" s="330">
        <v>104.15</v>
      </c>
      <c r="T35" s="330">
        <v>312</v>
      </c>
      <c r="U35" s="330">
        <v>91.39</v>
      </c>
      <c r="V35" s="330">
        <v>43</v>
      </c>
      <c r="W35" s="330">
        <v>0</v>
      </c>
      <c r="X35" s="330">
        <v>0</v>
      </c>
      <c r="Y35" s="330">
        <v>0</v>
      </c>
      <c r="Z35" s="330">
        <v>1</v>
      </c>
      <c r="AA35" s="330">
        <v>7</v>
      </c>
      <c r="AB35" s="330">
        <v>1</v>
      </c>
      <c r="AC35" s="330">
        <v>2</v>
      </c>
      <c r="AD35" s="334">
        <v>761</v>
      </c>
      <c r="AE35" s="334">
        <v>4</v>
      </c>
      <c r="AF35" s="334">
        <v>3</v>
      </c>
      <c r="AG35" s="334">
        <v>7</v>
      </c>
    </row>
    <row r="36" spans="1:33" x14ac:dyDescent="0.25">
      <c r="A36" s="329" t="s">
        <v>130</v>
      </c>
      <c r="B36" s="335" t="s">
        <v>131</v>
      </c>
      <c r="C36" s="331">
        <v>20893</v>
      </c>
      <c r="D36" s="331">
        <v>1</v>
      </c>
      <c r="E36" s="331">
        <v>618</v>
      </c>
      <c r="F36" s="331">
        <v>4155</v>
      </c>
      <c r="G36" s="331">
        <v>471</v>
      </c>
      <c r="H36" s="331">
        <v>26138</v>
      </c>
      <c r="I36" s="330">
        <v>25667</v>
      </c>
      <c r="J36" s="330">
        <v>0</v>
      </c>
      <c r="K36" s="332">
        <v>78.790000000000006</v>
      </c>
      <c r="L36" s="332">
        <v>81.27</v>
      </c>
      <c r="M36" s="332">
        <v>8.0500000000000007</v>
      </c>
      <c r="N36" s="332">
        <v>81.239999999999995</v>
      </c>
      <c r="O36" s="333">
        <v>18507</v>
      </c>
      <c r="P36" s="330">
        <v>73.13</v>
      </c>
      <c r="Q36" s="330">
        <v>71.39</v>
      </c>
      <c r="R36" s="330">
        <v>25.44</v>
      </c>
      <c r="S36" s="330">
        <v>97.6</v>
      </c>
      <c r="T36" s="330">
        <v>4765</v>
      </c>
      <c r="U36" s="330">
        <v>99.14</v>
      </c>
      <c r="V36" s="330">
        <v>2286</v>
      </c>
      <c r="W36" s="330">
        <v>0</v>
      </c>
      <c r="X36" s="330">
        <v>0</v>
      </c>
      <c r="Y36" s="330">
        <v>1</v>
      </c>
      <c r="Z36" s="330">
        <v>118</v>
      </c>
      <c r="AA36" s="330">
        <v>1</v>
      </c>
      <c r="AB36" s="330">
        <v>0</v>
      </c>
      <c r="AC36" s="330">
        <v>10</v>
      </c>
      <c r="AD36" s="334">
        <v>20858</v>
      </c>
      <c r="AE36" s="334">
        <v>154</v>
      </c>
      <c r="AF36" s="334">
        <v>174</v>
      </c>
      <c r="AG36" s="334">
        <v>328</v>
      </c>
    </row>
    <row r="37" spans="1:33" x14ac:dyDescent="0.25">
      <c r="A37" s="329" t="s">
        <v>132</v>
      </c>
      <c r="B37" s="335" t="s">
        <v>133</v>
      </c>
      <c r="C37" s="331">
        <v>4201</v>
      </c>
      <c r="D37" s="331">
        <v>0</v>
      </c>
      <c r="E37" s="331">
        <v>152</v>
      </c>
      <c r="F37" s="331">
        <v>962</v>
      </c>
      <c r="G37" s="331">
        <v>192</v>
      </c>
      <c r="H37" s="331">
        <v>5507</v>
      </c>
      <c r="I37" s="330">
        <v>5315</v>
      </c>
      <c r="J37" s="330">
        <v>1</v>
      </c>
      <c r="K37" s="332">
        <v>80.37</v>
      </c>
      <c r="L37" s="332">
        <v>81.08</v>
      </c>
      <c r="M37" s="332">
        <v>1.68</v>
      </c>
      <c r="N37" s="332">
        <v>81.86</v>
      </c>
      <c r="O37" s="333">
        <v>4088</v>
      </c>
      <c r="P37" s="330">
        <v>73.510000000000005</v>
      </c>
      <c r="Q37" s="330">
        <v>71.040000000000006</v>
      </c>
      <c r="R37" s="330">
        <v>14.2</v>
      </c>
      <c r="S37" s="330">
        <v>87.52</v>
      </c>
      <c r="T37" s="330">
        <v>1053</v>
      </c>
      <c r="U37" s="330">
        <v>95.2</v>
      </c>
      <c r="V37" s="330">
        <v>77</v>
      </c>
      <c r="W37" s="330">
        <v>0</v>
      </c>
      <c r="X37" s="330">
        <v>0</v>
      </c>
      <c r="Y37" s="330">
        <v>13</v>
      </c>
      <c r="Z37" s="330">
        <v>10</v>
      </c>
      <c r="AA37" s="330">
        <v>4</v>
      </c>
      <c r="AB37" s="330">
        <v>2</v>
      </c>
      <c r="AC37" s="330">
        <v>3</v>
      </c>
      <c r="AD37" s="334">
        <v>4165</v>
      </c>
      <c r="AE37" s="334">
        <v>10</v>
      </c>
      <c r="AF37" s="334">
        <v>5</v>
      </c>
      <c r="AG37" s="334">
        <v>15</v>
      </c>
    </row>
    <row r="38" spans="1:33" x14ac:dyDescent="0.25">
      <c r="A38" s="329" t="s">
        <v>134</v>
      </c>
      <c r="B38" s="335" t="s">
        <v>135</v>
      </c>
      <c r="C38" s="330">
        <v>6235</v>
      </c>
      <c r="D38" s="330">
        <v>12</v>
      </c>
      <c r="E38" s="330">
        <v>1009</v>
      </c>
      <c r="F38" s="330">
        <v>1618</v>
      </c>
      <c r="G38" s="330">
        <v>895</v>
      </c>
      <c r="H38" s="330">
        <v>9769</v>
      </c>
      <c r="I38" s="330">
        <v>8874</v>
      </c>
      <c r="J38" s="330">
        <v>1</v>
      </c>
      <c r="K38" s="330">
        <v>104.3</v>
      </c>
      <c r="L38" s="330">
        <v>103.83</v>
      </c>
      <c r="M38" s="330">
        <v>5.33</v>
      </c>
      <c r="N38" s="330">
        <v>108.03</v>
      </c>
      <c r="O38" s="333">
        <v>5591</v>
      </c>
      <c r="P38" s="330">
        <v>88.8</v>
      </c>
      <c r="Q38" s="330">
        <v>86.57</v>
      </c>
      <c r="R38" s="330">
        <v>38.29</v>
      </c>
      <c r="S38" s="330">
        <v>123.59</v>
      </c>
      <c r="T38" s="330">
        <v>1961</v>
      </c>
      <c r="U38" s="330">
        <v>140.16999999999999</v>
      </c>
      <c r="V38" s="330">
        <v>257</v>
      </c>
      <c r="W38" s="330">
        <v>0</v>
      </c>
      <c r="X38" s="330">
        <v>0</v>
      </c>
      <c r="Y38" s="330">
        <v>14</v>
      </c>
      <c r="Z38" s="330">
        <v>13</v>
      </c>
      <c r="AA38" s="330">
        <v>31</v>
      </c>
      <c r="AB38" s="330">
        <v>15</v>
      </c>
      <c r="AC38" s="330">
        <v>14</v>
      </c>
      <c r="AD38" s="330">
        <v>5879</v>
      </c>
      <c r="AE38" s="330">
        <v>13</v>
      </c>
      <c r="AF38" s="330">
        <v>7</v>
      </c>
      <c r="AG38" s="330">
        <v>20</v>
      </c>
    </row>
    <row r="39" spans="1:33" x14ac:dyDescent="0.25">
      <c r="A39" s="329" t="s">
        <v>136</v>
      </c>
      <c r="B39" s="335" t="s">
        <v>137</v>
      </c>
      <c r="C39" s="331">
        <v>7142</v>
      </c>
      <c r="D39" s="331">
        <v>5</v>
      </c>
      <c r="E39" s="331">
        <v>202</v>
      </c>
      <c r="F39" s="331">
        <v>637</v>
      </c>
      <c r="G39" s="331">
        <v>570</v>
      </c>
      <c r="H39" s="331">
        <v>8556</v>
      </c>
      <c r="I39" s="330">
        <v>7986</v>
      </c>
      <c r="J39" s="330">
        <v>18</v>
      </c>
      <c r="K39" s="332">
        <v>109.81</v>
      </c>
      <c r="L39" s="332">
        <v>109.78</v>
      </c>
      <c r="M39" s="332">
        <v>7.08</v>
      </c>
      <c r="N39" s="332">
        <v>111.75</v>
      </c>
      <c r="O39" s="333">
        <v>6711</v>
      </c>
      <c r="P39" s="330">
        <v>92.18</v>
      </c>
      <c r="Q39" s="330">
        <v>95.12</v>
      </c>
      <c r="R39" s="330">
        <v>28.21</v>
      </c>
      <c r="S39" s="330">
        <v>119.37</v>
      </c>
      <c r="T39" s="330">
        <v>829</v>
      </c>
      <c r="U39" s="330">
        <v>152.61000000000001</v>
      </c>
      <c r="V39" s="330">
        <v>350</v>
      </c>
      <c r="W39" s="330">
        <v>0</v>
      </c>
      <c r="X39" s="330">
        <v>0</v>
      </c>
      <c r="Y39" s="330">
        <v>63</v>
      </c>
      <c r="Z39" s="330">
        <v>21</v>
      </c>
      <c r="AA39" s="330">
        <v>1</v>
      </c>
      <c r="AB39" s="330">
        <v>15</v>
      </c>
      <c r="AC39" s="330">
        <v>13</v>
      </c>
      <c r="AD39" s="334">
        <v>7120</v>
      </c>
      <c r="AE39" s="334">
        <v>31</v>
      </c>
      <c r="AF39" s="334">
        <v>8</v>
      </c>
      <c r="AG39" s="334">
        <v>39</v>
      </c>
    </row>
    <row r="40" spans="1:33" x14ac:dyDescent="0.25">
      <c r="A40" s="329" t="s">
        <v>138</v>
      </c>
      <c r="B40" s="335" t="s">
        <v>139</v>
      </c>
      <c r="C40" s="331">
        <v>27151</v>
      </c>
      <c r="D40" s="331">
        <v>172</v>
      </c>
      <c r="E40" s="331">
        <v>905</v>
      </c>
      <c r="F40" s="331">
        <v>3559</v>
      </c>
      <c r="G40" s="331">
        <v>775</v>
      </c>
      <c r="H40" s="331">
        <v>32562</v>
      </c>
      <c r="I40" s="330">
        <v>31787</v>
      </c>
      <c r="J40" s="330">
        <v>51</v>
      </c>
      <c r="K40" s="332">
        <v>79.41</v>
      </c>
      <c r="L40" s="332">
        <v>84.17</v>
      </c>
      <c r="M40" s="332">
        <v>5.87</v>
      </c>
      <c r="N40" s="332">
        <v>84.98</v>
      </c>
      <c r="O40" s="333">
        <v>25689</v>
      </c>
      <c r="P40" s="330">
        <v>78.56</v>
      </c>
      <c r="Q40" s="330">
        <v>77.62</v>
      </c>
      <c r="R40" s="330">
        <v>27.56</v>
      </c>
      <c r="S40" s="330">
        <v>105.06</v>
      </c>
      <c r="T40" s="330">
        <v>4031</v>
      </c>
      <c r="U40" s="330">
        <v>100.72</v>
      </c>
      <c r="V40" s="330">
        <v>1498</v>
      </c>
      <c r="W40" s="330">
        <v>147.85</v>
      </c>
      <c r="X40" s="330">
        <v>145</v>
      </c>
      <c r="Y40" s="330">
        <v>1</v>
      </c>
      <c r="Z40" s="330">
        <v>86</v>
      </c>
      <c r="AA40" s="330">
        <v>38</v>
      </c>
      <c r="AB40" s="330">
        <v>0</v>
      </c>
      <c r="AC40" s="330">
        <v>13</v>
      </c>
      <c r="AD40" s="334">
        <v>27125</v>
      </c>
      <c r="AE40" s="334">
        <v>763</v>
      </c>
      <c r="AF40" s="334">
        <v>217</v>
      </c>
      <c r="AG40" s="334">
        <v>980</v>
      </c>
    </row>
    <row r="41" spans="1:33" x14ac:dyDescent="0.25">
      <c r="A41" s="329" t="s">
        <v>140</v>
      </c>
      <c r="B41" s="335" t="s">
        <v>141</v>
      </c>
      <c r="C41" s="331">
        <v>9428</v>
      </c>
      <c r="D41" s="331">
        <v>19</v>
      </c>
      <c r="E41" s="331">
        <v>281</v>
      </c>
      <c r="F41" s="331">
        <v>697</v>
      </c>
      <c r="G41" s="331">
        <v>250</v>
      </c>
      <c r="H41" s="331">
        <v>10675</v>
      </c>
      <c r="I41" s="330">
        <v>10425</v>
      </c>
      <c r="J41" s="330">
        <v>2</v>
      </c>
      <c r="K41" s="332">
        <v>102.91</v>
      </c>
      <c r="L41" s="332">
        <v>96.77</v>
      </c>
      <c r="M41" s="332">
        <v>2.72</v>
      </c>
      <c r="N41" s="332">
        <v>103.73</v>
      </c>
      <c r="O41" s="333">
        <v>9092</v>
      </c>
      <c r="P41" s="330">
        <v>85.51</v>
      </c>
      <c r="Q41" s="330">
        <v>83.76</v>
      </c>
      <c r="R41" s="330">
        <v>33.53</v>
      </c>
      <c r="S41" s="330">
        <v>118.37</v>
      </c>
      <c r="T41" s="330">
        <v>808</v>
      </c>
      <c r="U41" s="330">
        <v>127.22</v>
      </c>
      <c r="V41" s="330">
        <v>297</v>
      </c>
      <c r="W41" s="330">
        <v>0</v>
      </c>
      <c r="X41" s="330">
        <v>0</v>
      </c>
      <c r="Y41" s="330">
        <v>0</v>
      </c>
      <c r="Z41" s="330">
        <v>56</v>
      </c>
      <c r="AA41" s="330">
        <v>6</v>
      </c>
      <c r="AB41" s="330">
        <v>3</v>
      </c>
      <c r="AC41" s="330">
        <v>5</v>
      </c>
      <c r="AD41" s="334">
        <v>9416</v>
      </c>
      <c r="AE41" s="334">
        <v>16</v>
      </c>
      <c r="AF41" s="334">
        <v>68</v>
      </c>
      <c r="AG41" s="334">
        <v>84</v>
      </c>
    </row>
    <row r="42" spans="1:33" x14ac:dyDescent="0.25">
      <c r="A42" s="329" t="s">
        <v>142</v>
      </c>
      <c r="B42" s="335" t="s">
        <v>143</v>
      </c>
      <c r="C42" s="331">
        <v>7037</v>
      </c>
      <c r="D42" s="331">
        <v>0</v>
      </c>
      <c r="E42" s="331">
        <v>200</v>
      </c>
      <c r="F42" s="331">
        <v>1031</v>
      </c>
      <c r="G42" s="331">
        <v>225</v>
      </c>
      <c r="H42" s="331">
        <v>8493</v>
      </c>
      <c r="I42" s="330">
        <v>8268</v>
      </c>
      <c r="J42" s="330">
        <v>24</v>
      </c>
      <c r="K42" s="332">
        <v>89.1</v>
      </c>
      <c r="L42" s="332">
        <v>88.95</v>
      </c>
      <c r="M42" s="332">
        <v>3.3</v>
      </c>
      <c r="N42" s="332">
        <v>89.74</v>
      </c>
      <c r="O42" s="333">
        <v>6775</v>
      </c>
      <c r="P42" s="330">
        <v>80.069999999999993</v>
      </c>
      <c r="Q42" s="330">
        <v>77.37</v>
      </c>
      <c r="R42" s="330">
        <v>23.39</v>
      </c>
      <c r="S42" s="330">
        <v>103.19</v>
      </c>
      <c r="T42" s="330">
        <v>1192</v>
      </c>
      <c r="U42" s="330">
        <v>112.74</v>
      </c>
      <c r="V42" s="330">
        <v>195</v>
      </c>
      <c r="W42" s="330">
        <v>0</v>
      </c>
      <c r="X42" s="330">
        <v>0</v>
      </c>
      <c r="Y42" s="330">
        <v>0</v>
      </c>
      <c r="Z42" s="330">
        <v>11</v>
      </c>
      <c r="AA42" s="330">
        <v>6</v>
      </c>
      <c r="AB42" s="330">
        <v>3</v>
      </c>
      <c r="AC42" s="330">
        <v>9</v>
      </c>
      <c r="AD42" s="334">
        <v>7033</v>
      </c>
      <c r="AE42" s="334">
        <v>32</v>
      </c>
      <c r="AF42" s="334">
        <v>18</v>
      </c>
      <c r="AG42" s="334">
        <v>50</v>
      </c>
    </row>
    <row r="43" spans="1:33" x14ac:dyDescent="0.25">
      <c r="A43" s="329" t="s">
        <v>144</v>
      </c>
      <c r="B43" s="335" t="s">
        <v>145</v>
      </c>
      <c r="C43" s="331">
        <v>14839</v>
      </c>
      <c r="D43" s="331">
        <v>173</v>
      </c>
      <c r="E43" s="331">
        <v>1042</v>
      </c>
      <c r="F43" s="331">
        <v>969</v>
      </c>
      <c r="G43" s="331">
        <v>2317</v>
      </c>
      <c r="H43" s="331">
        <v>19340</v>
      </c>
      <c r="I43" s="330">
        <v>17023</v>
      </c>
      <c r="J43" s="330">
        <v>71</v>
      </c>
      <c r="K43" s="332">
        <v>123.14</v>
      </c>
      <c r="L43" s="332">
        <v>130.59</v>
      </c>
      <c r="M43" s="332">
        <v>11.01</v>
      </c>
      <c r="N43" s="332">
        <v>130.06</v>
      </c>
      <c r="O43" s="333">
        <v>11891</v>
      </c>
      <c r="P43" s="330">
        <v>106.71</v>
      </c>
      <c r="Q43" s="330">
        <v>104.62</v>
      </c>
      <c r="R43" s="330">
        <v>54.03</v>
      </c>
      <c r="S43" s="330">
        <v>155.76</v>
      </c>
      <c r="T43" s="330">
        <v>955</v>
      </c>
      <c r="U43" s="330">
        <v>201.96</v>
      </c>
      <c r="V43" s="330">
        <v>590</v>
      </c>
      <c r="W43" s="330">
        <v>225.86</v>
      </c>
      <c r="X43" s="330">
        <v>40</v>
      </c>
      <c r="Y43" s="330">
        <v>16</v>
      </c>
      <c r="Z43" s="330">
        <v>22</v>
      </c>
      <c r="AA43" s="330">
        <v>0</v>
      </c>
      <c r="AB43" s="330">
        <v>304</v>
      </c>
      <c r="AC43" s="330">
        <v>95</v>
      </c>
      <c r="AD43" s="334">
        <v>13329</v>
      </c>
      <c r="AE43" s="334">
        <v>76</v>
      </c>
      <c r="AF43" s="334">
        <v>59</v>
      </c>
      <c r="AG43" s="334">
        <v>135</v>
      </c>
    </row>
    <row r="44" spans="1:33" x14ac:dyDescent="0.25">
      <c r="A44" s="329" t="s">
        <v>146</v>
      </c>
      <c r="B44" s="335" t="s">
        <v>147</v>
      </c>
      <c r="C44" s="331">
        <v>737</v>
      </c>
      <c r="D44" s="331">
        <v>7</v>
      </c>
      <c r="E44" s="331">
        <v>119</v>
      </c>
      <c r="F44" s="331">
        <v>162</v>
      </c>
      <c r="G44" s="331">
        <v>175</v>
      </c>
      <c r="H44" s="331">
        <v>1200</v>
      </c>
      <c r="I44" s="330">
        <v>1025</v>
      </c>
      <c r="J44" s="330">
        <v>2</v>
      </c>
      <c r="K44" s="332">
        <v>117.67</v>
      </c>
      <c r="L44" s="332">
        <v>116.21</v>
      </c>
      <c r="M44" s="332">
        <v>7.34</v>
      </c>
      <c r="N44" s="332">
        <v>124.34</v>
      </c>
      <c r="O44" s="333">
        <v>537</v>
      </c>
      <c r="P44" s="330">
        <v>93.25</v>
      </c>
      <c r="Q44" s="330">
        <v>84.09</v>
      </c>
      <c r="R44" s="330">
        <v>41.77</v>
      </c>
      <c r="S44" s="330">
        <v>127.59</v>
      </c>
      <c r="T44" s="330">
        <v>281</v>
      </c>
      <c r="U44" s="330">
        <v>141.26</v>
      </c>
      <c r="V44" s="330">
        <v>45</v>
      </c>
      <c r="W44" s="330">
        <v>0</v>
      </c>
      <c r="X44" s="330">
        <v>0</v>
      </c>
      <c r="Y44" s="330">
        <v>3</v>
      </c>
      <c r="Z44" s="330">
        <v>0</v>
      </c>
      <c r="AA44" s="330">
        <v>0</v>
      </c>
      <c r="AB44" s="330">
        <v>13</v>
      </c>
      <c r="AC44" s="330">
        <v>2</v>
      </c>
      <c r="AD44" s="334">
        <v>585</v>
      </c>
      <c r="AE44" s="334">
        <v>2</v>
      </c>
      <c r="AF44" s="334">
        <v>2</v>
      </c>
      <c r="AG44" s="334">
        <v>4</v>
      </c>
    </row>
    <row r="45" spans="1:33" x14ac:dyDescent="0.25">
      <c r="A45" s="329" t="s">
        <v>148</v>
      </c>
      <c r="B45" s="335" t="s">
        <v>149</v>
      </c>
      <c r="C45" s="331">
        <v>4676</v>
      </c>
      <c r="D45" s="331">
        <v>66</v>
      </c>
      <c r="E45" s="331">
        <v>1012</v>
      </c>
      <c r="F45" s="331">
        <v>925</v>
      </c>
      <c r="G45" s="331">
        <v>822</v>
      </c>
      <c r="H45" s="331">
        <v>7501</v>
      </c>
      <c r="I45" s="330">
        <v>6679</v>
      </c>
      <c r="J45" s="330">
        <v>5</v>
      </c>
      <c r="K45" s="332">
        <v>96.32</v>
      </c>
      <c r="L45" s="332">
        <v>95.51</v>
      </c>
      <c r="M45" s="332">
        <v>9.41</v>
      </c>
      <c r="N45" s="332">
        <v>104</v>
      </c>
      <c r="O45" s="333">
        <v>3935</v>
      </c>
      <c r="P45" s="330">
        <v>85.41</v>
      </c>
      <c r="Q45" s="330">
        <v>81.98</v>
      </c>
      <c r="R45" s="330">
        <v>42.23</v>
      </c>
      <c r="S45" s="330">
        <v>126.31</v>
      </c>
      <c r="T45" s="330">
        <v>1232</v>
      </c>
      <c r="U45" s="330">
        <v>159.05000000000001</v>
      </c>
      <c r="V45" s="330">
        <v>295</v>
      </c>
      <c r="W45" s="330">
        <v>0</v>
      </c>
      <c r="X45" s="330">
        <v>0</v>
      </c>
      <c r="Y45" s="330">
        <v>18</v>
      </c>
      <c r="Z45" s="330">
        <v>0</v>
      </c>
      <c r="AA45" s="330">
        <v>4</v>
      </c>
      <c r="AB45" s="330">
        <v>93</v>
      </c>
      <c r="AC45" s="330">
        <v>26</v>
      </c>
      <c r="AD45" s="334">
        <v>4290</v>
      </c>
      <c r="AE45" s="334">
        <v>27</v>
      </c>
      <c r="AF45" s="334">
        <v>15</v>
      </c>
      <c r="AG45" s="334">
        <v>42</v>
      </c>
    </row>
    <row r="46" spans="1:33" x14ac:dyDescent="0.25">
      <c r="A46" s="329" t="s">
        <v>150</v>
      </c>
      <c r="B46" s="335" t="s">
        <v>151</v>
      </c>
      <c r="C46" s="331">
        <v>8119</v>
      </c>
      <c r="D46" s="331">
        <v>9</v>
      </c>
      <c r="E46" s="331">
        <v>1448</v>
      </c>
      <c r="F46" s="331">
        <v>2228</v>
      </c>
      <c r="G46" s="331">
        <v>1034</v>
      </c>
      <c r="H46" s="331">
        <v>12838</v>
      </c>
      <c r="I46" s="330">
        <v>11804</v>
      </c>
      <c r="J46" s="330">
        <v>5</v>
      </c>
      <c r="K46" s="332">
        <v>95.88</v>
      </c>
      <c r="L46" s="332">
        <v>94.71</v>
      </c>
      <c r="M46" s="332">
        <v>7.15</v>
      </c>
      <c r="N46" s="332">
        <v>101.28</v>
      </c>
      <c r="O46" s="333">
        <v>5673</v>
      </c>
      <c r="P46" s="330">
        <v>87.1</v>
      </c>
      <c r="Q46" s="330">
        <v>86.14</v>
      </c>
      <c r="R46" s="330">
        <v>32.74</v>
      </c>
      <c r="S46" s="330">
        <v>119.22</v>
      </c>
      <c r="T46" s="330">
        <v>2969</v>
      </c>
      <c r="U46" s="330">
        <v>128.82</v>
      </c>
      <c r="V46" s="330">
        <v>569</v>
      </c>
      <c r="W46" s="330">
        <v>152.38999999999999</v>
      </c>
      <c r="X46" s="330">
        <v>1</v>
      </c>
      <c r="Y46" s="330">
        <v>1</v>
      </c>
      <c r="Z46" s="330">
        <v>9</v>
      </c>
      <c r="AA46" s="330">
        <v>6</v>
      </c>
      <c r="AB46" s="330">
        <v>9</v>
      </c>
      <c r="AC46" s="330">
        <v>35</v>
      </c>
      <c r="AD46" s="334">
        <v>6424</v>
      </c>
      <c r="AE46" s="334">
        <v>68</v>
      </c>
      <c r="AF46" s="334">
        <v>48</v>
      </c>
      <c r="AG46" s="334">
        <v>116</v>
      </c>
    </row>
    <row r="47" spans="1:33" x14ac:dyDescent="0.25">
      <c r="A47" s="329" t="s">
        <v>152</v>
      </c>
      <c r="B47" s="335" t="s">
        <v>153</v>
      </c>
      <c r="C47" s="331">
        <v>4320</v>
      </c>
      <c r="D47" s="331">
        <v>0</v>
      </c>
      <c r="E47" s="331">
        <v>194</v>
      </c>
      <c r="F47" s="331">
        <v>540</v>
      </c>
      <c r="G47" s="331">
        <v>281</v>
      </c>
      <c r="H47" s="331">
        <v>5335</v>
      </c>
      <c r="I47" s="330">
        <v>5054</v>
      </c>
      <c r="J47" s="330">
        <v>8</v>
      </c>
      <c r="K47" s="332">
        <v>92.83</v>
      </c>
      <c r="L47" s="332">
        <v>89.33</v>
      </c>
      <c r="M47" s="332">
        <v>0.79</v>
      </c>
      <c r="N47" s="332">
        <v>93.55</v>
      </c>
      <c r="O47" s="333">
        <v>3770</v>
      </c>
      <c r="P47" s="330">
        <v>87.77</v>
      </c>
      <c r="Q47" s="330">
        <v>76.2</v>
      </c>
      <c r="R47" s="330">
        <v>22.83</v>
      </c>
      <c r="S47" s="330">
        <v>107.35</v>
      </c>
      <c r="T47" s="330">
        <v>723</v>
      </c>
      <c r="U47" s="330">
        <v>104.4</v>
      </c>
      <c r="V47" s="330">
        <v>487</v>
      </c>
      <c r="W47" s="330">
        <v>0</v>
      </c>
      <c r="X47" s="330">
        <v>0</v>
      </c>
      <c r="Y47" s="330">
        <v>0</v>
      </c>
      <c r="Z47" s="330">
        <v>7</v>
      </c>
      <c r="AA47" s="330">
        <v>2</v>
      </c>
      <c r="AB47" s="330">
        <v>2</v>
      </c>
      <c r="AC47" s="330">
        <v>3</v>
      </c>
      <c r="AD47" s="334">
        <v>4320</v>
      </c>
      <c r="AE47" s="334">
        <v>28</v>
      </c>
      <c r="AF47" s="334">
        <v>8</v>
      </c>
      <c r="AG47" s="334">
        <v>36</v>
      </c>
    </row>
    <row r="48" spans="1:33" x14ac:dyDescent="0.25">
      <c r="A48" s="329" t="s">
        <v>154</v>
      </c>
      <c r="B48" s="335" t="s">
        <v>155</v>
      </c>
      <c r="C48" s="331">
        <v>16009</v>
      </c>
      <c r="D48" s="331">
        <v>62</v>
      </c>
      <c r="E48" s="331">
        <v>561</v>
      </c>
      <c r="F48" s="331">
        <v>2238</v>
      </c>
      <c r="G48" s="331">
        <v>861</v>
      </c>
      <c r="H48" s="331">
        <v>19731</v>
      </c>
      <c r="I48" s="330">
        <v>18870</v>
      </c>
      <c r="J48" s="330">
        <v>37</v>
      </c>
      <c r="K48" s="332">
        <v>115.93</v>
      </c>
      <c r="L48" s="332">
        <v>115.9</v>
      </c>
      <c r="M48" s="332">
        <v>11.74</v>
      </c>
      <c r="N48" s="332">
        <v>122.62</v>
      </c>
      <c r="O48" s="333">
        <v>13512</v>
      </c>
      <c r="P48" s="330">
        <v>104.3</v>
      </c>
      <c r="Q48" s="330">
        <v>104.02</v>
      </c>
      <c r="R48" s="330">
        <v>38.18</v>
      </c>
      <c r="S48" s="330">
        <v>141.97</v>
      </c>
      <c r="T48" s="330">
        <v>2319</v>
      </c>
      <c r="U48" s="330">
        <v>165.86</v>
      </c>
      <c r="V48" s="330">
        <v>1348</v>
      </c>
      <c r="W48" s="330">
        <v>0</v>
      </c>
      <c r="X48" s="330">
        <v>0</v>
      </c>
      <c r="Y48" s="330">
        <v>45</v>
      </c>
      <c r="Z48" s="330">
        <v>20</v>
      </c>
      <c r="AA48" s="330">
        <v>23</v>
      </c>
      <c r="AB48" s="330">
        <v>42</v>
      </c>
      <c r="AC48" s="330">
        <v>25</v>
      </c>
      <c r="AD48" s="334">
        <v>15211</v>
      </c>
      <c r="AE48" s="334">
        <v>135</v>
      </c>
      <c r="AF48" s="334">
        <v>84</v>
      </c>
      <c r="AG48" s="334">
        <v>219</v>
      </c>
    </row>
    <row r="49" spans="1:33" x14ac:dyDescent="0.25">
      <c r="A49" s="329" t="s">
        <v>156</v>
      </c>
      <c r="B49" s="335" t="s">
        <v>157</v>
      </c>
      <c r="C49" s="331">
        <v>3084</v>
      </c>
      <c r="D49" s="331">
        <v>0</v>
      </c>
      <c r="E49" s="331">
        <v>69</v>
      </c>
      <c r="F49" s="331">
        <v>990</v>
      </c>
      <c r="G49" s="331">
        <v>290</v>
      </c>
      <c r="H49" s="331">
        <v>4433</v>
      </c>
      <c r="I49" s="330">
        <v>4143</v>
      </c>
      <c r="J49" s="330">
        <v>0</v>
      </c>
      <c r="K49" s="332">
        <v>90.78</v>
      </c>
      <c r="L49" s="332">
        <v>90.7</v>
      </c>
      <c r="M49" s="332">
        <v>3.86</v>
      </c>
      <c r="N49" s="332">
        <v>92.79</v>
      </c>
      <c r="O49" s="333">
        <v>2829</v>
      </c>
      <c r="P49" s="330">
        <v>81</v>
      </c>
      <c r="Q49" s="330">
        <v>83.58</v>
      </c>
      <c r="R49" s="330">
        <v>18.05</v>
      </c>
      <c r="S49" s="330">
        <v>99.03</v>
      </c>
      <c r="T49" s="330">
        <v>999</v>
      </c>
      <c r="U49" s="330">
        <v>114.17</v>
      </c>
      <c r="V49" s="330">
        <v>208</v>
      </c>
      <c r="W49" s="330">
        <v>0</v>
      </c>
      <c r="X49" s="330">
        <v>0</v>
      </c>
      <c r="Y49" s="330">
        <v>0</v>
      </c>
      <c r="Z49" s="330">
        <v>12</v>
      </c>
      <c r="AA49" s="330">
        <v>3</v>
      </c>
      <c r="AB49" s="330">
        <v>10</v>
      </c>
      <c r="AC49" s="330">
        <v>7</v>
      </c>
      <c r="AD49" s="334">
        <v>3084</v>
      </c>
      <c r="AE49" s="334">
        <v>14</v>
      </c>
      <c r="AF49" s="334">
        <v>0</v>
      </c>
      <c r="AG49" s="334">
        <v>14</v>
      </c>
    </row>
    <row r="50" spans="1:33" x14ac:dyDescent="0.25">
      <c r="A50" s="329" t="s">
        <v>158</v>
      </c>
      <c r="B50" s="335" t="s">
        <v>159</v>
      </c>
      <c r="C50" s="331">
        <v>4286</v>
      </c>
      <c r="D50" s="331">
        <v>0</v>
      </c>
      <c r="E50" s="331">
        <v>116</v>
      </c>
      <c r="F50" s="331">
        <v>799</v>
      </c>
      <c r="G50" s="331">
        <v>368</v>
      </c>
      <c r="H50" s="331">
        <v>5569</v>
      </c>
      <c r="I50" s="330">
        <v>5201</v>
      </c>
      <c r="J50" s="330">
        <v>0</v>
      </c>
      <c r="K50" s="332">
        <v>119.01</v>
      </c>
      <c r="L50" s="332">
        <v>115.22</v>
      </c>
      <c r="M50" s="332">
        <v>6.48</v>
      </c>
      <c r="N50" s="332">
        <v>122.93</v>
      </c>
      <c r="O50" s="333">
        <v>4068</v>
      </c>
      <c r="P50" s="330">
        <v>103.28</v>
      </c>
      <c r="Q50" s="330">
        <v>100.8</v>
      </c>
      <c r="R50" s="330">
        <v>16.37</v>
      </c>
      <c r="S50" s="330">
        <v>117.18</v>
      </c>
      <c r="T50" s="330">
        <v>912</v>
      </c>
      <c r="U50" s="330">
        <v>163</v>
      </c>
      <c r="V50" s="330">
        <v>185</v>
      </c>
      <c r="W50" s="330">
        <v>190.45</v>
      </c>
      <c r="X50" s="330">
        <v>2</v>
      </c>
      <c r="Y50" s="330">
        <v>0</v>
      </c>
      <c r="Z50" s="330">
        <v>18</v>
      </c>
      <c r="AA50" s="330">
        <v>1</v>
      </c>
      <c r="AB50" s="330">
        <v>11</v>
      </c>
      <c r="AC50" s="330">
        <v>9</v>
      </c>
      <c r="AD50" s="334">
        <v>4286</v>
      </c>
      <c r="AE50" s="334">
        <v>6</v>
      </c>
      <c r="AF50" s="334">
        <v>20</v>
      </c>
      <c r="AG50" s="334">
        <v>26</v>
      </c>
    </row>
    <row r="51" spans="1:33" x14ac:dyDescent="0.25">
      <c r="A51" s="329" t="s">
        <v>160</v>
      </c>
      <c r="B51" s="335" t="s">
        <v>161</v>
      </c>
      <c r="C51" s="331">
        <v>1013</v>
      </c>
      <c r="D51" s="331">
        <v>0</v>
      </c>
      <c r="E51" s="331">
        <v>74</v>
      </c>
      <c r="F51" s="331">
        <v>120</v>
      </c>
      <c r="G51" s="331">
        <v>78</v>
      </c>
      <c r="H51" s="331">
        <v>1285</v>
      </c>
      <c r="I51" s="330">
        <v>1207</v>
      </c>
      <c r="J51" s="330">
        <v>44</v>
      </c>
      <c r="K51" s="332">
        <v>80.63</v>
      </c>
      <c r="L51" s="332">
        <v>78.83</v>
      </c>
      <c r="M51" s="332">
        <v>6.88</v>
      </c>
      <c r="N51" s="332">
        <v>86.29</v>
      </c>
      <c r="O51" s="333">
        <v>931</v>
      </c>
      <c r="P51" s="330">
        <v>82.5</v>
      </c>
      <c r="Q51" s="330">
        <v>66.03</v>
      </c>
      <c r="R51" s="330">
        <v>40.94</v>
      </c>
      <c r="S51" s="330">
        <v>120.59</v>
      </c>
      <c r="T51" s="330">
        <v>158</v>
      </c>
      <c r="U51" s="330">
        <v>94.9</v>
      </c>
      <c r="V51" s="330">
        <v>65</v>
      </c>
      <c r="W51" s="330">
        <v>101.19</v>
      </c>
      <c r="X51" s="330">
        <v>4</v>
      </c>
      <c r="Y51" s="330">
        <v>0</v>
      </c>
      <c r="Z51" s="330">
        <v>1</v>
      </c>
      <c r="AA51" s="330">
        <v>2</v>
      </c>
      <c r="AB51" s="330">
        <v>0</v>
      </c>
      <c r="AC51" s="330">
        <v>4</v>
      </c>
      <c r="AD51" s="334">
        <v>1013</v>
      </c>
      <c r="AE51" s="334">
        <v>4</v>
      </c>
      <c r="AF51" s="334">
        <v>6</v>
      </c>
      <c r="AG51" s="334">
        <v>10</v>
      </c>
    </row>
    <row r="52" spans="1:33" ht="14.5" x14ac:dyDescent="0.35">
      <c r="A52" s="336" t="s">
        <v>775</v>
      </c>
      <c r="B52" s="336" t="s">
        <v>770</v>
      </c>
      <c r="C52" s="330">
        <v>23288</v>
      </c>
      <c r="D52" s="330">
        <v>119</v>
      </c>
      <c r="E52" s="330">
        <v>1042</v>
      </c>
      <c r="F52" s="330">
        <v>3823</v>
      </c>
      <c r="G52" s="330">
        <v>1978</v>
      </c>
      <c r="H52" s="330">
        <v>30250</v>
      </c>
      <c r="I52" s="330">
        <v>28272</v>
      </c>
      <c r="J52" s="330">
        <v>449</v>
      </c>
      <c r="K52" s="337">
        <v>110.98</v>
      </c>
      <c r="L52" s="337">
        <v>112.2</v>
      </c>
      <c r="M52" s="337">
        <v>3.64</v>
      </c>
      <c r="N52" s="337">
        <v>113.12</v>
      </c>
      <c r="O52" s="330">
        <v>21305</v>
      </c>
      <c r="P52" s="337">
        <v>97.82</v>
      </c>
      <c r="Q52" s="337">
        <v>96.85</v>
      </c>
      <c r="R52" s="337">
        <v>25.1</v>
      </c>
      <c r="S52" s="337">
        <v>120.52</v>
      </c>
      <c r="T52" s="330">
        <v>4507</v>
      </c>
      <c r="U52" s="337">
        <v>150.06</v>
      </c>
      <c r="V52" s="330">
        <v>1668</v>
      </c>
      <c r="W52" s="337">
        <v>131.62</v>
      </c>
      <c r="X52" s="330">
        <v>8</v>
      </c>
      <c r="Y52" s="330">
        <v>333</v>
      </c>
      <c r="Z52" s="330">
        <v>100</v>
      </c>
      <c r="AA52" s="330">
        <v>44</v>
      </c>
      <c r="AB52" s="330">
        <v>136</v>
      </c>
      <c r="AC52" s="330">
        <v>67</v>
      </c>
      <c r="AD52" s="330">
        <v>22964</v>
      </c>
      <c r="AE52" s="330">
        <v>77</v>
      </c>
      <c r="AF52" s="330">
        <v>161</v>
      </c>
      <c r="AG52" s="330">
        <v>238</v>
      </c>
    </row>
    <row r="53" spans="1:33" x14ac:dyDescent="0.25">
      <c r="A53" s="329" t="s">
        <v>162</v>
      </c>
      <c r="B53" s="335" t="s">
        <v>163</v>
      </c>
      <c r="C53" s="331">
        <v>4139</v>
      </c>
      <c r="D53" s="331">
        <v>0</v>
      </c>
      <c r="E53" s="331">
        <v>166</v>
      </c>
      <c r="F53" s="331">
        <v>1564</v>
      </c>
      <c r="G53" s="331">
        <v>13</v>
      </c>
      <c r="H53" s="331">
        <v>5882</v>
      </c>
      <c r="I53" s="330">
        <v>5869</v>
      </c>
      <c r="J53" s="330">
        <v>25</v>
      </c>
      <c r="K53" s="332">
        <v>81.11</v>
      </c>
      <c r="L53" s="332">
        <v>78.48</v>
      </c>
      <c r="M53" s="332">
        <v>2.23</v>
      </c>
      <c r="N53" s="332">
        <v>83.13</v>
      </c>
      <c r="O53" s="333">
        <v>3946</v>
      </c>
      <c r="P53" s="330">
        <v>74.34</v>
      </c>
      <c r="Q53" s="330">
        <v>68.23</v>
      </c>
      <c r="R53" s="330">
        <v>16.46</v>
      </c>
      <c r="S53" s="330">
        <v>90.45</v>
      </c>
      <c r="T53" s="330">
        <v>1651</v>
      </c>
      <c r="U53" s="330">
        <v>93.75</v>
      </c>
      <c r="V53" s="330">
        <v>187</v>
      </c>
      <c r="W53" s="330">
        <v>91.37</v>
      </c>
      <c r="X53" s="330">
        <v>1</v>
      </c>
      <c r="Y53" s="330">
        <v>0</v>
      </c>
      <c r="Z53" s="330">
        <v>11</v>
      </c>
      <c r="AA53" s="330">
        <v>1</v>
      </c>
      <c r="AB53" s="330">
        <v>0</v>
      </c>
      <c r="AC53" s="330">
        <v>0</v>
      </c>
      <c r="AD53" s="334">
        <v>4139</v>
      </c>
      <c r="AE53" s="334">
        <v>87</v>
      </c>
      <c r="AF53" s="334">
        <v>14</v>
      </c>
      <c r="AG53" s="334">
        <v>101</v>
      </c>
    </row>
    <row r="54" spans="1:33" x14ac:dyDescent="0.25">
      <c r="A54" s="329" t="s">
        <v>164</v>
      </c>
      <c r="B54" s="335" t="s">
        <v>165</v>
      </c>
      <c r="C54" s="331">
        <v>3702</v>
      </c>
      <c r="D54" s="331">
        <v>0</v>
      </c>
      <c r="E54" s="331">
        <v>375</v>
      </c>
      <c r="F54" s="331">
        <v>594</v>
      </c>
      <c r="G54" s="331">
        <v>133</v>
      </c>
      <c r="H54" s="331">
        <v>4804</v>
      </c>
      <c r="I54" s="330">
        <v>4671</v>
      </c>
      <c r="J54" s="330">
        <v>0</v>
      </c>
      <c r="K54" s="332">
        <v>82.09</v>
      </c>
      <c r="L54" s="332">
        <v>81.72</v>
      </c>
      <c r="M54" s="332">
        <v>5.86</v>
      </c>
      <c r="N54" s="332">
        <v>85.24</v>
      </c>
      <c r="O54" s="333">
        <v>3128</v>
      </c>
      <c r="P54" s="330">
        <v>85.95</v>
      </c>
      <c r="Q54" s="330">
        <v>77.900000000000006</v>
      </c>
      <c r="R54" s="330">
        <v>31.88</v>
      </c>
      <c r="S54" s="330">
        <v>115.92</v>
      </c>
      <c r="T54" s="330">
        <v>802</v>
      </c>
      <c r="U54" s="330">
        <v>102.2</v>
      </c>
      <c r="V54" s="330">
        <v>298</v>
      </c>
      <c r="W54" s="330">
        <v>0</v>
      </c>
      <c r="X54" s="330">
        <v>0</v>
      </c>
      <c r="Y54" s="330">
        <v>0</v>
      </c>
      <c r="Z54" s="330">
        <v>4</v>
      </c>
      <c r="AA54" s="330">
        <v>9</v>
      </c>
      <c r="AB54" s="330">
        <v>0</v>
      </c>
      <c r="AC54" s="330">
        <v>3</v>
      </c>
      <c r="AD54" s="334">
        <v>3400</v>
      </c>
      <c r="AE54" s="334">
        <v>18</v>
      </c>
      <c r="AF54" s="334">
        <v>20</v>
      </c>
      <c r="AG54" s="334">
        <v>38</v>
      </c>
    </row>
    <row r="55" spans="1:33" x14ac:dyDescent="0.25">
      <c r="A55" s="329" t="s">
        <v>166</v>
      </c>
      <c r="B55" s="335" t="s">
        <v>167</v>
      </c>
      <c r="C55" s="331">
        <v>13004</v>
      </c>
      <c r="D55" s="331">
        <v>0</v>
      </c>
      <c r="E55" s="331">
        <v>171</v>
      </c>
      <c r="F55" s="331">
        <v>1157</v>
      </c>
      <c r="G55" s="331">
        <v>292</v>
      </c>
      <c r="H55" s="331">
        <v>14624</v>
      </c>
      <c r="I55" s="330">
        <v>14332</v>
      </c>
      <c r="J55" s="330">
        <v>7</v>
      </c>
      <c r="K55" s="332">
        <v>77.319999999999993</v>
      </c>
      <c r="L55" s="332">
        <v>83.16</v>
      </c>
      <c r="M55" s="332">
        <v>6.15</v>
      </c>
      <c r="N55" s="332">
        <v>83.14</v>
      </c>
      <c r="O55" s="333">
        <v>12576</v>
      </c>
      <c r="P55" s="330">
        <v>79.97</v>
      </c>
      <c r="Q55" s="330">
        <v>75.12</v>
      </c>
      <c r="R55" s="330">
        <v>27.1</v>
      </c>
      <c r="S55" s="330">
        <v>106.76</v>
      </c>
      <c r="T55" s="330">
        <v>1281</v>
      </c>
      <c r="U55" s="330">
        <v>96.13</v>
      </c>
      <c r="V55" s="330">
        <v>360</v>
      </c>
      <c r="W55" s="330">
        <v>0</v>
      </c>
      <c r="X55" s="330">
        <v>0</v>
      </c>
      <c r="Y55" s="330">
        <v>38</v>
      </c>
      <c r="Z55" s="330">
        <v>35</v>
      </c>
      <c r="AA55" s="330">
        <v>16</v>
      </c>
      <c r="AB55" s="330">
        <v>2</v>
      </c>
      <c r="AC55" s="330">
        <v>6</v>
      </c>
      <c r="AD55" s="334">
        <v>12978</v>
      </c>
      <c r="AE55" s="334">
        <v>399</v>
      </c>
      <c r="AF55" s="334">
        <v>320</v>
      </c>
      <c r="AG55" s="334">
        <v>719</v>
      </c>
    </row>
    <row r="56" spans="1:33" x14ac:dyDescent="0.25">
      <c r="A56" s="329" t="s">
        <v>168</v>
      </c>
      <c r="B56" s="335" t="s">
        <v>169</v>
      </c>
      <c r="C56" s="331">
        <v>3650</v>
      </c>
      <c r="D56" s="331">
        <v>112</v>
      </c>
      <c r="E56" s="331">
        <v>537</v>
      </c>
      <c r="F56" s="331">
        <v>443</v>
      </c>
      <c r="G56" s="331">
        <v>561</v>
      </c>
      <c r="H56" s="331">
        <v>5303</v>
      </c>
      <c r="I56" s="330">
        <v>4742</v>
      </c>
      <c r="J56" s="330">
        <v>6</v>
      </c>
      <c r="K56" s="332">
        <v>108.97</v>
      </c>
      <c r="L56" s="332">
        <v>110.9</v>
      </c>
      <c r="M56" s="332">
        <v>6.56</v>
      </c>
      <c r="N56" s="332">
        <v>113.25</v>
      </c>
      <c r="O56" s="333">
        <v>2487</v>
      </c>
      <c r="P56" s="330">
        <v>89.64</v>
      </c>
      <c r="Q56" s="330">
        <v>88.49</v>
      </c>
      <c r="R56" s="330">
        <v>50.89</v>
      </c>
      <c r="S56" s="330">
        <v>136.38999999999999</v>
      </c>
      <c r="T56" s="330">
        <v>810</v>
      </c>
      <c r="U56" s="330">
        <v>143.94999999999999</v>
      </c>
      <c r="V56" s="330">
        <v>300</v>
      </c>
      <c r="W56" s="330">
        <v>124.8</v>
      </c>
      <c r="X56" s="330">
        <v>2</v>
      </c>
      <c r="Y56" s="330">
        <v>44</v>
      </c>
      <c r="Z56" s="330">
        <v>2</v>
      </c>
      <c r="AA56" s="330">
        <v>0</v>
      </c>
      <c r="AB56" s="330">
        <v>98</v>
      </c>
      <c r="AC56" s="330">
        <v>65</v>
      </c>
      <c r="AD56" s="334">
        <v>3376</v>
      </c>
      <c r="AE56" s="334">
        <v>33</v>
      </c>
      <c r="AF56" s="334">
        <v>10</v>
      </c>
      <c r="AG56" s="334">
        <v>43</v>
      </c>
    </row>
    <row r="57" spans="1:33" x14ac:dyDescent="0.25">
      <c r="A57" s="329" t="s">
        <v>170</v>
      </c>
      <c r="B57" s="335" t="s">
        <v>171</v>
      </c>
      <c r="C57" s="331">
        <v>7928</v>
      </c>
      <c r="D57" s="331">
        <v>682</v>
      </c>
      <c r="E57" s="331">
        <v>1670</v>
      </c>
      <c r="F57" s="331">
        <v>1018</v>
      </c>
      <c r="G57" s="331">
        <v>609</v>
      </c>
      <c r="H57" s="331">
        <v>11907</v>
      </c>
      <c r="I57" s="330">
        <v>11298</v>
      </c>
      <c r="J57" s="330">
        <v>66</v>
      </c>
      <c r="K57" s="332">
        <v>132.35</v>
      </c>
      <c r="L57" s="332">
        <v>142.91</v>
      </c>
      <c r="M57" s="332">
        <v>10.49</v>
      </c>
      <c r="N57" s="332">
        <v>141.11000000000001</v>
      </c>
      <c r="O57" s="333">
        <v>6245</v>
      </c>
      <c r="P57" s="330">
        <v>111.92</v>
      </c>
      <c r="Q57" s="330">
        <v>112.81</v>
      </c>
      <c r="R57" s="330">
        <v>48.47</v>
      </c>
      <c r="S57" s="330">
        <v>153.09</v>
      </c>
      <c r="T57" s="330">
        <v>2496</v>
      </c>
      <c r="U57" s="330">
        <v>211.21</v>
      </c>
      <c r="V57" s="330">
        <v>172</v>
      </c>
      <c r="W57" s="330">
        <v>0</v>
      </c>
      <c r="X57" s="330">
        <v>0</v>
      </c>
      <c r="Y57" s="330">
        <v>0</v>
      </c>
      <c r="Z57" s="330">
        <v>3</v>
      </c>
      <c r="AA57" s="330">
        <v>13</v>
      </c>
      <c r="AB57" s="330">
        <v>13</v>
      </c>
      <c r="AC57" s="330">
        <v>26</v>
      </c>
      <c r="AD57" s="334">
        <v>6545</v>
      </c>
      <c r="AE57" s="334">
        <v>31</v>
      </c>
      <c r="AF57" s="334">
        <v>53</v>
      </c>
      <c r="AG57" s="334">
        <v>84</v>
      </c>
    </row>
    <row r="58" spans="1:33" x14ac:dyDescent="0.25">
      <c r="A58" s="329" t="s">
        <v>172</v>
      </c>
      <c r="B58" s="335" t="s">
        <v>173</v>
      </c>
      <c r="C58" s="331">
        <v>1333</v>
      </c>
      <c r="D58" s="331">
        <v>3</v>
      </c>
      <c r="E58" s="331">
        <v>140</v>
      </c>
      <c r="F58" s="331">
        <v>337</v>
      </c>
      <c r="G58" s="331">
        <v>256</v>
      </c>
      <c r="H58" s="331">
        <v>2069</v>
      </c>
      <c r="I58" s="330">
        <v>1813</v>
      </c>
      <c r="J58" s="330">
        <v>1</v>
      </c>
      <c r="K58" s="332">
        <v>90.25</v>
      </c>
      <c r="L58" s="332">
        <v>90.41</v>
      </c>
      <c r="M58" s="332">
        <v>4.83</v>
      </c>
      <c r="N58" s="332">
        <v>93.41</v>
      </c>
      <c r="O58" s="333">
        <v>1180</v>
      </c>
      <c r="P58" s="330">
        <v>85.07</v>
      </c>
      <c r="Q58" s="330">
        <v>84.22</v>
      </c>
      <c r="R58" s="330">
        <v>33.200000000000003</v>
      </c>
      <c r="S58" s="330">
        <v>117.4</v>
      </c>
      <c r="T58" s="330">
        <v>341</v>
      </c>
      <c r="U58" s="330">
        <v>108.35</v>
      </c>
      <c r="V58" s="330">
        <v>103</v>
      </c>
      <c r="W58" s="330">
        <v>166.22</v>
      </c>
      <c r="X58" s="330">
        <v>63</v>
      </c>
      <c r="Y58" s="330">
        <v>0</v>
      </c>
      <c r="Z58" s="330">
        <v>5</v>
      </c>
      <c r="AA58" s="330">
        <v>1</v>
      </c>
      <c r="AB58" s="330">
        <v>4</v>
      </c>
      <c r="AC58" s="330">
        <v>3</v>
      </c>
      <c r="AD58" s="334">
        <v>1314</v>
      </c>
      <c r="AE58" s="334">
        <v>8</v>
      </c>
      <c r="AF58" s="334">
        <v>3</v>
      </c>
      <c r="AG58" s="334">
        <v>11</v>
      </c>
    </row>
    <row r="59" spans="1:33" x14ac:dyDescent="0.25">
      <c r="A59" s="329" t="s">
        <v>174</v>
      </c>
      <c r="B59" s="335" t="s">
        <v>175</v>
      </c>
      <c r="C59" s="331">
        <v>1913</v>
      </c>
      <c r="D59" s="331">
        <v>0</v>
      </c>
      <c r="E59" s="331">
        <v>127</v>
      </c>
      <c r="F59" s="331">
        <v>378</v>
      </c>
      <c r="G59" s="331">
        <v>438</v>
      </c>
      <c r="H59" s="331">
        <v>2856</v>
      </c>
      <c r="I59" s="330">
        <v>2418</v>
      </c>
      <c r="J59" s="330">
        <v>0</v>
      </c>
      <c r="K59" s="332">
        <v>103.78</v>
      </c>
      <c r="L59" s="332">
        <v>104.3</v>
      </c>
      <c r="M59" s="332">
        <v>7.85</v>
      </c>
      <c r="N59" s="332">
        <v>110.06</v>
      </c>
      <c r="O59" s="333">
        <v>1391</v>
      </c>
      <c r="P59" s="330">
        <v>83.33</v>
      </c>
      <c r="Q59" s="330">
        <v>83.64</v>
      </c>
      <c r="R59" s="330">
        <v>44.32</v>
      </c>
      <c r="S59" s="330">
        <v>127.11</v>
      </c>
      <c r="T59" s="330">
        <v>496</v>
      </c>
      <c r="U59" s="330">
        <v>142.22</v>
      </c>
      <c r="V59" s="330">
        <v>216</v>
      </c>
      <c r="W59" s="330">
        <v>0</v>
      </c>
      <c r="X59" s="330">
        <v>0</v>
      </c>
      <c r="Y59" s="330">
        <v>0</v>
      </c>
      <c r="Z59" s="330">
        <v>0</v>
      </c>
      <c r="AA59" s="330">
        <v>0</v>
      </c>
      <c r="AB59" s="330">
        <v>2</v>
      </c>
      <c r="AC59" s="330">
        <v>12</v>
      </c>
      <c r="AD59" s="334">
        <v>1728</v>
      </c>
      <c r="AE59" s="334">
        <v>3</v>
      </c>
      <c r="AF59" s="334">
        <v>2</v>
      </c>
      <c r="AG59" s="334">
        <v>5</v>
      </c>
    </row>
    <row r="60" spans="1:33" x14ac:dyDescent="0.25">
      <c r="A60" s="329" t="s">
        <v>176</v>
      </c>
      <c r="B60" s="335" t="s">
        <v>177</v>
      </c>
      <c r="C60" s="331">
        <v>6921</v>
      </c>
      <c r="D60" s="331">
        <v>0</v>
      </c>
      <c r="E60" s="331">
        <v>278</v>
      </c>
      <c r="F60" s="331">
        <v>345</v>
      </c>
      <c r="G60" s="331">
        <v>356</v>
      </c>
      <c r="H60" s="331">
        <v>7900</v>
      </c>
      <c r="I60" s="330">
        <v>7544</v>
      </c>
      <c r="J60" s="330">
        <v>0</v>
      </c>
      <c r="K60" s="332">
        <v>82.3</v>
      </c>
      <c r="L60" s="332">
        <v>84.95</v>
      </c>
      <c r="M60" s="332">
        <v>2.73</v>
      </c>
      <c r="N60" s="332">
        <v>83.62</v>
      </c>
      <c r="O60" s="333">
        <v>6200</v>
      </c>
      <c r="P60" s="330">
        <v>77.95</v>
      </c>
      <c r="Q60" s="330">
        <v>75.680000000000007</v>
      </c>
      <c r="R60" s="330">
        <v>35.1</v>
      </c>
      <c r="S60" s="330">
        <v>109.07</v>
      </c>
      <c r="T60" s="330">
        <v>566</v>
      </c>
      <c r="U60" s="330">
        <v>91.21</v>
      </c>
      <c r="V60" s="330">
        <v>707</v>
      </c>
      <c r="W60" s="330">
        <v>0</v>
      </c>
      <c r="X60" s="330">
        <v>0</v>
      </c>
      <c r="Y60" s="330">
        <v>0</v>
      </c>
      <c r="Z60" s="330">
        <v>15</v>
      </c>
      <c r="AA60" s="330">
        <v>4</v>
      </c>
      <c r="AB60" s="330">
        <v>0</v>
      </c>
      <c r="AC60" s="330">
        <v>1</v>
      </c>
      <c r="AD60" s="334">
        <v>6911</v>
      </c>
      <c r="AE60" s="334">
        <v>83</v>
      </c>
      <c r="AF60" s="334">
        <v>35</v>
      </c>
      <c r="AG60" s="334">
        <v>118</v>
      </c>
    </row>
    <row r="61" spans="1:33" x14ac:dyDescent="0.25">
      <c r="A61" s="329" t="s">
        <v>178</v>
      </c>
      <c r="B61" s="335" t="s">
        <v>179</v>
      </c>
      <c r="C61" s="331">
        <v>428</v>
      </c>
      <c r="D61" s="331">
        <v>0</v>
      </c>
      <c r="E61" s="331">
        <v>63</v>
      </c>
      <c r="F61" s="331">
        <v>73</v>
      </c>
      <c r="G61" s="331">
        <v>85</v>
      </c>
      <c r="H61" s="331">
        <v>649</v>
      </c>
      <c r="I61" s="330">
        <v>564</v>
      </c>
      <c r="J61" s="330">
        <v>2</v>
      </c>
      <c r="K61" s="332">
        <v>106.9</v>
      </c>
      <c r="L61" s="332">
        <v>106.83</v>
      </c>
      <c r="M61" s="332">
        <v>5.69</v>
      </c>
      <c r="N61" s="332">
        <v>110.13</v>
      </c>
      <c r="O61" s="333">
        <v>386</v>
      </c>
      <c r="P61" s="330">
        <v>86.63</v>
      </c>
      <c r="Q61" s="330">
        <v>83.47</v>
      </c>
      <c r="R61" s="330">
        <v>52.09</v>
      </c>
      <c r="S61" s="330">
        <v>138.72</v>
      </c>
      <c r="T61" s="330">
        <v>109</v>
      </c>
      <c r="U61" s="330">
        <v>148.01</v>
      </c>
      <c r="V61" s="330">
        <v>29</v>
      </c>
      <c r="W61" s="330">
        <v>0</v>
      </c>
      <c r="X61" s="330">
        <v>0</v>
      </c>
      <c r="Y61" s="330">
        <v>3</v>
      </c>
      <c r="Z61" s="330">
        <v>1</v>
      </c>
      <c r="AA61" s="330">
        <v>0</v>
      </c>
      <c r="AB61" s="330">
        <v>12</v>
      </c>
      <c r="AC61" s="330">
        <v>1</v>
      </c>
      <c r="AD61" s="334">
        <v>428</v>
      </c>
      <c r="AE61" s="334">
        <v>1</v>
      </c>
      <c r="AF61" s="334">
        <v>0</v>
      </c>
      <c r="AG61" s="334">
        <v>1</v>
      </c>
    </row>
    <row r="62" spans="1:33" x14ac:dyDescent="0.25">
      <c r="A62" s="329" t="s">
        <v>180</v>
      </c>
      <c r="B62" s="335" t="s">
        <v>181</v>
      </c>
      <c r="C62" s="331">
        <v>7716</v>
      </c>
      <c r="D62" s="331">
        <v>0</v>
      </c>
      <c r="E62" s="331">
        <v>214</v>
      </c>
      <c r="F62" s="331">
        <v>1858</v>
      </c>
      <c r="G62" s="331">
        <v>1238</v>
      </c>
      <c r="H62" s="331">
        <v>11026</v>
      </c>
      <c r="I62" s="330">
        <v>9788</v>
      </c>
      <c r="J62" s="330">
        <v>16</v>
      </c>
      <c r="K62" s="332">
        <v>104.26</v>
      </c>
      <c r="L62" s="332">
        <v>105.43</v>
      </c>
      <c r="M62" s="332">
        <v>4.1900000000000004</v>
      </c>
      <c r="N62" s="332">
        <v>105.59</v>
      </c>
      <c r="O62" s="333">
        <v>7182</v>
      </c>
      <c r="P62" s="330">
        <v>86.82</v>
      </c>
      <c r="Q62" s="330">
        <v>86.84</v>
      </c>
      <c r="R62" s="330">
        <v>20.079999999999998</v>
      </c>
      <c r="S62" s="330">
        <v>93.94</v>
      </c>
      <c r="T62" s="330">
        <v>1940</v>
      </c>
      <c r="U62" s="330">
        <v>132.15</v>
      </c>
      <c r="V62" s="330">
        <v>366</v>
      </c>
      <c r="W62" s="330">
        <v>0</v>
      </c>
      <c r="X62" s="330">
        <v>0</v>
      </c>
      <c r="Y62" s="330">
        <v>0</v>
      </c>
      <c r="Z62" s="330">
        <v>10</v>
      </c>
      <c r="AA62" s="330">
        <v>4</v>
      </c>
      <c r="AB62" s="330">
        <v>107</v>
      </c>
      <c r="AC62" s="330">
        <v>40</v>
      </c>
      <c r="AD62" s="334">
        <v>7612</v>
      </c>
      <c r="AE62" s="334">
        <v>46</v>
      </c>
      <c r="AF62" s="334">
        <v>7</v>
      </c>
      <c r="AG62" s="334">
        <v>53</v>
      </c>
    </row>
    <row r="63" spans="1:33" x14ac:dyDescent="0.25">
      <c r="A63" s="329" t="s">
        <v>182</v>
      </c>
      <c r="B63" s="335" t="s">
        <v>183</v>
      </c>
      <c r="C63" s="331">
        <v>2519</v>
      </c>
      <c r="D63" s="331">
        <v>0</v>
      </c>
      <c r="E63" s="331">
        <v>194</v>
      </c>
      <c r="F63" s="331">
        <v>321</v>
      </c>
      <c r="G63" s="331">
        <v>498</v>
      </c>
      <c r="H63" s="331">
        <v>3532</v>
      </c>
      <c r="I63" s="330">
        <v>3034</v>
      </c>
      <c r="J63" s="330">
        <v>0</v>
      </c>
      <c r="K63" s="332">
        <v>92.04</v>
      </c>
      <c r="L63" s="332">
        <v>91.26</v>
      </c>
      <c r="M63" s="332">
        <v>5.58</v>
      </c>
      <c r="N63" s="332">
        <v>96.18</v>
      </c>
      <c r="O63" s="333">
        <v>2263</v>
      </c>
      <c r="P63" s="330">
        <v>85.02</v>
      </c>
      <c r="Q63" s="330">
        <v>79.78</v>
      </c>
      <c r="R63" s="330">
        <v>48.42</v>
      </c>
      <c r="S63" s="330">
        <v>132.13</v>
      </c>
      <c r="T63" s="330">
        <v>479</v>
      </c>
      <c r="U63" s="330">
        <v>107.12</v>
      </c>
      <c r="V63" s="330">
        <v>195</v>
      </c>
      <c r="W63" s="330">
        <v>0</v>
      </c>
      <c r="X63" s="330">
        <v>0</v>
      </c>
      <c r="Y63" s="330">
        <v>0</v>
      </c>
      <c r="Z63" s="330">
        <v>1</v>
      </c>
      <c r="AA63" s="330">
        <v>0</v>
      </c>
      <c r="AB63" s="330">
        <v>22</v>
      </c>
      <c r="AC63" s="330">
        <v>21</v>
      </c>
      <c r="AD63" s="334">
        <v>2519</v>
      </c>
      <c r="AE63" s="334">
        <v>14</v>
      </c>
      <c r="AF63" s="334">
        <v>18</v>
      </c>
      <c r="AG63" s="334">
        <v>32</v>
      </c>
    </row>
    <row r="64" spans="1:33" x14ac:dyDescent="0.25">
      <c r="A64" s="329" t="s">
        <v>184</v>
      </c>
      <c r="B64" s="335" t="s">
        <v>185</v>
      </c>
      <c r="C64" s="331">
        <v>7043</v>
      </c>
      <c r="D64" s="331">
        <v>250</v>
      </c>
      <c r="E64" s="331">
        <v>1235</v>
      </c>
      <c r="F64" s="331">
        <v>1519</v>
      </c>
      <c r="G64" s="331">
        <v>408</v>
      </c>
      <c r="H64" s="331">
        <v>10455</v>
      </c>
      <c r="I64" s="330">
        <v>10047</v>
      </c>
      <c r="J64" s="330">
        <v>2</v>
      </c>
      <c r="K64" s="332">
        <v>104.64</v>
      </c>
      <c r="L64" s="332">
        <v>103.94</v>
      </c>
      <c r="M64" s="332">
        <v>4.91</v>
      </c>
      <c r="N64" s="332">
        <v>106.82</v>
      </c>
      <c r="O64" s="333">
        <v>6659</v>
      </c>
      <c r="P64" s="330">
        <v>89.96</v>
      </c>
      <c r="Q64" s="330">
        <v>89.48</v>
      </c>
      <c r="R64" s="330">
        <v>20.18</v>
      </c>
      <c r="S64" s="330">
        <v>102.83</v>
      </c>
      <c r="T64" s="330">
        <v>2636</v>
      </c>
      <c r="U64" s="330">
        <v>133.51</v>
      </c>
      <c r="V64" s="330">
        <v>252</v>
      </c>
      <c r="W64" s="330">
        <v>0</v>
      </c>
      <c r="X64" s="330">
        <v>0</v>
      </c>
      <c r="Y64" s="330">
        <v>0</v>
      </c>
      <c r="Z64" s="330">
        <v>16</v>
      </c>
      <c r="AA64" s="330">
        <v>9</v>
      </c>
      <c r="AB64" s="330">
        <v>28</v>
      </c>
      <c r="AC64" s="330">
        <v>7</v>
      </c>
      <c r="AD64" s="334">
        <v>7035</v>
      </c>
      <c r="AE64" s="334">
        <v>15</v>
      </c>
      <c r="AF64" s="334">
        <v>17</v>
      </c>
      <c r="AG64" s="334">
        <v>32</v>
      </c>
    </row>
    <row r="65" spans="1:33" x14ac:dyDescent="0.25">
      <c r="A65" s="329" t="s">
        <v>186</v>
      </c>
      <c r="B65" s="335" t="s">
        <v>187</v>
      </c>
      <c r="C65" s="331">
        <v>1676</v>
      </c>
      <c r="D65" s="331">
        <v>3</v>
      </c>
      <c r="E65" s="331">
        <v>413</v>
      </c>
      <c r="F65" s="331">
        <v>267</v>
      </c>
      <c r="G65" s="331">
        <v>322</v>
      </c>
      <c r="H65" s="331">
        <v>2681</v>
      </c>
      <c r="I65" s="330">
        <v>2359</v>
      </c>
      <c r="J65" s="330">
        <v>0</v>
      </c>
      <c r="K65" s="332">
        <v>94.76</v>
      </c>
      <c r="L65" s="332">
        <v>91.47</v>
      </c>
      <c r="M65" s="332">
        <v>6.01</v>
      </c>
      <c r="N65" s="332">
        <v>100.06</v>
      </c>
      <c r="O65" s="333">
        <v>1448</v>
      </c>
      <c r="P65" s="330">
        <v>82.38</v>
      </c>
      <c r="Q65" s="330">
        <v>81.27</v>
      </c>
      <c r="R65" s="330">
        <v>43.53</v>
      </c>
      <c r="S65" s="330">
        <v>117.03</v>
      </c>
      <c r="T65" s="330">
        <v>549</v>
      </c>
      <c r="U65" s="330">
        <v>128.57</v>
      </c>
      <c r="V65" s="330">
        <v>137</v>
      </c>
      <c r="W65" s="330">
        <v>188.73</v>
      </c>
      <c r="X65" s="330">
        <v>37</v>
      </c>
      <c r="Y65" s="330">
        <v>37</v>
      </c>
      <c r="Z65" s="330">
        <v>0</v>
      </c>
      <c r="AA65" s="330">
        <v>34</v>
      </c>
      <c r="AB65" s="330">
        <v>4</v>
      </c>
      <c r="AC65" s="330">
        <v>13</v>
      </c>
      <c r="AD65" s="334">
        <v>1568</v>
      </c>
      <c r="AE65" s="334">
        <v>1</v>
      </c>
      <c r="AF65" s="334">
        <v>2</v>
      </c>
      <c r="AG65" s="334">
        <v>3</v>
      </c>
    </row>
    <row r="66" spans="1:33" x14ac:dyDescent="0.25">
      <c r="A66" s="329" t="s">
        <v>188</v>
      </c>
      <c r="B66" s="335" t="s">
        <v>189</v>
      </c>
      <c r="C66" s="331">
        <v>5750</v>
      </c>
      <c r="D66" s="331">
        <v>32</v>
      </c>
      <c r="E66" s="331">
        <v>205</v>
      </c>
      <c r="F66" s="331">
        <v>1435</v>
      </c>
      <c r="G66" s="331">
        <v>451</v>
      </c>
      <c r="H66" s="331">
        <v>7873</v>
      </c>
      <c r="I66" s="330">
        <v>7422</v>
      </c>
      <c r="J66" s="330">
        <v>1</v>
      </c>
      <c r="K66" s="332">
        <v>105.04</v>
      </c>
      <c r="L66" s="332">
        <v>110.8</v>
      </c>
      <c r="M66" s="332">
        <v>5.97</v>
      </c>
      <c r="N66" s="332">
        <v>106.93</v>
      </c>
      <c r="O66" s="333">
        <v>5148</v>
      </c>
      <c r="P66" s="330">
        <v>93.8</v>
      </c>
      <c r="Q66" s="330">
        <v>98.56</v>
      </c>
      <c r="R66" s="330">
        <v>19.93</v>
      </c>
      <c r="S66" s="330">
        <v>112.55</v>
      </c>
      <c r="T66" s="330">
        <v>1516</v>
      </c>
      <c r="U66" s="330">
        <v>146.66</v>
      </c>
      <c r="V66" s="330">
        <v>479</v>
      </c>
      <c r="W66" s="330">
        <v>198.63</v>
      </c>
      <c r="X66" s="330">
        <v>95</v>
      </c>
      <c r="Y66" s="330">
        <v>0</v>
      </c>
      <c r="Z66" s="330">
        <v>16</v>
      </c>
      <c r="AA66" s="330">
        <v>9</v>
      </c>
      <c r="AB66" s="330">
        <v>44</v>
      </c>
      <c r="AC66" s="330">
        <v>15</v>
      </c>
      <c r="AD66" s="334">
        <v>5685</v>
      </c>
      <c r="AE66" s="334">
        <v>18</v>
      </c>
      <c r="AF66" s="334">
        <v>33</v>
      </c>
      <c r="AG66" s="334">
        <v>51</v>
      </c>
    </row>
    <row r="67" spans="1:33" x14ac:dyDescent="0.25">
      <c r="A67" s="329" t="s">
        <v>190</v>
      </c>
      <c r="B67" s="335" t="s">
        <v>191</v>
      </c>
      <c r="C67" s="331">
        <v>14258</v>
      </c>
      <c r="D67" s="331">
        <v>0</v>
      </c>
      <c r="E67" s="331">
        <v>751</v>
      </c>
      <c r="F67" s="331">
        <v>4769</v>
      </c>
      <c r="G67" s="331">
        <v>735</v>
      </c>
      <c r="H67" s="331">
        <v>20513</v>
      </c>
      <c r="I67" s="330">
        <v>19778</v>
      </c>
      <c r="J67" s="330">
        <v>86</v>
      </c>
      <c r="K67" s="332">
        <v>91.2</v>
      </c>
      <c r="L67" s="332">
        <v>91.51</v>
      </c>
      <c r="M67" s="332">
        <v>6.11</v>
      </c>
      <c r="N67" s="332">
        <v>93.18</v>
      </c>
      <c r="O67" s="333">
        <v>11980</v>
      </c>
      <c r="P67" s="330">
        <v>85.92</v>
      </c>
      <c r="Q67" s="330">
        <v>85.37</v>
      </c>
      <c r="R67" s="330">
        <v>33.04</v>
      </c>
      <c r="S67" s="330">
        <v>99.71</v>
      </c>
      <c r="T67" s="330">
        <v>5204</v>
      </c>
      <c r="U67" s="330">
        <v>109.39</v>
      </c>
      <c r="V67" s="330">
        <v>2140</v>
      </c>
      <c r="W67" s="330">
        <v>94.15</v>
      </c>
      <c r="X67" s="330">
        <v>102</v>
      </c>
      <c r="Y67" s="330">
        <v>0</v>
      </c>
      <c r="Z67" s="330">
        <v>60</v>
      </c>
      <c r="AA67" s="330">
        <v>12</v>
      </c>
      <c r="AB67" s="330">
        <v>46</v>
      </c>
      <c r="AC67" s="330">
        <v>5</v>
      </c>
      <c r="AD67" s="334">
        <v>14215</v>
      </c>
      <c r="AE67" s="334">
        <v>269</v>
      </c>
      <c r="AF67" s="334">
        <v>54</v>
      </c>
      <c r="AG67" s="334">
        <v>323</v>
      </c>
    </row>
    <row r="68" spans="1:33" x14ac:dyDescent="0.25">
      <c r="A68" s="329" t="s">
        <v>192</v>
      </c>
      <c r="B68" s="335" t="s">
        <v>193</v>
      </c>
      <c r="C68" s="331">
        <v>11700</v>
      </c>
      <c r="D68" s="331">
        <v>11</v>
      </c>
      <c r="E68" s="331">
        <v>556</v>
      </c>
      <c r="F68" s="331">
        <v>4979</v>
      </c>
      <c r="G68" s="331">
        <v>1043</v>
      </c>
      <c r="H68" s="331">
        <v>18289</v>
      </c>
      <c r="I68" s="330">
        <v>17246</v>
      </c>
      <c r="J68" s="330">
        <v>9</v>
      </c>
      <c r="K68" s="332">
        <v>93.09</v>
      </c>
      <c r="L68" s="332">
        <v>96.89</v>
      </c>
      <c r="M68" s="332">
        <v>4.87</v>
      </c>
      <c r="N68" s="332">
        <v>94.65</v>
      </c>
      <c r="O68" s="333">
        <v>10493</v>
      </c>
      <c r="P68" s="330">
        <v>85.73</v>
      </c>
      <c r="Q68" s="330">
        <v>87.31</v>
      </c>
      <c r="R68" s="330">
        <v>16.149999999999999</v>
      </c>
      <c r="S68" s="330">
        <v>99.15</v>
      </c>
      <c r="T68" s="330">
        <v>5111</v>
      </c>
      <c r="U68" s="330">
        <v>112.63</v>
      </c>
      <c r="V68" s="330">
        <v>957</v>
      </c>
      <c r="W68" s="330">
        <v>130.33000000000001</v>
      </c>
      <c r="X68" s="330">
        <v>162</v>
      </c>
      <c r="Y68" s="330">
        <v>0</v>
      </c>
      <c r="Z68" s="330">
        <v>25</v>
      </c>
      <c r="AA68" s="330">
        <v>22</v>
      </c>
      <c r="AB68" s="330">
        <v>79</v>
      </c>
      <c r="AC68" s="330">
        <v>10</v>
      </c>
      <c r="AD68" s="334">
        <v>11560</v>
      </c>
      <c r="AE68" s="334">
        <v>85</v>
      </c>
      <c r="AF68" s="334">
        <v>38</v>
      </c>
      <c r="AG68" s="334">
        <v>123</v>
      </c>
    </row>
    <row r="69" spans="1:33" x14ac:dyDescent="0.25">
      <c r="A69" s="329" t="s">
        <v>194</v>
      </c>
      <c r="B69" s="335" t="s">
        <v>195</v>
      </c>
      <c r="C69" s="331">
        <v>796</v>
      </c>
      <c r="D69" s="331">
        <v>0</v>
      </c>
      <c r="E69" s="331">
        <v>153</v>
      </c>
      <c r="F69" s="331">
        <v>534</v>
      </c>
      <c r="G69" s="331">
        <v>48</v>
      </c>
      <c r="H69" s="331">
        <v>1531</v>
      </c>
      <c r="I69" s="330">
        <v>1483</v>
      </c>
      <c r="J69" s="330">
        <v>0</v>
      </c>
      <c r="K69" s="332">
        <v>86.8</v>
      </c>
      <c r="L69" s="332">
        <v>85.85</v>
      </c>
      <c r="M69" s="332">
        <v>6.72</v>
      </c>
      <c r="N69" s="332">
        <v>89.71</v>
      </c>
      <c r="O69" s="333">
        <v>655</v>
      </c>
      <c r="P69" s="330">
        <v>88.48</v>
      </c>
      <c r="Q69" s="330">
        <v>81.510000000000005</v>
      </c>
      <c r="R69" s="330">
        <v>27.15</v>
      </c>
      <c r="S69" s="330">
        <v>115.14</v>
      </c>
      <c r="T69" s="330">
        <v>618</v>
      </c>
      <c r="U69" s="330">
        <v>95.2</v>
      </c>
      <c r="V69" s="330">
        <v>48</v>
      </c>
      <c r="W69" s="330">
        <v>0</v>
      </c>
      <c r="X69" s="330">
        <v>0</v>
      </c>
      <c r="Y69" s="330">
        <v>0</v>
      </c>
      <c r="Z69" s="330">
        <v>0</v>
      </c>
      <c r="AA69" s="330">
        <v>7</v>
      </c>
      <c r="AB69" s="330">
        <v>4</v>
      </c>
      <c r="AC69" s="330">
        <v>2</v>
      </c>
      <c r="AD69" s="334">
        <v>702</v>
      </c>
      <c r="AE69" s="334">
        <v>5</v>
      </c>
      <c r="AF69" s="334">
        <v>3</v>
      </c>
      <c r="AG69" s="334">
        <v>8</v>
      </c>
    </row>
    <row r="70" spans="1:33" x14ac:dyDescent="0.25">
      <c r="A70" s="329" t="s">
        <v>196</v>
      </c>
      <c r="B70" s="335" t="s">
        <v>197</v>
      </c>
      <c r="C70" s="331">
        <v>6772</v>
      </c>
      <c r="D70" s="331">
        <v>22</v>
      </c>
      <c r="E70" s="331">
        <v>160</v>
      </c>
      <c r="F70" s="331">
        <v>740</v>
      </c>
      <c r="G70" s="331">
        <v>376</v>
      </c>
      <c r="H70" s="331">
        <v>8070</v>
      </c>
      <c r="I70" s="330">
        <v>7694</v>
      </c>
      <c r="J70" s="330">
        <v>2</v>
      </c>
      <c r="K70" s="332">
        <v>105.68</v>
      </c>
      <c r="L70" s="332">
        <v>113.68</v>
      </c>
      <c r="M70" s="332">
        <v>4.01</v>
      </c>
      <c r="N70" s="332">
        <v>107.61</v>
      </c>
      <c r="O70" s="333">
        <v>6345</v>
      </c>
      <c r="P70" s="330">
        <v>92.51</v>
      </c>
      <c r="Q70" s="330">
        <v>94.87</v>
      </c>
      <c r="R70" s="330">
        <v>29.25</v>
      </c>
      <c r="S70" s="330">
        <v>121.15</v>
      </c>
      <c r="T70" s="330">
        <v>719</v>
      </c>
      <c r="U70" s="330">
        <v>149.93</v>
      </c>
      <c r="V70" s="330">
        <v>373</v>
      </c>
      <c r="W70" s="330">
        <v>0</v>
      </c>
      <c r="X70" s="330">
        <v>0</v>
      </c>
      <c r="Y70" s="330">
        <v>0</v>
      </c>
      <c r="Z70" s="330">
        <v>10</v>
      </c>
      <c r="AA70" s="330">
        <v>1</v>
      </c>
      <c r="AB70" s="330">
        <v>37</v>
      </c>
      <c r="AC70" s="330">
        <v>21</v>
      </c>
      <c r="AD70" s="334">
        <v>6731</v>
      </c>
      <c r="AE70" s="334">
        <v>94</v>
      </c>
      <c r="AF70" s="334">
        <v>10</v>
      </c>
      <c r="AG70" s="334">
        <v>104</v>
      </c>
    </row>
    <row r="71" spans="1:33" x14ac:dyDescent="0.25">
      <c r="A71" s="329" t="s">
        <v>198</v>
      </c>
      <c r="B71" s="335" t="s">
        <v>199</v>
      </c>
      <c r="C71" s="331">
        <v>5583</v>
      </c>
      <c r="D71" s="331">
        <v>4</v>
      </c>
      <c r="E71" s="331">
        <v>297</v>
      </c>
      <c r="F71" s="331">
        <v>641</v>
      </c>
      <c r="G71" s="331">
        <v>264</v>
      </c>
      <c r="H71" s="331">
        <v>6789</v>
      </c>
      <c r="I71" s="330">
        <v>6525</v>
      </c>
      <c r="J71" s="330">
        <v>93</v>
      </c>
      <c r="K71" s="332">
        <v>80.67</v>
      </c>
      <c r="L71" s="332">
        <v>78.2</v>
      </c>
      <c r="M71" s="332">
        <v>5</v>
      </c>
      <c r="N71" s="332">
        <v>83.99</v>
      </c>
      <c r="O71" s="333">
        <v>5289</v>
      </c>
      <c r="P71" s="330">
        <v>84.54</v>
      </c>
      <c r="Q71" s="330">
        <v>68.13</v>
      </c>
      <c r="R71" s="330">
        <v>23.36</v>
      </c>
      <c r="S71" s="330">
        <v>107.69</v>
      </c>
      <c r="T71" s="330">
        <v>871</v>
      </c>
      <c r="U71" s="330">
        <v>104.21</v>
      </c>
      <c r="V71" s="330">
        <v>271</v>
      </c>
      <c r="W71" s="330">
        <v>0</v>
      </c>
      <c r="X71" s="330">
        <v>0</v>
      </c>
      <c r="Y71" s="330">
        <v>0</v>
      </c>
      <c r="Z71" s="330">
        <v>23</v>
      </c>
      <c r="AA71" s="330">
        <v>2</v>
      </c>
      <c r="AB71" s="330">
        <v>6</v>
      </c>
      <c r="AC71" s="330">
        <v>2</v>
      </c>
      <c r="AD71" s="334">
        <v>5576</v>
      </c>
      <c r="AE71" s="334">
        <v>50</v>
      </c>
      <c r="AF71" s="334">
        <v>10</v>
      </c>
      <c r="AG71" s="334">
        <v>60</v>
      </c>
    </row>
    <row r="72" spans="1:33" x14ac:dyDescent="0.25">
      <c r="A72" s="329" t="s">
        <v>200</v>
      </c>
      <c r="B72" s="335" t="s">
        <v>201</v>
      </c>
      <c r="C72" s="331">
        <v>194</v>
      </c>
      <c r="D72" s="331">
        <v>0</v>
      </c>
      <c r="E72" s="331">
        <v>20</v>
      </c>
      <c r="F72" s="331">
        <v>18</v>
      </c>
      <c r="G72" s="331">
        <v>0</v>
      </c>
      <c r="H72" s="331">
        <v>232</v>
      </c>
      <c r="I72" s="330">
        <v>232</v>
      </c>
      <c r="J72" s="330">
        <v>0</v>
      </c>
      <c r="K72" s="332">
        <v>124.46</v>
      </c>
      <c r="L72" s="332">
        <v>131.55000000000001</v>
      </c>
      <c r="M72" s="332">
        <v>12.76</v>
      </c>
      <c r="N72" s="332">
        <v>137.22</v>
      </c>
      <c r="O72" s="333">
        <v>177</v>
      </c>
      <c r="P72" s="330">
        <v>101.46</v>
      </c>
      <c r="Q72" s="330">
        <v>121.76</v>
      </c>
      <c r="R72" s="330">
        <v>47.78</v>
      </c>
      <c r="S72" s="330">
        <v>149.24</v>
      </c>
      <c r="T72" s="330">
        <v>18</v>
      </c>
      <c r="U72" s="330">
        <v>222.43</v>
      </c>
      <c r="V72" s="330">
        <v>17</v>
      </c>
      <c r="W72" s="330">
        <v>0</v>
      </c>
      <c r="X72" s="330">
        <v>0</v>
      </c>
      <c r="Y72" s="330">
        <v>0</v>
      </c>
      <c r="Z72" s="330">
        <v>0</v>
      </c>
      <c r="AA72" s="330">
        <v>0</v>
      </c>
      <c r="AB72" s="330">
        <v>0</v>
      </c>
      <c r="AC72" s="330">
        <v>0</v>
      </c>
      <c r="AD72" s="334">
        <v>194</v>
      </c>
      <c r="AE72" s="334">
        <v>1</v>
      </c>
      <c r="AF72" s="334">
        <v>0</v>
      </c>
      <c r="AG72" s="334">
        <v>1</v>
      </c>
    </row>
    <row r="73" spans="1:33" x14ac:dyDescent="0.25">
      <c r="A73" s="329" t="s">
        <v>202</v>
      </c>
      <c r="B73" s="335" t="s">
        <v>203</v>
      </c>
      <c r="C73" s="331">
        <v>3759</v>
      </c>
      <c r="D73" s="331">
        <v>184</v>
      </c>
      <c r="E73" s="331">
        <v>594</v>
      </c>
      <c r="F73" s="331">
        <v>348</v>
      </c>
      <c r="G73" s="331">
        <v>263</v>
      </c>
      <c r="H73" s="331">
        <v>5148</v>
      </c>
      <c r="I73" s="330">
        <v>4885</v>
      </c>
      <c r="J73" s="330">
        <v>16</v>
      </c>
      <c r="K73" s="332">
        <v>102.88</v>
      </c>
      <c r="L73" s="332">
        <v>103.02</v>
      </c>
      <c r="M73" s="332">
        <v>5.07</v>
      </c>
      <c r="N73" s="332">
        <v>106.94</v>
      </c>
      <c r="O73" s="333">
        <v>2966</v>
      </c>
      <c r="P73" s="330">
        <v>91.77</v>
      </c>
      <c r="Q73" s="330">
        <v>85.06</v>
      </c>
      <c r="R73" s="330">
        <v>35.19</v>
      </c>
      <c r="S73" s="330">
        <v>124.77</v>
      </c>
      <c r="T73" s="330">
        <v>610</v>
      </c>
      <c r="U73" s="330">
        <v>133.84</v>
      </c>
      <c r="V73" s="330">
        <v>525</v>
      </c>
      <c r="W73" s="330">
        <v>0</v>
      </c>
      <c r="X73" s="330">
        <v>0</v>
      </c>
      <c r="Y73" s="330">
        <v>0</v>
      </c>
      <c r="Z73" s="330">
        <v>4</v>
      </c>
      <c r="AA73" s="330">
        <v>3</v>
      </c>
      <c r="AB73" s="330">
        <v>5</v>
      </c>
      <c r="AC73" s="330">
        <v>1</v>
      </c>
      <c r="AD73" s="334">
        <v>3698</v>
      </c>
      <c r="AE73" s="334">
        <v>63</v>
      </c>
      <c r="AF73" s="334">
        <v>9</v>
      </c>
      <c r="AG73" s="334">
        <v>72</v>
      </c>
    </row>
    <row r="74" spans="1:33" x14ac:dyDescent="0.25">
      <c r="A74" s="329" t="s">
        <v>204</v>
      </c>
      <c r="B74" s="335" t="s">
        <v>205</v>
      </c>
      <c r="C74" s="331">
        <v>5684</v>
      </c>
      <c r="D74" s="331">
        <v>27</v>
      </c>
      <c r="E74" s="331">
        <v>96</v>
      </c>
      <c r="F74" s="331">
        <v>305</v>
      </c>
      <c r="G74" s="331">
        <v>43</v>
      </c>
      <c r="H74" s="331">
        <v>6155</v>
      </c>
      <c r="I74" s="330">
        <v>6112</v>
      </c>
      <c r="J74" s="330">
        <v>14</v>
      </c>
      <c r="K74" s="332">
        <v>84.86</v>
      </c>
      <c r="L74" s="332">
        <v>84.62</v>
      </c>
      <c r="M74" s="332">
        <v>2.14</v>
      </c>
      <c r="N74" s="332">
        <v>85.75</v>
      </c>
      <c r="O74" s="333">
        <v>5554</v>
      </c>
      <c r="P74" s="330">
        <v>79.61</v>
      </c>
      <c r="Q74" s="330">
        <v>75.67</v>
      </c>
      <c r="R74" s="330">
        <v>31.51</v>
      </c>
      <c r="S74" s="330">
        <v>110.87</v>
      </c>
      <c r="T74" s="330">
        <v>383</v>
      </c>
      <c r="U74" s="330">
        <v>92.46</v>
      </c>
      <c r="V74" s="330">
        <v>125</v>
      </c>
      <c r="W74" s="330">
        <v>0</v>
      </c>
      <c r="X74" s="330">
        <v>0</v>
      </c>
      <c r="Y74" s="330">
        <v>11</v>
      </c>
      <c r="Z74" s="330">
        <v>18</v>
      </c>
      <c r="AA74" s="330">
        <v>0</v>
      </c>
      <c r="AB74" s="330">
        <v>0</v>
      </c>
      <c r="AC74" s="330">
        <v>0</v>
      </c>
      <c r="AD74" s="334">
        <v>5652</v>
      </c>
      <c r="AE74" s="334">
        <v>201</v>
      </c>
      <c r="AF74" s="334">
        <v>39</v>
      </c>
      <c r="AG74" s="334">
        <v>240</v>
      </c>
    </row>
    <row r="75" spans="1:33" x14ac:dyDescent="0.25">
      <c r="A75" s="329" t="s">
        <v>206</v>
      </c>
      <c r="B75" s="335" t="s">
        <v>207</v>
      </c>
      <c r="C75" s="331">
        <v>16389</v>
      </c>
      <c r="D75" s="331">
        <v>14</v>
      </c>
      <c r="E75" s="331">
        <v>740</v>
      </c>
      <c r="F75" s="331">
        <v>3127</v>
      </c>
      <c r="G75" s="331">
        <v>1560</v>
      </c>
      <c r="H75" s="331">
        <v>21830</v>
      </c>
      <c r="I75" s="330">
        <v>20270</v>
      </c>
      <c r="J75" s="330">
        <v>133</v>
      </c>
      <c r="K75" s="332">
        <v>85.66</v>
      </c>
      <c r="L75" s="332">
        <v>80.959999999999994</v>
      </c>
      <c r="M75" s="332">
        <v>3.39</v>
      </c>
      <c r="N75" s="332">
        <v>88.1</v>
      </c>
      <c r="O75" s="333">
        <v>14274</v>
      </c>
      <c r="P75" s="330">
        <v>77.95</v>
      </c>
      <c r="Q75" s="330">
        <v>70.91</v>
      </c>
      <c r="R75" s="330">
        <v>31.32</v>
      </c>
      <c r="S75" s="330">
        <v>106</v>
      </c>
      <c r="T75" s="330">
        <v>3717</v>
      </c>
      <c r="U75" s="330">
        <v>119.12</v>
      </c>
      <c r="V75" s="330">
        <v>1580</v>
      </c>
      <c r="W75" s="330">
        <v>129.75</v>
      </c>
      <c r="X75" s="330">
        <v>29</v>
      </c>
      <c r="Y75" s="330">
        <v>16</v>
      </c>
      <c r="Z75" s="330">
        <v>21</v>
      </c>
      <c r="AA75" s="330">
        <v>25</v>
      </c>
      <c r="AB75" s="330">
        <v>119</v>
      </c>
      <c r="AC75" s="330">
        <v>21</v>
      </c>
      <c r="AD75" s="334">
        <v>16002</v>
      </c>
      <c r="AE75" s="334">
        <v>63</v>
      </c>
      <c r="AF75" s="334">
        <v>62</v>
      </c>
      <c r="AG75" s="334">
        <v>125</v>
      </c>
    </row>
    <row r="76" spans="1:33" x14ac:dyDescent="0.25">
      <c r="A76" s="329" t="s">
        <v>208</v>
      </c>
      <c r="B76" s="335" t="s">
        <v>209</v>
      </c>
      <c r="C76" s="331">
        <v>4990</v>
      </c>
      <c r="D76" s="331">
        <v>1</v>
      </c>
      <c r="E76" s="331">
        <v>58</v>
      </c>
      <c r="F76" s="331">
        <v>542</v>
      </c>
      <c r="G76" s="331">
        <v>588</v>
      </c>
      <c r="H76" s="331">
        <v>6179</v>
      </c>
      <c r="I76" s="330">
        <v>5591</v>
      </c>
      <c r="J76" s="330">
        <v>2</v>
      </c>
      <c r="K76" s="332">
        <v>103.95</v>
      </c>
      <c r="L76" s="332">
        <v>99.58</v>
      </c>
      <c r="M76" s="332">
        <v>4.01</v>
      </c>
      <c r="N76" s="332">
        <v>105.28</v>
      </c>
      <c r="O76" s="333">
        <v>4444</v>
      </c>
      <c r="P76" s="330">
        <v>94.94</v>
      </c>
      <c r="Q76" s="330">
        <v>89.05</v>
      </c>
      <c r="R76" s="330">
        <v>21.45</v>
      </c>
      <c r="S76" s="330">
        <v>115.7</v>
      </c>
      <c r="T76" s="330">
        <v>563</v>
      </c>
      <c r="U76" s="330">
        <v>134.9</v>
      </c>
      <c r="V76" s="330">
        <v>309</v>
      </c>
      <c r="W76" s="330">
        <v>149.79</v>
      </c>
      <c r="X76" s="330">
        <v>37</v>
      </c>
      <c r="Y76" s="330">
        <v>8</v>
      </c>
      <c r="Z76" s="330">
        <v>9</v>
      </c>
      <c r="AA76" s="330">
        <v>5</v>
      </c>
      <c r="AB76" s="330">
        <v>37</v>
      </c>
      <c r="AC76" s="330">
        <v>12</v>
      </c>
      <c r="AD76" s="334">
        <v>4757</v>
      </c>
      <c r="AE76" s="334">
        <v>5</v>
      </c>
      <c r="AF76" s="334">
        <v>5</v>
      </c>
      <c r="AG76" s="334">
        <v>10</v>
      </c>
    </row>
    <row r="77" spans="1:33" x14ac:dyDescent="0.25">
      <c r="A77" s="329" t="s">
        <v>210</v>
      </c>
      <c r="B77" s="335" t="s">
        <v>211</v>
      </c>
      <c r="C77" s="331">
        <v>23300</v>
      </c>
      <c r="D77" s="331">
        <v>71</v>
      </c>
      <c r="E77" s="331">
        <v>1151</v>
      </c>
      <c r="F77" s="331">
        <v>5299</v>
      </c>
      <c r="G77" s="331">
        <v>209</v>
      </c>
      <c r="H77" s="331">
        <v>30030</v>
      </c>
      <c r="I77" s="330">
        <v>29821</v>
      </c>
      <c r="J77" s="330">
        <v>66</v>
      </c>
      <c r="K77" s="332">
        <v>75.709999999999994</v>
      </c>
      <c r="L77" s="332">
        <v>75.58</v>
      </c>
      <c r="M77" s="332">
        <v>6.51</v>
      </c>
      <c r="N77" s="332">
        <v>77.22</v>
      </c>
      <c r="O77" s="333">
        <v>20633</v>
      </c>
      <c r="P77" s="330">
        <v>78.84</v>
      </c>
      <c r="Q77" s="330">
        <v>73.92</v>
      </c>
      <c r="R77" s="330">
        <v>36.78</v>
      </c>
      <c r="S77" s="330">
        <v>93.64</v>
      </c>
      <c r="T77" s="330">
        <v>5911</v>
      </c>
      <c r="U77" s="330">
        <v>88.31</v>
      </c>
      <c r="V77" s="330">
        <v>1968</v>
      </c>
      <c r="W77" s="330">
        <v>94.39</v>
      </c>
      <c r="X77" s="330">
        <v>340</v>
      </c>
      <c r="Y77" s="330">
        <v>0</v>
      </c>
      <c r="Z77" s="330">
        <v>73</v>
      </c>
      <c r="AA77" s="330">
        <v>7</v>
      </c>
      <c r="AB77" s="330">
        <v>4</v>
      </c>
      <c r="AC77" s="330">
        <v>5</v>
      </c>
      <c r="AD77" s="334">
        <v>22443</v>
      </c>
      <c r="AE77" s="334">
        <v>291</v>
      </c>
      <c r="AF77" s="334">
        <v>442</v>
      </c>
      <c r="AG77" s="334">
        <v>733</v>
      </c>
    </row>
    <row r="78" spans="1:33" x14ac:dyDescent="0.25">
      <c r="A78" s="329" t="s">
        <v>212</v>
      </c>
      <c r="B78" s="335" t="s">
        <v>213</v>
      </c>
      <c r="C78" s="331">
        <v>22073</v>
      </c>
      <c r="D78" s="331">
        <v>1</v>
      </c>
      <c r="E78" s="331">
        <v>636</v>
      </c>
      <c r="F78" s="331">
        <v>1887</v>
      </c>
      <c r="G78" s="331">
        <v>625</v>
      </c>
      <c r="H78" s="331">
        <v>25222</v>
      </c>
      <c r="I78" s="330">
        <v>24597</v>
      </c>
      <c r="J78" s="330">
        <v>1</v>
      </c>
      <c r="K78" s="332">
        <v>90.4</v>
      </c>
      <c r="L78" s="332">
        <v>90.56</v>
      </c>
      <c r="M78" s="332">
        <v>4.97</v>
      </c>
      <c r="N78" s="332">
        <v>95</v>
      </c>
      <c r="O78" s="333">
        <v>20224</v>
      </c>
      <c r="P78" s="330">
        <v>88.93</v>
      </c>
      <c r="Q78" s="330">
        <v>84.64</v>
      </c>
      <c r="R78" s="330">
        <v>43.88</v>
      </c>
      <c r="S78" s="330">
        <v>132.09</v>
      </c>
      <c r="T78" s="330">
        <v>2279</v>
      </c>
      <c r="U78" s="330">
        <v>111.93</v>
      </c>
      <c r="V78" s="330">
        <v>1329</v>
      </c>
      <c r="W78" s="330">
        <v>0</v>
      </c>
      <c r="X78" s="330">
        <v>0</v>
      </c>
      <c r="Y78" s="330">
        <v>1</v>
      </c>
      <c r="Z78" s="330">
        <v>79</v>
      </c>
      <c r="AA78" s="330">
        <v>18</v>
      </c>
      <c r="AB78" s="330">
        <v>24</v>
      </c>
      <c r="AC78" s="330">
        <v>18</v>
      </c>
      <c r="AD78" s="334">
        <v>21775</v>
      </c>
      <c r="AE78" s="334">
        <v>158</v>
      </c>
      <c r="AF78" s="334">
        <v>36</v>
      </c>
      <c r="AG78" s="334">
        <v>194</v>
      </c>
    </row>
    <row r="79" spans="1:33" x14ac:dyDescent="0.25">
      <c r="A79" s="329" t="s">
        <v>214</v>
      </c>
      <c r="B79" s="335" t="s">
        <v>215</v>
      </c>
      <c r="C79" s="331">
        <v>2120</v>
      </c>
      <c r="D79" s="331">
        <v>8</v>
      </c>
      <c r="E79" s="331">
        <v>43</v>
      </c>
      <c r="F79" s="331">
        <v>221</v>
      </c>
      <c r="G79" s="331">
        <v>57</v>
      </c>
      <c r="H79" s="331">
        <v>2449</v>
      </c>
      <c r="I79" s="330">
        <v>2392</v>
      </c>
      <c r="J79" s="330">
        <v>0</v>
      </c>
      <c r="K79" s="332">
        <v>85.28</v>
      </c>
      <c r="L79" s="332">
        <v>82.02</v>
      </c>
      <c r="M79" s="332">
        <v>6.46</v>
      </c>
      <c r="N79" s="332">
        <v>89.23</v>
      </c>
      <c r="O79" s="333">
        <v>1758</v>
      </c>
      <c r="P79" s="330">
        <v>78.56</v>
      </c>
      <c r="Q79" s="330">
        <v>69.27</v>
      </c>
      <c r="R79" s="330">
        <v>40.22</v>
      </c>
      <c r="S79" s="330">
        <v>118.59</v>
      </c>
      <c r="T79" s="330">
        <v>210</v>
      </c>
      <c r="U79" s="330">
        <v>95.18</v>
      </c>
      <c r="V79" s="330">
        <v>315</v>
      </c>
      <c r="W79" s="330">
        <v>143.11000000000001</v>
      </c>
      <c r="X79" s="330">
        <v>44</v>
      </c>
      <c r="Y79" s="330">
        <v>0</v>
      </c>
      <c r="Z79" s="330">
        <v>6</v>
      </c>
      <c r="AA79" s="330">
        <v>1</v>
      </c>
      <c r="AB79" s="330">
        <v>14</v>
      </c>
      <c r="AC79" s="330">
        <v>11</v>
      </c>
      <c r="AD79" s="334">
        <v>2104</v>
      </c>
      <c r="AE79" s="334">
        <v>15</v>
      </c>
      <c r="AF79" s="334">
        <v>14</v>
      </c>
      <c r="AG79" s="334">
        <v>29</v>
      </c>
    </row>
    <row r="80" spans="1:33" x14ac:dyDescent="0.25">
      <c r="A80" s="329" t="s">
        <v>216</v>
      </c>
      <c r="B80" s="335" t="s">
        <v>217</v>
      </c>
      <c r="C80" s="331">
        <v>1822</v>
      </c>
      <c r="D80" s="331">
        <v>0</v>
      </c>
      <c r="E80" s="331">
        <v>294</v>
      </c>
      <c r="F80" s="331">
        <v>285</v>
      </c>
      <c r="G80" s="331">
        <v>422</v>
      </c>
      <c r="H80" s="331">
        <v>2823</v>
      </c>
      <c r="I80" s="330">
        <v>2401</v>
      </c>
      <c r="J80" s="330">
        <v>0</v>
      </c>
      <c r="K80" s="332">
        <v>107.16</v>
      </c>
      <c r="L80" s="332">
        <v>106.25</v>
      </c>
      <c r="M80" s="332">
        <v>7.46</v>
      </c>
      <c r="N80" s="332">
        <v>113.98</v>
      </c>
      <c r="O80" s="333">
        <v>1520</v>
      </c>
      <c r="P80" s="330">
        <v>120.54</v>
      </c>
      <c r="Q80" s="330">
        <v>104.35</v>
      </c>
      <c r="R80" s="330">
        <v>33.78</v>
      </c>
      <c r="S80" s="330">
        <v>147.76</v>
      </c>
      <c r="T80" s="330">
        <v>314</v>
      </c>
      <c r="U80" s="330">
        <v>150.66999999999999</v>
      </c>
      <c r="V80" s="330">
        <v>184</v>
      </c>
      <c r="W80" s="330">
        <v>176.97</v>
      </c>
      <c r="X80" s="330">
        <v>65</v>
      </c>
      <c r="Y80" s="330">
        <v>0</v>
      </c>
      <c r="Z80" s="330">
        <v>0</v>
      </c>
      <c r="AA80" s="330">
        <v>0</v>
      </c>
      <c r="AB80" s="330">
        <v>3</v>
      </c>
      <c r="AC80" s="330">
        <v>10</v>
      </c>
      <c r="AD80" s="334">
        <v>1793</v>
      </c>
      <c r="AE80" s="334">
        <v>17</v>
      </c>
      <c r="AF80" s="334">
        <v>2</v>
      </c>
      <c r="AG80" s="334">
        <v>19</v>
      </c>
    </row>
    <row r="81" spans="1:33" x14ac:dyDescent="0.25">
      <c r="A81" s="329" t="s">
        <v>218</v>
      </c>
      <c r="B81" s="335" t="s">
        <v>219</v>
      </c>
      <c r="C81" s="331">
        <v>10528</v>
      </c>
      <c r="D81" s="331">
        <v>47</v>
      </c>
      <c r="E81" s="331">
        <v>1011</v>
      </c>
      <c r="F81" s="331">
        <v>813</v>
      </c>
      <c r="G81" s="331">
        <v>1763</v>
      </c>
      <c r="H81" s="331">
        <v>14162</v>
      </c>
      <c r="I81" s="330">
        <v>12399</v>
      </c>
      <c r="J81" s="330">
        <v>48</v>
      </c>
      <c r="K81" s="332">
        <v>123.11</v>
      </c>
      <c r="L81" s="332">
        <v>122.96</v>
      </c>
      <c r="M81" s="332">
        <v>7.6</v>
      </c>
      <c r="N81" s="332">
        <v>127.99</v>
      </c>
      <c r="O81" s="333">
        <v>9189</v>
      </c>
      <c r="P81" s="330">
        <v>98.33</v>
      </c>
      <c r="Q81" s="330">
        <v>95.72</v>
      </c>
      <c r="R81" s="330">
        <v>53.13</v>
      </c>
      <c r="S81" s="330">
        <v>150.31</v>
      </c>
      <c r="T81" s="330">
        <v>1156</v>
      </c>
      <c r="U81" s="330">
        <v>171.27</v>
      </c>
      <c r="V81" s="330">
        <v>877</v>
      </c>
      <c r="W81" s="330">
        <v>151.61000000000001</v>
      </c>
      <c r="X81" s="330">
        <v>27</v>
      </c>
      <c r="Y81" s="330">
        <v>40</v>
      </c>
      <c r="Z81" s="330">
        <v>5</v>
      </c>
      <c r="AA81" s="330">
        <v>14</v>
      </c>
      <c r="AB81" s="330">
        <v>84</v>
      </c>
      <c r="AC81" s="330">
        <v>56</v>
      </c>
      <c r="AD81" s="334">
        <v>10302</v>
      </c>
      <c r="AE81" s="334">
        <v>65</v>
      </c>
      <c r="AF81" s="334">
        <v>63</v>
      </c>
      <c r="AG81" s="334">
        <v>128</v>
      </c>
    </row>
    <row r="82" spans="1:33" x14ac:dyDescent="0.25">
      <c r="A82" s="329" t="s">
        <v>220</v>
      </c>
      <c r="B82" s="335" t="s">
        <v>221</v>
      </c>
      <c r="C82" s="331">
        <v>2374</v>
      </c>
      <c r="D82" s="331">
        <v>0</v>
      </c>
      <c r="E82" s="331">
        <v>267</v>
      </c>
      <c r="F82" s="331">
        <v>272</v>
      </c>
      <c r="G82" s="331">
        <v>368</v>
      </c>
      <c r="H82" s="331">
        <v>3281</v>
      </c>
      <c r="I82" s="330">
        <v>2913</v>
      </c>
      <c r="J82" s="330">
        <v>1</v>
      </c>
      <c r="K82" s="332">
        <v>116.99</v>
      </c>
      <c r="L82" s="332">
        <v>116.6</v>
      </c>
      <c r="M82" s="332">
        <v>6</v>
      </c>
      <c r="N82" s="332">
        <v>122.16</v>
      </c>
      <c r="O82" s="333">
        <v>2009</v>
      </c>
      <c r="P82" s="330">
        <v>105.52</v>
      </c>
      <c r="Q82" s="330">
        <v>97.77</v>
      </c>
      <c r="R82" s="330">
        <v>28.9</v>
      </c>
      <c r="S82" s="330">
        <v>134.02000000000001</v>
      </c>
      <c r="T82" s="330">
        <v>425</v>
      </c>
      <c r="U82" s="330">
        <v>146.72</v>
      </c>
      <c r="V82" s="330">
        <v>217</v>
      </c>
      <c r="W82" s="330">
        <v>0</v>
      </c>
      <c r="X82" s="330">
        <v>0</v>
      </c>
      <c r="Y82" s="330">
        <v>0</v>
      </c>
      <c r="Z82" s="330">
        <v>1</v>
      </c>
      <c r="AA82" s="330">
        <v>1</v>
      </c>
      <c r="AB82" s="330">
        <v>18</v>
      </c>
      <c r="AC82" s="330">
        <v>6</v>
      </c>
      <c r="AD82" s="334">
        <v>2341</v>
      </c>
      <c r="AE82" s="334">
        <v>24</v>
      </c>
      <c r="AF82" s="334">
        <v>12</v>
      </c>
      <c r="AG82" s="334">
        <v>36</v>
      </c>
    </row>
    <row r="83" spans="1:33" x14ac:dyDescent="0.25">
      <c r="A83" s="329" t="s">
        <v>222</v>
      </c>
      <c r="B83" s="335" t="s">
        <v>223</v>
      </c>
      <c r="C83" s="331">
        <v>1728</v>
      </c>
      <c r="D83" s="331">
        <v>45</v>
      </c>
      <c r="E83" s="331">
        <v>324</v>
      </c>
      <c r="F83" s="331">
        <v>480</v>
      </c>
      <c r="G83" s="331">
        <v>102</v>
      </c>
      <c r="H83" s="331">
        <v>2679</v>
      </c>
      <c r="I83" s="330">
        <v>2577</v>
      </c>
      <c r="J83" s="330">
        <v>0</v>
      </c>
      <c r="K83" s="332">
        <v>80.72</v>
      </c>
      <c r="L83" s="332">
        <v>78.61</v>
      </c>
      <c r="M83" s="332">
        <v>5.92</v>
      </c>
      <c r="N83" s="332">
        <v>84.47</v>
      </c>
      <c r="O83" s="333">
        <v>1122</v>
      </c>
      <c r="P83" s="330">
        <v>83.23</v>
      </c>
      <c r="Q83" s="330">
        <v>75.16</v>
      </c>
      <c r="R83" s="330">
        <v>36.6</v>
      </c>
      <c r="S83" s="330">
        <v>119.42</v>
      </c>
      <c r="T83" s="330">
        <v>627</v>
      </c>
      <c r="U83" s="330">
        <v>91.13</v>
      </c>
      <c r="V83" s="330">
        <v>243</v>
      </c>
      <c r="W83" s="330">
        <v>0</v>
      </c>
      <c r="X83" s="330">
        <v>0</v>
      </c>
      <c r="Y83" s="330">
        <v>0</v>
      </c>
      <c r="Z83" s="330">
        <v>7</v>
      </c>
      <c r="AA83" s="330">
        <v>4</v>
      </c>
      <c r="AB83" s="330">
        <v>0</v>
      </c>
      <c r="AC83" s="330">
        <v>7</v>
      </c>
      <c r="AD83" s="334">
        <v>1453</v>
      </c>
      <c r="AE83" s="334">
        <v>59</v>
      </c>
      <c r="AF83" s="334">
        <v>57</v>
      </c>
      <c r="AG83" s="334">
        <v>116</v>
      </c>
    </row>
    <row r="84" spans="1:33" x14ac:dyDescent="0.25">
      <c r="A84" s="329" t="s">
        <v>224</v>
      </c>
      <c r="B84" s="335" t="s">
        <v>225</v>
      </c>
      <c r="C84" s="331">
        <v>1461</v>
      </c>
      <c r="D84" s="331">
        <v>12</v>
      </c>
      <c r="E84" s="331">
        <v>158</v>
      </c>
      <c r="F84" s="331">
        <v>67</v>
      </c>
      <c r="G84" s="331">
        <v>561</v>
      </c>
      <c r="H84" s="331">
        <v>2259</v>
      </c>
      <c r="I84" s="330">
        <v>1698</v>
      </c>
      <c r="J84" s="330">
        <v>0</v>
      </c>
      <c r="K84" s="332">
        <v>107.85</v>
      </c>
      <c r="L84" s="332">
        <v>107.8</v>
      </c>
      <c r="M84" s="332">
        <v>5.63</v>
      </c>
      <c r="N84" s="332">
        <v>112.94</v>
      </c>
      <c r="O84" s="333">
        <v>849</v>
      </c>
      <c r="P84" s="330">
        <v>89.36</v>
      </c>
      <c r="Q84" s="330">
        <v>87.36</v>
      </c>
      <c r="R84" s="330">
        <v>30.39</v>
      </c>
      <c r="S84" s="330">
        <v>115.57</v>
      </c>
      <c r="T84" s="330">
        <v>109</v>
      </c>
      <c r="U84" s="330">
        <v>145.19999999999999</v>
      </c>
      <c r="V84" s="330">
        <v>145</v>
      </c>
      <c r="W84" s="330">
        <v>0</v>
      </c>
      <c r="X84" s="330">
        <v>0</v>
      </c>
      <c r="Y84" s="330">
        <v>9</v>
      </c>
      <c r="Z84" s="330">
        <v>0</v>
      </c>
      <c r="AA84" s="330">
        <v>8</v>
      </c>
      <c r="AB84" s="330">
        <v>13</v>
      </c>
      <c r="AC84" s="330">
        <v>32</v>
      </c>
      <c r="AD84" s="334">
        <v>1069</v>
      </c>
      <c r="AE84" s="334">
        <v>4</v>
      </c>
      <c r="AF84" s="334">
        <v>2</v>
      </c>
      <c r="AG84" s="334">
        <v>6</v>
      </c>
    </row>
    <row r="85" spans="1:33" x14ac:dyDescent="0.25">
      <c r="A85" s="329" t="s">
        <v>226</v>
      </c>
      <c r="B85" s="335" t="s">
        <v>227</v>
      </c>
      <c r="C85" s="331">
        <v>5767</v>
      </c>
      <c r="D85" s="331">
        <v>96</v>
      </c>
      <c r="E85" s="331">
        <v>481</v>
      </c>
      <c r="F85" s="331">
        <v>1347</v>
      </c>
      <c r="G85" s="331">
        <v>539</v>
      </c>
      <c r="H85" s="331">
        <v>8230</v>
      </c>
      <c r="I85" s="330">
        <v>7691</v>
      </c>
      <c r="J85" s="330">
        <v>11</v>
      </c>
      <c r="K85" s="332">
        <v>88.19</v>
      </c>
      <c r="L85" s="332">
        <v>90.2</v>
      </c>
      <c r="M85" s="332">
        <v>5.67</v>
      </c>
      <c r="N85" s="332">
        <v>92.21</v>
      </c>
      <c r="O85" s="333">
        <v>5466</v>
      </c>
      <c r="P85" s="330">
        <v>81.819999999999993</v>
      </c>
      <c r="Q85" s="330">
        <v>78.89</v>
      </c>
      <c r="R85" s="330">
        <v>44.61</v>
      </c>
      <c r="S85" s="330">
        <v>123.23</v>
      </c>
      <c r="T85" s="330">
        <v>1452</v>
      </c>
      <c r="U85" s="330">
        <v>100.24</v>
      </c>
      <c r="V85" s="330">
        <v>133</v>
      </c>
      <c r="W85" s="330">
        <v>154.56</v>
      </c>
      <c r="X85" s="330">
        <v>88</v>
      </c>
      <c r="Y85" s="330">
        <v>15</v>
      </c>
      <c r="Z85" s="330">
        <v>3</v>
      </c>
      <c r="AA85" s="330">
        <v>9</v>
      </c>
      <c r="AB85" s="330">
        <v>10</v>
      </c>
      <c r="AC85" s="330">
        <v>19</v>
      </c>
      <c r="AD85" s="334">
        <v>5640</v>
      </c>
      <c r="AE85" s="334">
        <v>53</v>
      </c>
      <c r="AF85" s="334">
        <v>25</v>
      </c>
      <c r="AG85" s="334">
        <v>78</v>
      </c>
    </row>
    <row r="86" spans="1:33" x14ac:dyDescent="0.25">
      <c r="A86" s="329" t="s">
        <v>228</v>
      </c>
      <c r="B86" s="335" t="s">
        <v>229</v>
      </c>
      <c r="C86" s="331">
        <v>3670</v>
      </c>
      <c r="D86" s="331">
        <v>0</v>
      </c>
      <c r="E86" s="331">
        <v>63</v>
      </c>
      <c r="F86" s="331">
        <v>315</v>
      </c>
      <c r="G86" s="331">
        <v>136</v>
      </c>
      <c r="H86" s="331">
        <v>4184</v>
      </c>
      <c r="I86" s="330">
        <v>4048</v>
      </c>
      <c r="J86" s="330">
        <v>0</v>
      </c>
      <c r="K86" s="332">
        <v>91.75</v>
      </c>
      <c r="L86" s="332">
        <v>93.8</v>
      </c>
      <c r="M86" s="332">
        <v>2.5099999999999998</v>
      </c>
      <c r="N86" s="332">
        <v>93.94</v>
      </c>
      <c r="O86" s="333">
        <v>3424</v>
      </c>
      <c r="P86" s="330">
        <v>82.28</v>
      </c>
      <c r="Q86" s="330">
        <v>80.8</v>
      </c>
      <c r="R86" s="330">
        <v>27.24</v>
      </c>
      <c r="S86" s="330">
        <v>106.49</v>
      </c>
      <c r="T86" s="330">
        <v>359</v>
      </c>
      <c r="U86" s="330">
        <v>114.37</v>
      </c>
      <c r="V86" s="330">
        <v>130</v>
      </c>
      <c r="W86" s="330">
        <v>0</v>
      </c>
      <c r="X86" s="330">
        <v>0</v>
      </c>
      <c r="Y86" s="330">
        <v>8</v>
      </c>
      <c r="Z86" s="330">
        <v>11</v>
      </c>
      <c r="AA86" s="330">
        <v>4</v>
      </c>
      <c r="AB86" s="330">
        <v>5</v>
      </c>
      <c r="AC86" s="330">
        <v>3</v>
      </c>
      <c r="AD86" s="334">
        <v>3567</v>
      </c>
      <c r="AE86" s="334">
        <v>28</v>
      </c>
      <c r="AF86" s="334">
        <v>66</v>
      </c>
      <c r="AG86" s="334">
        <v>94</v>
      </c>
    </row>
    <row r="87" spans="1:33" x14ac:dyDescent="0.25">
      <c r="A87" s="329" t="s">
        <v>230</v>
      </c>
      <c r="B87" s="335" t="s">
        <v>231</v>
      </c>
      <c r="C87" s="331">
        <v>2050</v>
      </c>
      <c r="D87" s="331">
        <v>0</v>
      </c>
      <c r="E87" s="331">
        <v>531</v>
      </c>
      <c r="F87" s="331">
        <v>974</v>
      </c>
      <c r="G87" s="331">
        <v>186</v>
      </c>
      <c r="H87" s="331">
        <v>3741</v>
      </c>
      <c r="I87" s="330">
        <v>3555</v>
      </c>
      <c r="J87" s="330">
        <v>0</v>
      </c>
      <c r="K87" s="332">
        <v>81.95</v>
      </c>
      <c r="L87" s="332">
        <v>80.430000000000007</v>
      </c>
      <c r="M87" s="332">
        <v>5.16</v>
      </c>
      <c r="N87" s="332">
        <v>84.97</v>
      </c>
      <c r="O87" s="333">
        <v>1744</v>
      </c>
      <c r="P87" s="330">
        <v>91.27</v>
      </c>
      <c r="Q87" s="330">
        <v>77.86</v>
      </c>
      <c r="R87" s="330">
        <v>21.8</v>
      </c>
      <c r="S87" s="330">
        <v>112.63</v>
      </c>
      <c r="T87" s="330">
        <v>1360</v>
      </c>
      <c r="U87" s="330">
        <v>91.22</v>
      </c>
      <c r="V87" s="330">
        <v>178</v>
      </c>
      <c r="W87" s="330">
        <v>127.5</v>
      </c>
      <c r="X87" s="330">
        <v>19</v>
      </c>
      <c r="Y87" s="330">
        <v>0</v>
      </c>
      <c r="Z87" s="330">
        <v>0</v>
      </c>
      <c r="AA87" s="330">
        <v>10</v>
      </c>
      <c r="AB87" s="330">
        <v>3</v>
      </c>
      <c r="AC87" s="330">
        <v>2</v>
      </c>
      <c r="AD87" s="334">
        <v>1991</v>
      </c>
      <c r="AE87" s="334">
        <v>20</v>
      </c>
      <c r="AF87" s="334">
        <v>5</v>
      </c>
      <c r="AG87" s="334">
        <v>25</v>
      </c>
    </row>
    <row r="88" spans="1:33" x14ac:dyDescent="0.25">
      <c r="A88" s="329" t="s">
        <v>232</v>
      </c>
      <c r="B88" s="335" t="s">
        <v>233</v>
      </c>
      <c r="C88" s="330">
        <v>15364</v>
      </c>
      <c r="D88" s="330">
        <v>62</v>
      </c>
      <c r="E88" s="330">
        <v>559</v>
      </c>
      <c r="F88" s="330">
        <v>4399</v>
      </c>
      <c r="G88" s="330">
        <v>831</v>
      </c>
      <c r="H88" s="330">
        <v>21215</v>
      </c>
      <c r="I88" s="330">
        <v>20384</v>
      </c>
      <c r="J88" s="330">
        <v>7</v>
      </c>
      <c r="K88" s="330">
        <v>98.4</v>
      </c>
      <c r="L88" s="332">
        <v>99.71</v>
      </c>
      <c r="M88" s="332">
        <v>3.42</v>
      </c>
      <c r="N88" s="332">
        <v>100.3</v>
      </c>
      <c r="O88" s="333">
        <v>14604</v>
      </c>
      <c r="P88" s="330">
        <v>86.22</v>
      </c>
      <c r="Q88" s="330">
        <v>86.6</v>
      </c>
      <c r="R88" s="330">
        <v>17.11</v>
      </c>
      <c r="S88" s="330">
        <v>102.37</v>
      </c>
      <c r="T88" s="330">
        <v>4531</v>
      </c>
      <c r="U88" s="330">
        <v>132.6</v>
      </c>
      <c r="V88" s="330">
        <v>721</v>
      </c>
      <c r="W88" s="330">
        <v>139.68</v>
      </c>
      <c r="X88" s="330">
        <v>29</v>
      </c>
      <c r="Y88" s="330">
        <v>11</v>
      </c>
      <c r="Z88" s="330">
        <v>23</v>
      </c>
      <c r="AA88" s="330">
        <v>17</v>
      </c>
      <c r="AB88" s="330">
        <v>47</v>
      </c>
      <c r="AC88" s="330">
        <v>13</v>
      </c>
      <c r="AD88" s="330">
        <v>15327</v>
      </c>
      <c r="AE88" s="330">
        <v>61</v>
      </c>
      <c r="AF88" s="330">
        <v>24</v>
      </c>
      <c r="AG88" s="330">
        <v>85</v>
      </c>
    </row>
    <row r="89" spans="1:33" x14ac:dyDescent="0.25">
      <c r="A89" s="329" t="s">
        <v>234</v>
      </c>
      <c r="B89" s="335" t="s">
        <v>235</v>
      </c>
      <c r="C89" s="331">
        <v>1967</v>
      </c>
      <c r="D89" s="331">
        <v>0</v>
      </c>
      <c r="E89" s="331">
        <v>107</v>
      </c>
      <c r="F89" s="331">
        <v>441</v>
      </c>
      <c r="G89" s="331">
        <v>164</v>
      </c>
      <c r="H89" s="331">
        <v>2679</v>
      </c>
      <c r="I89" s="330">
        <v>2515</v>
      </c>
      <c r="J89" s="330">
        <v>0</v>
      </c>
      <c r="K89" s="332">
        <v>90.91</v>
      </c>
      <c r="L89" s="332">
        <v>90.88</v>
      </c>
      <c r="M89" s="332">
        <v>5.74</v>
      </c>
      <c r="N89" s="332">
        <v>95.36</v>
      </c>
      <c r="O89" s="333">
        <v>1712</v>
      </c>
      <c r="P89" s="330">
        <v>86.29</v>
      </c>
      <c r="Q89" s="330">
        <v>87.2</v>
      </c>
      <c r="R89" s="330">
        <v>32.61</v>
      </c>
      <c r="S89" s="330">
        <v>117.88</v>
      </c>
      <c r="T89" s="330">
        <v>545</v>
      </c>
      <c r="U89" s="330">
        <v>118.7</v>
      </c>
      <c r="V89" s="330">
        <v>90</v>
      </c>
      <c r="W89" s="330">
        <v>0</v>
      </c>
      <c r="X89" s="330">
        <v>0</v>
      </c>
      <c r="Y89" s="330">
        <v>0</v>
      </c>
      <c r="Z89" s="330">
        <v>0</v>
      </c>
      <c r="AA89" s="330">
        <v>0</v>
      </c>
      <c r="AB89" s="330">
        <v>17</v>
      </c>
      <c r="AC89" s="330">
        <v>4</v>
      </c>
      <c r="AD89" s="334">
        <v>1915</v>
      </c>
      <c r="AE89" s="334">
        <v>13</v>
      </c>
      <c r="AF89" s="334">
        <v>11</v>
      </c>
      <c r="AG89" s="334">
        <v>24</v>
      </c>
    </row>
    <row r="90" spans="1:33" x14ac:dyDescent="0.25">
      <c r="A90" s="329" t="s">
        <v>236</v>
      </c>
      <c r="B90" s="335" t="s">
        <v>237</v>
      </c>
      <c r="C90" s="331">
        <v>3439</v>
      </c>
      <c r="D90" s="331">
        <v>0</v>
      </c>
      <c r="E90" s="331">
        <v>376</v>
      </c>
      <c r="F90" s="331">
        <v>907</v>
      </c>
      <c r="G90" s="331">
        <v>739</v>
      </c>
      <c r="H90" s="331">
        <v>5461</v>
      </c>
      <c r="I90" s="330">
        <v>4722</v>
      </c>
      <c r="J90" s="330">
        <v>0</v>
      </c>
      <c r="K90" s="332">
        <v>93.77</v>
      </c>
      <c r="L90" s="332">
        <v>93.6</v>
      </c>
      <c r="M90" s="332">
        <v>6.17</v>
      </c>
      <c r="N90" s="332">
        <v>98.82</v>
      </c>
      <c r="O90" s="333">
        <v>3163</v>
      </c>
      <c r="P90" s="330">
        <v>96.25</v>
      </c>
      <c r="Q90" s="330">
        <v>92.35</v>
      </c>
      <c r="R90" s="330">
        <v>36.08</v>
      </c>
      <c r="S90" s="330">
        <v>127.88</v>
      </c>
      <c r="T90" s="330">
        <v>997</v>
      </c>
      <c r="U90" s="330">
        <v>109.21</v>
      </c>
      <c r="V90" s="330">
        <v>154</v>
      </c>
      <c r="W90" s="330">
        <v>0</v>
      </c>
      <c r="X90" s="330">
        <v>0</v>
      </c>
      <c r="Y90" s="330">
        <v>0</v>
      </c>
      <c r="Z90" s="330">
        <v>10</v>
      </c>
      <c r="AA90" s="330">
        <v>3</v>
      </c>
      <c r="AB90" s="330">
        <v>13</v>
      </c>
      <c r="AC90" s="330">
        <v>12</v>
      </c>
      <c r="AD90" s="334">
        <v>3411</v>
      </c>
      <c r="AE90" s="334">
        <v>21</v>
      </c>
      <c r="AF90" s="334">
        <v>7</v>
      </c>
      <c r="AG90" s="334">
        <v>28</v>
      </c>
    </row>
    <row r="91" spans="1:33" x14ac:dyDescent="0.25">
      <c r="A91" s="329" t="s">
        <v>238</v>
      </c>
      <c r="B91" s="335" t="s">
        <v>239</v>
      </c>
      <c r="C91" s="331">
        <v>8901</v>
      </c>
      <c r="D91" s="331">
        <v>20</v>
      </c>
      <c r="E91" s="331">
        <v>908</v>
      </c>
      <c r="F91" s="331">
        <v>790</v>
      </c>
      <c r="G91" s="331">
        <v>2140</v>
      </c>
      <c r="H91" s="331">
        <v>12759</v>
      </c>
      <c r="I91" s="330">
        <v>10619</v>
      </c>
      <c r="J91" s="330">
        <v>150</v>
      </c>
      <c r="K91" s="332">
        <v>126.1</v>
      </c>
      <c r="L91" s="332">
        <v>128.11000000000001</v>
      </c>
      <c r="M91" s="332">
        <v>9.6999999999999993</v>
      </c>
      <c r="N91" s="332">
        <v>133.07</v>
      </c>
      <c r="O91" s="333">
        <v>7986</v>
      </c>
      <c r="P91" s="330">
        <v>114.23</v>
      </c>
      <c r="Q91" s="330">
        <v>113.62</v>
      </c>
      <c r="R91" s="330">
        <v>40.43</v>
      </c>
      <c r="S91" s="330">
        <v>151.94</v>
      </c>
      <c r="T91" s="330">
        <v>1143</v>
      </c>
      <c r="U91" s="330">
        <v>194.2</v>
      </c>
      <c r="V91" s="330">
        <v>399</v>
      </c>
      <c r="W91" s="330">
        <v>202.2</v>
      </c>
      <c r="X91" s="330">
        <v>17</v>
      </c>
      <c r="Y91" s="330">
        <v>0</v>
      </c>
      <c r="Z91" s="330">
        <v>5</v>
      </c>
      <c r="AA91" s="330">
        <v>29</v>
      </c>
      <c r="AB91" s="330">
        <v>125</v>
      </c>
      <c r="AC91" s="330">
        <v>70</v>
      </c>
      <c r="AD91" s="334">
        <v>8460</v>
      </c>
      <c r="AE91" s="334">
        <v>22</v>
      </c>
      <c r="AF91" s="334">
        <v>73</v>
      </c>
      <c r="AG91" s="334">
        <v>95</v>
      </c>
    </row>
    <row r="92" spans="1:33" x14ac:dyDescent="0.25">
      <c r="A92" s="329" t="s">
        <v>240</v>
      </c>
      <c r="B92" s="335" t="s">
        <v>241</v>
      </c>
      <c r="C92" s="331">
        <v>4002</v>
      </c>
      <c r="D92" s="331">
        <v>7</v>
      </c>
      <c r="E92" s="331">
        <v>114</v>
      </c>
      <c r="F92" s="331">
        <v>1058</v>
      </c>
      <c r="G92" s="331">
        <v>523</v>
      </c>
      <c r="H92" s="331">
        <v>5704</v>
      </c>
      <c r="I92" s="330">
        <v>5181</v>
      </c>
      <c r="J92" s="330">
        <v>0</v>
      </c>
      <c r="K92" s="332">
        <v>101.24</v>
      </c>
      <c r="L92" s="332">
        <v>110.74</v>
      </c>
      <c r="M92" s="332">
        <v>4.3499999999999996</v>
      </c>
      <c r="N92" s="332">
        <v>101.89</v>
      </c>
      <c r="O92" s="333">
        <v>3715</v>
      </c>
      <c r="P92" s="330">
        <v>91</v>
      </c>
      <c r="Q92" s="330">
        <v>98.73</v>
      </c>
      <c r="R92" s="330">
        <v>15.92</v>
      </c>
      <c r="S92" s="330">
        <v>106.31</v>
      </c>
      <c r="T92" s="330">
        <v>1135</v>
      </c>
      <c r="U92" s="330">
        <v>116.27</v>
      </c>
      <c r="V92" s="330">
        <v>245</v>
      </c>
      <c r="W92" s="330">
        <v>0</v>
      </c>
      <c r="X92" s="330">
        <v>0</v>
      </c>
      <c r="Y92" s="330">
        <v>0</v>
      </c>
      <c r="Z92" s="330">
        <v>8</v>
      </c>
      <c r="AA92" s="330">
        <v>0</v>
      </c>
      <c r="AB92" s="330">
        <v>13</v>
      </c>
      <c r="AC92" s="330">
        <v>11</v>
      </c>
      <c r="AD92" s="334">
        <v>3994</v>
      </c>
      <c r="AE92" s="334">
        <v>3</v>
      </c>
      <c r="AF92" s="334">
        <v>12</v>
      </c>
      <c r="AG92" s="334">
        <v>15</v>
      </c>
    </row>
    <row r="93" spans="1:33" x14ac:dyDescent="0.25">
      <c r="A93" s="329" t="s">
        <v>242</v>
      </c>
      <c r="B93" s="335" t="s">
        <v>243</v>
      </c>
      <c r="C93" s="331">
        <v>1738</v>
      </c>
      <c r="D93" s="331">
        <v>0</v>
      </c>
      <c r="E93" s="331">
        <v>157</v>
      </c>
      <c r="F93" s="331">
        <v>152</v>
      </c>
      <c r="G93" s="331">
        <v>359</v>
      </c>
      <c r="H93" s="331">
        <v>2406</v>
      </c>
      <c r="I93" s="330">
        <v>2047</v>
      </c>
      <c r="J93" s="330">
        <v>5</v>
      </c>
      <c r="K93" s="332">
        <v>93.74</v>
      </c>
      <c r="L93" s="332">
        <v>91.45</v>
      </c>
      <c r="M93" s="332">
        <v>3.98</v>
      </c>
      <c r="N93" s="332">
        <v>96.67</v>
      </c>
      <c r="O93" s="333">
        <v>1386</v>
      </c>
      <c r="P93" s="330">
        <v>93.71</v>
      </c>
      <c r="Q93" s="330">
        <v>80.209999999999994</v>
      </c>
      <c r="R93" s="330">
        <v>40.64</v>
      </c>
      <c r="S93" s="330">
        <v>129.22</v>
      </c>
      <c r="T93" s="330">
        <v>222</v>
      </c>
      <c r="U93" s="330">
        <v>126.04</v>
      </c>
      <c r="V93" s="330">
        <v>283</v>
      </c>
      <c r="W93" s="330">
        <v>0</v>
      </c>
      <c r="X93" s="330">
        <v>0</v>
      </c>
      <c r="Y93" s="330">
        <v>9</v>
      </c>
      <c r="Z93" s="330">
        <v>0</v>
      </c>
      <c r="AA93" s="330">
        <v>0</v>
      </c>
      <c r="AB93" s="330">
        <v>40</v>
      </c>
      <c r="AC93" s="330">
        <v>1</v>
      </c>
      <c r="AD93" s="334">
        <v>1691</v>
      </c>
      <c r="AE93" s="334">
        <v>18</v>
      </c>
      <c r="AF93" s="334">
        <v>2</v>
      </c>
      <c r="AG93" s="334">
        <v>20</v>
      </c>
    </row>
    <row r="94" spans="1:33" x14ac:dyDescent="0.25">
      <c r="A94" s="329" t="s">
        <v>244</v>
      </c>
      <c r="B94" s="335" t="s">
        <v>245</v>
      </c>
      <c r="C94" s="331">
        <v>5161</v>
      </c>
      <c r="D94" s="331">
        <v>0</v>
      </c>
      <c r="E94" s="331">
        <v>88</v>
      </c>
      <c r="F94" s="331">
        <v>806</v>
      </c>
      <c r="G94" s="331">
        <v>385</v>
      </c>
      <c r="H94" s="331">
        <v>6440</v>
      </c>
      <c r="I94" s="330">
        <v>6055</v>
      </c>
      <c r="J94" s="330">
        <v>0</v>
      </c>
      <c r="K94" s="332">
        <v>115.88</v>
      </c>
      <c r="L94" s="332">
        <v>117.1</v>
      </c>
      <c r="M94" s="332">
        <v>1.1100000000000001</v>
      </c>
      <c r="N94" s="332">
        <v>116.93</v>
      </c>
      <c r="O94" s="333">
        <v>4294</v>
      </c>
      <c r="P94" s="330">
        <v>92.56</v>
      </c>
      <c r="Q94" s="330">
        <v>93.67</v>
      </c>
      <c r="R94" s="330">
        <v>14.37</v>
      </c>
      <c r="S94" s="330">
        <v>106.61</v>
      </c>
      <c r="T94" s="330">
        <v>865</v>
      </c>
      <c r="U94" s="330">
        <v>142.24</v>
      </c>
      <c r="V94" s="330">
        <v>474</v>
      </c>
      <c r="W94" s="330">
        <v>0</v>
      </c>
      <c r="X94" s="330">
        <v>0</v>
      </c>
      <c r="Y94" s="330">
        <v>0</v>
      </c>
      <c r="Z94" s="330">
        <v>5</v>
      </c>
      <c r="AA94" s="330">
        <v>0</v>
      </c>
      <c r="AB94" s="330">
        <v>27</v>
      </c>
      <c r="AC94" s="330">
        <v>7</v>
      </c>
      <c r="AD94" s="334">
        <v>4896</v>
      </c>
      <c r="AE94" s="334">
        <v>26</v>
      </c>
      <c r="AF94" s="334">
        <v>9</v>
      </c>
      <c r="AG94" s="334">
        <v>35</v>
      </c>
    </row>
    <row r="95" spans="1:33" x14ac:dyDescent="0.25">
      <c r="A95" s="329" t="s">
        <v>246</v>
      </c>
      <c r="B95" s="335" t="s">
        <v>247</v>
      </c>
      <c r="C95" s="331">
        <v>6576</v>
      </c>
      <c r="D95" s="331">
        <v>0</v>
      </c>
      <c r="E95" s="331">
        <v>193</v>
      </c>
      <c r="F95" s="331">
        <v>1068</v>
      </c>
      <c r="G95" s="331">
        <v>598</v>
      </c>
      <c r="H95" s="331">
        <v>8435</v>
      </c>
      <c r="I95" s="330">
        <v>7837</v>
      </c>
      <c r="J95" s="330">
        <v>29</v>
      </c>
      <c r="K95" s="332">
        <v>115.59</v>
      </c>
      <c r="L95" s="332">
        <v>117.51</v>
      </c>
      <c r="M95" s="332">
        <v>2.91</v>
      </c>
      <c r="N95" s="332">
        <v>117.54</v>
      </c>
      <c r="O95" s="333">
        <v>5564</v>
      </c>
      <c r="P95" s="330">
        <v>100.45</v>
      </c>
      <c r="Q95" s="330">
        <v>96.28</v>
      </c>
      <c r="R95" s="330">
        <v>21.88</v>
      </c>
      <c r="S95" s="330">
        <v>121.56</v>
      </c>
      <c r="T95" s="330">
        <v>764</v>
      </c>
      <c r="U95" s="330">
        <v>150.13999999999999</v>
      </c>
      <c r="V95" s="330">
        <v>897</v>
      </c>
      <c r="W95" s="330">
        <v>0</v>
      </c>
      <c r="X95" s="330">
        <v>0</v>
      </c>
      <c r="Y95" s="330">
        <v>0</v>
      </c>
      <c r="Z95" s="330">
        <v>14</v>
      </c>
      <c r="AA95" s="330">
        <v>0</v>
      </c>
      <c r="AB95" s="330">
        <v>23</v>
      </c>
      <c r="AC95" s="330">
        <v>14</v>
      </c>
      <c r="AD95" s="334">
        <v>6576</v>
      </c>
      <c r="AE95" s="334">
        <v>51</v>
      </c>
      <c r="AF95" s="334">
        <v>4</v>
      </c>
      <c r="AG95" s="334">
        <v>55</v>
      </c>
    </row>
    <row r="96" spans="1:33" x14ac:dyDescent="0.25">
      <c r="A96" s="329" t="s">
        <v>248</v>
      </c>
      <c r="B96" s="335" t="s">
        <v>249</v>
      </c>
      <c r="C96" s="331">
        <v>6054</v>
      </c>
      <c r="D96" s="331">
        <v>0</v>
      </c>
      <c r="E96" s="331">
        <v>270</v>
      </c>
      <c r="F96" s="331">
        <v>853</v>
      </c>
      <c r="G96" s="331">
        <v>421</v>
      </c>
      <c r="H96" s="331">
        <v>7598</v>
      </c>
      <c r="I96" s="330">
        <v>7177</v>
      </c>
      <c r="J96" s="330">
        <v>2</v>
      </c>
      <c r="K96" s="332">
        <v>83.43</v>
      </c>
      <c r="L96" s="332">
        <v>83.51</v>
      </c>
      <c r="M96" s="332">
        <v>1.57</v>
      </c>
      <c r="N96" s="332">
        <v>84.69</v>
      </c>
      <c r="O96" s="333">
        <v>5306</v>
      </c>
      <c r="P96" s="330">
        <v>78.48</v>
      </c>
      <c r="Q96" s="330">
        <v>76.78</v>
      </c>
      <c r="R96" s="330">
        <v>24.69</v>
      </c>
      <c r="S96" s="330">
        <v>102.85</v>
      </c>
      <c r="T96" s="330">
        <v>1072</v>
      </c>
      <c r="U96" s="330">
        <v>91.61</v>
      </c>
      <c r="V96" s="330">
        <v>589</v>
      </c>
      <c r="W96" s="330">
        <v>139.62</v>
      </c>
      <c r="X96" s="330">
        <v>40</v>
      </c>
      <c r="Y96" s="330">
        <v>5</v>
      </c>
      <c r="Z96" s="330">
        <v>11</v>
      </c>
      <c r="AA96" s="330">
        <v>3</v>
      </c>
      <c r="AB96" s="330">
        <v>18</v>
      </c>
      <c r="AC96" s="330">
        <v>3</v>
      </c>
      <c r="AD96" s="334">
        <v>5924</v>
      </c>
      <c r="AE96" s="334">
        <v>40</v>
      </c>
      <c r="AF96" s="334">
        <v>23</v>
      </c>
      <c r="AG96" s="334">
        <v>63</v>
      </c>
    </row>
    <row r="97" spans="1:33" x14ac:dyDescent="0.25">
      <c r="A97" s="329" t="s">
        <v>250</v>
      </c>
      <c r="B97" s="335" t="s">
        <v>251</v>
      </c>
      <c r="C97" s="331">
        <v>1663</v>
      </c>
      <c r="D97" s="331">
        <v>0</v>
      </c>
      <c r="E97" s="331">
        <v>167</v>
      </c>
      <c r="F97" s="331">
        <v>683</v>
      </c>
      <c r="G97" s="331">
        <v>157</v>
      </c>
      <c r="H97" s="331">
        <v>2670</v>
      </c>
      <c r="I97" s="330">
        <v>2513</v>
      </c>
      <c r="J97" s="330">
        <v>7</v>
      </c>
      <c r="K97" s="332">
        <v>90.56</v>
      </c>
      <c r="L97" s="332">
        <v>89.86</v>
      </c>
      <c r="M97" s="332">
        <v>4.9000000000000004</v>
      </c>
      <c r="N97" s="332">
        <v>93.41</v>
      </c>
      <c r="O97" s="333">
        <v>1414</v>
      </c>
      <c r="P97" s="330">
        <v>82.54</v>
      </c>
      <c r="Q97" s="330">
        <v>78.84</v>
      </c>
      <c r="R97" s="330">
        <v>33.020000000000003</v>
      </c>
      <c r="S97" s="330">
        <v>114.89</v>
      </c>
      <c r="T97" s="330">
        <v>741</v>
      </c>
      <c r="U97" s="330">
        <v>101.02</v>
      </c>
      <c r="V97" s="330">
        <v>117</v>
      </c>
      <c r="W97" s="330">
        <v>97.07</v>
      </c>
      <c r="X97" s="330">
        <v>3</v>
      </c>
      <c r="Y97" s="330">
        <v>24</v>
      </c>
      <c r="Z97" s="330">
        <v>0</v>
      </c>
      <c r="AA97" s="330">
        <v>1</v>
      </c>
      <c r="AB97" s="330">
        <v>0</v>
      </c>
      <c r="AC97" s="330">
        <v>1</v>
      </c>
      <c r="AD97" s="334">
        <v>1532</v>
      </c>
      <c r="AE97" s="334">
        <v>4</v>
      </c>
      <c r="AF97" s="334">
        <v>3</v>
      </c>
      <c r="AG97" s="334">
        <v>7</v>
      </c>
    </row>
    <row r="98" spans="1:33" x14ac:dyDescent="0.25">
      <c r="A98" s="329" t="s">
        <v>252</v>
      </c>
      <c r="B98" s="335" t="s">
        <v>253</v>
      </c>
      <c r="C98" s="331">
        <v>5434</v>
      </c>
      <c r="D98" s="331">
        <v>0</v>
      </c>
      <c r="E98" s="331">
        <v>177</v>
      </c>
      <c r="F98" s="331">
        <v>1069</v>
      </c>
      <c r="G98" s="331">
        <v>175</v>
      </c>
      <c r="H98" s="331">
        <v>6855</v>
      </c>
      <c r="I98" s="330">
        <v>6680</v>
      </c>
      <c r="J98" s="330">
        <v>0</v>
      </c>
      <c r="K98" s="332">
        <v>82.06</v>
      </c>
      <c r="L98" s="332">
        <v>78.930000000000007</v>
      </c>
      <c r="M98" s="332">
        <v>7.47</v>
      </c>
      <c r="N98" s="332">
        <v>84.64</v>
      </c>
      <c r="O98" s="333">
        <v>4524</v>
      </c>
      <c r="P98" s="330">
        <v>78.97</v>
      </c>
      <c r="Q98" s="330">
        <v>77.239999999999995</v>
      </c>
      <c r="R98" s="330">
        <v>27.32</v>
      </c>
      <c r="S98" s="330">
        <v>101.01</v>
      </c>
      <c r="T98" s="330">
        <v>1190</v>
      </c>
      <c r="U98" s="330">
        <v>91.54</v>
      </c>
      <c r="V98" s="330">
        <v>813</v>
      </c>
      <c r="W98" s="330">
        <v>84.26</v>
      </c>
      <c r="X98" s="330">
        <v>39</v>
      </c>
      <c r="Y98" s="330">
        <v>0</v>
      </c>
      <c r="Z98" s="330">
        <v>16</v>
      </c>
      <c r="AA98" s="330">
        <v>2</v>
      </c>
      <c r="AB98" s="330">
        <v>1</v>
      </c>
      <c r="AC98" s="330">
        <v>1</v>
      </c>
      <c r="AD98" s="334">
        <v>5434</v>
      </c>
      <c r="AE98" s="334">
        <v>37</v>
      </c>
      <c r="AF98" s="334">
        <v>10</v>
      </c>
      <c r="AG98" s="334">
        <v>47</v>
      </c>
    </row>
    <row r="99" spans="1:33" x14ac:dyDescent="0.25">
      <c r="A99" s="329" t="s">
        <v>254</v>
      </c>
      <c r="B99" s="335" t="s">
        <v>255</v>
      </c>
      <c r="C99" s="330">
        <v>7526</v>
      </c>
      <c r="D99" s="330">
        <v>0</v>
      </c>
      <c r="E99" s="330">
        <v>408</v>
      </c>
      <c r="F99" s="330">
        <v>1468</v>
      </c>
      <c r="G99" s="330">
        <v>259</v>
      </c>
      <c r="H99" s="330">
        <v>9661</v>
      </c>
      <c r="I99" s="330">
        <v>9402</v>
      </c>
      <c r="J99" s="330">
        <v>25</v>
      </c>
      <c r="K99" s="330">
        <v>91.85</v>
      </c>
      <c r="L99" s="332">
        <v>91.86</v>
      </c>
      <c r="M99" s="332">
        <v>3.6</v>
      </c>
      <c r="N99" s="332">
        <v>93.14</v>
      </c>
      <c r="O99" s="333">
        <v>7075</v>
      </c>
      <c r="P99" s="330">
        <v>80.260000000000005</v>
      </c>
      <c r="Q99" s="330">
        <v>77.52</v>
      </c>
      <c r="R99" s="330">
        <v>31.82</v>
      </c>
      <c r="S99" s="330">
        <v>110.71</v>
      </c>
      <c r="T99" s="330">
        <v>1741</v>
      </c>
      <c r="U99" s="330">
        <v>101.6</v>
      </c>
      <c r="V99" s="330">
        <v>278</v>
      </c>
      <c r="W99" s="330">
        <v>179.73</v>
      </c>
      <c r="X99" s="330">
        <v>18</v>
      </c>
      <c r="Y99" s="330">
        <v>0</v>
      </c>
      <c r="Z99" s="330">
        <v>19</v>
      </c>
      <c r="AA99" s="330">
        <v>10</v>
      </c>
      <c r="AB99" s="330">
        <v>1</v>
      </c>
      <c r="AC99" s="330">
        <v>1</v>
      </c>
      <c r="AD99" s="330">
        <v>7512</v>
      </c>
      <c r="AE99" s="330">
        <v>57</v>
      </c>
      <c r="AF99" s="330">
        <v>20</v>
      </c>
      <c r="AG99" s="330">
        <v>77</v>
      </c>
    </row>
    <row r="100" spans="1:33" x14ac:dyDescent="0.25">
      <c r="A100" s="329" t="s">
        <v>256</v>
      </c>
      <c r="B100" s="335" t="s">
        <v>257</v>
      </c>
      <c r="C100" s="331">
        <v>1616</v>
      </c>
      <c r="D100" s="331">
        <v>12</v>
      </c>
      <c r="E100" s="331">
        <v>216</v>
      </c>
      <c r="F100" s="331">
        <v>648</v>
      </c>
      <c r="G100" s="331">
        <v>159</v>
      </c>
      <c r="H100" s="331">
        <v>2651</v>
      </c>
      <c r="I100" s="330">
        <v>2492</v>
      </c>
      <c r="J100" s="330">
        <v>1</v>
      </c>
      <c r="K100" s="332">
        <v>96.87</v>
      </c>
      <c r="L100" s="332">
        <v>92.87</v>
      </c>
      <c r="M100" s="332">
        <v>5.94</v>
      </c>
      <c r="N100" s="332">
        <v>101.82</v>
      </c>
      <c r="O100" s="333">
        <v>1451</v>
      </c>
      <c r="P100" s="330">
        <v>76.5</v>
      </c>
      <c r="Q100" s="330">
        <v>72.39</v>
      </c>
      <c r="R100" s="330">
        <v>34.659999999999997</v>
      </c>
      <c r="S100" s="330">
        <v>108.45</v>
      </c>
      <c r="T100" s="330">
        <v>728</v>
      </c>
      <c r="U100" s="330">
        <v>125.92</v>
      </c>
      <c r="V100" s="330">
        <v>158</v>
      </c>
      <c r="W100" s="330">
        <v>122.14</v>
      </c>
      <c r="X100" s="330">
        <v>18</v>
      </c>
      <c r="Y100" s="330">
        <v>0</v>
      </c>
      <c r="Z100" s="330">
        <v>0</v>
      </c>
      <c r="AA100" s="330">
        <v>5</v>
      </c>
      <c r="AB100" s="330">
        <v>0</v>
      </c>
      <c r="AC100" s="330">
        <v>2</v>
      </c>
      <c r="AD100" s="334">
        <v>1616</v>
      </c>
      <c r="AE100" s="334">
        <v>2</v>
      </c>
      <c r="AF100" s="334">
        <v>2</v>
      </c>
      <c r="AG100" s="334">
        <v>4</v>
      </c>
    </row>
    <row r="101" spans="1:33" x14ac:dyDescent="0.25">
      <c r="A101" s="329" t="s">
        <v>258</v>
      </c>
      <c r="B101" s="335" t="s">
        <v>259</v>
      </c>
      <c r="C101" s="331">
        <v>5193</v>
      </c>
      <c r="D101" s="331">
        <v>0</v>
      </c>
      <c r="E101" s="331">
        <v>181</v>
      </c>
      <c r="F101" s="331">
        <v>1197</v>
      </c>
      <c r="G101" s="331">
        <v>501</v>
      </c>
      <c r="H101" s="331">
        <v>7072</v>
      </c>
      <c r="I101" s="330">
        <v>6571</v>
      </c>
      <c r="J101" s="330">
        <v>0</v>
      </c>
      <c r="K101" s="332">
        <v>108.53</v>
      </c>
      <c r="L101" s="332">
        <v>108.85</v>
      </c>
      <c r="M101" s="332">
        <v>4.6100000000000003</v>
      </c>
      <c r="N101" s="332">
        <v>111.01</v>
      </c>
      <c r="O101" s="333">
        <v>4461</v>
      </c>
      <c r="P101" s="330">
        <v>94.74</v>
      </c>
      <c r="Q101" s="330">
        <v>94.12</v>
      </c>
      <c r="R101" s="330">
        <v>21.56</v>
      </c>
      <c r="S101" s="330">
        <v>113.49</v>
      </c>
      <c r="T101" s="330">
        <v>1160</v>
      </c>
      <c r="U101" s="330">
        <v>139.97</v>
      </c>
      <c r="V101" s="330">
        <v>586</v>
      </c>
      <c r="W101" s="330">
        <v>146.03</v>
      </c>
      <c r="X101" s="330">
        <v>163</v>
      </c>
      <c r="Y101" s="330">
        <v>40</v>
      </c>
      <c r="Z101" s="330">
        <v>9</v>
      </c>
      <c r="AA101" s="330">
        <v>6</v>
      </c>
      <c r="AB101" s="330">
        <v>25</v>
      </c>
      <c r="AC101" s="330">
        <v>9</v>
      </c>
      <c r="AD101" s="334">
        <v>5193</v>
      </c>
      <c r="AE101" s="334">
        <v>18</v>
      </c>
      <c r="AF101" s="334">
        <v>8</v>
      </c>
      <c r="AG101" s="334">
        <v>26</v>
      </c>
    </row>
    <row r="102" spans="1:33" x14ac:dyDescent="0.25">
      <c r="A102" s="329" t="s">
        <v>260</v>
      </c>
      <c r="B102" s="335" t="s">
        <v>261</v>
      </c>
      <c r="C102" s="331">
        <v>2114</v>
      </c>
      <c r="D102" s="331">
        <v>0</v>
      </c>
      <c r="E102" s="331">
        <v>167</v>
      </c>
      <c r="F102" s="331">
        <v>184</v>
      </c>
      <c r="G102" s="331">
        <v>176</v>
      </c>
      <c r="H102" s="331">
        <v>2641</v>
      </c>
      <c r="I102" s="330">
        <v>2465</v>
      </c>
      <c r="J102" s="330">
        <v>40</v>
      </c>
      <c r="K102" s="332">
        <v>95.9</v>
      </c>
      <c r="L102" s="332">
        <v>96.19</v>
      </c>
      <c r="M102" s="332">
        <v>4.4000000000000004</v>
      </c>
      <c r="N102" s="332">
        <v>97.5</v>
      </c>
      <c r="O102" s="333">
        <v>1954</v>
      </c>
      <c r="P102" s="330">
        <v>83.63</v>
      </c>
      <c r="Q102" s="330">
        <v>79.930000000000007</v>
      </c>
      <c r="R102" s="330">
        <v>34.270000000000003</v>
      </c>
      <c r="S102" s="330">
        <v>115.73</v>
      </c>
      <c r="T102" s="330">
        <v>348</v>
      </c>
      <c r="U102" s="330">
        <v>109.2</v>
      </c>
      <c r="V102" s="330">
        <v>123</v>
      </c>
      <c r="W102" s="330">
        <v>0</v>
      </c>
      <c r="X102" s="330">
        <v>0</v>
      </c>
      <c r="Y102" s="330">
        <v>0</v>
      </c>
      <c r="Z102" s="330">
        <v>1</v>
      </c>
      <c r="AA102" s="330">
        <v>1</v>
      </c>
      <c r="AB102" s="330">
        <v>4</v>
      </c>
      <c r="AC102" s="330">
        <v>0</v>
      </c>
      <c r="AD102" s="334">
        <v>2077</v>
      </c>
      <c r="AE102" s="334">
        <v>19</v>
      </c>
      <c r="AF102" s="334">
        <v>12</v>
      </c>
      <c r="AG102" s="334">
        <v>31</v>
      </c>
    </row>
    <row r="103" spans="1:33" x14ac:dyDescent="0.25">
      <c r="A103" s="329" t="s">
        <v>262</v>
      </c>
      <c r="B103" s="335" t="s">
        <v>263</v>
      </c>
      <c r="C103" s="331">
        <v>4410</v>
      </c>
      <c r="D103" s="331">
        <v>9</v>
      </c>
      <c r="E103" s="331">
        <v>72</v>
      </c>
      <c r="F103" s="331">
        <v>957</v>
      </c>
      <c r="G103" s="331">
        <v>381</v>
      </c>
      <c r="H103" s="331">
        <v>5829</v>
      </c>
      <c r="I103" s="330">
        <v>5448</v>
      </c>
      <c r="J103" s="330">
        <v>14</v>
      </c>
      <c r="K103" s="332">
        <v>126.07</v>
      </c>
      <c r="L103" s="332">
        <v>129.46</v>
      </c>
      <c r="M103" s="332">
        <v>8.73</v>
      </c>
      <c r="N103" s="332">
        <v>130.06</v>
      </c>
      <c r="O103" s="333">
        <v>3797</v>
      </c>
      <c r="P103" s="330">
        <v>106.77</v>
      </c>
      <c r="Q103" s="330">
        <v>105.5</v>
      </c>
      <c r="R103" s="330">
        <v>26.11</v>
      </c>
      <c r="S103" s="330">
        <v>132.82</v>
      </c>
      <c r="T103" s="330">
        <v>787</v>
      </c>
      <c r="U103" s="330">
        <v>190.72</v>
      </c>
      <c r="V103" s="330">
        <v>377</v>
      </c>
      <c r="W103" s="330">
        <v>146.4</v>
      </c>
      <c r="X103" s="330">
        <v>7</v>
      </c>
      <c r="Y103" s="330">
        <v>0</v>
      </c>
      <c r="Z103" s="330">
        <v>4</v>
      </c>
      <c r="AA103" s="330">
        <v>0</v>
      </c>
      <c r="AB103" s="330">
        <v>28</v>
      </c>
      <c r="AC103" s="330">
        <v>11</v>
      </c>
      <c r="AD103" s="334">
        <v>4285</v>
      </c>
      <c r="AE103" s="334">
        <v>27</v>
      </c>
      <c r="AF103" s="334">
        <v>16</v>
      </c>
      <c r="AG103" s="334">
        <v>43</v>
      </c>
    </row>
    <row r="104" spans="1:33" x14ac:dyDescent="0.25">
      <c r="A104" s="329" t="s">
        <v>264</v>
      </c>
      <c r="B104" s="335" t="s">
        <v>265</v>
      </c>
      <c r="C104" s="331">
        <v>6374</v>
      </c>
      <c r="D104" s="331">
        <v>6</v>
      </c>
      <c r="E104" s="331">
        <v>893</v>
      </c>
      <c r="F104" s="331">
        <v>652</v>
      </c>
      <c r="G104" s="331">
        <v>1191</v>
      </c>
      <c r="H104" s="331">
        <v>9116</v>
      </c>
      <c r="I104" s="330">
        <v>7925</v>
      </c>
      <c r="J104" s="330">
        <v>49</v>
      </c>
      <c r="K104" s="332">
        <v>125.52</v>
      </c>
      <c r="L104" s="332">
        <v>125.57</v>
      </c>
      <c r="M104" s="332">
        <v>9.4600000000000009</v>
      </c>
      <c r="N104" s="332">
        <v>130.66</v>
      </c>
      <c r="O104" s="333">
        <v>5551</v>
      </c>
      <c r="P104" s="330">
        <v>98.03</v>
      </c>
      <c r="Q104" s="330">
        <v>94.41</v>
      </c>
      <c r="R104" s="330">
        <v>48.34</v>
      </c>
      <c r="S104" s="330">
        <v>145.1</v>
      </c>
      <c r="T104" s="330">
        <v>1479</v>
      </c>
      <c r="U104" s="330">
        <v>177.57</v>
      </c>
      <c r="V104" s="330">
        <v>338</v>
      </c>
      <c r="W104" s="330">
        <v>0</v>
      </c>
      <c r="X104" s="330">
        <v>0</v>
      </c>
      <c r="Y104" s="330">
        <v>14</v>
      </c>
      <c r="Z104" s="330">
        <v>9</v>
      </c>
      <c r="AA104" s="330">
        <v>5</v>
      </c>
      <c r="AB104" s="330">
        <v>21</v>
      </c>
      <c r="AC104" s="330">
        <v>38</v>
      </c>
      <c r="AD104" s="334">
        <v>6134</v>
      </c>
      <c r="AE104" s="334">
        <v>31</v>
      </c>
      <c r="AF104" s="334">
        <v>62</v>
      </c>
      <c r="AG104" s="334">
        <v>93</v>
      </c>
    </row>
    <row r="105" spans="1:33" x14ac:dyDescent="0.25">
      <c r="A105" s="329" t="s">
        <v>266</v>
      </c>
      <c r="B105" s="335" t="s">
        <v>267</v>
      </c>
      <c r="C105" s="331">
        <v>1362</v>
      </c>
      <c r="D105" s="331">
        <v>0</v>
      </c>
      <c r="E105" s="331">
        <v>163</v>
      </c>
      <c r="F105" s="331">
        <v>231</v>
      </c>
      <c r="G105" s="331">
        <v>381</v>
      </c>
      <c r="H105" s="331">
        <v>2137</v>
      </c>
      <c r="I105" s="330">
        <v>1756</v>
      </c>
      <c r="J105" s="330">
        <v>4</v>
      </c>
      <c r="K105" s="332">
        <v>120.96</v>
      </c>
      <c r="L105" s="332">
        <v>119.41</v>
      </c>
      <c r="M105" s="332">
        <v>4.54</v>
      </c>
      <c r="N105" s="332">
        <v>124.94</v>
      </c>
      <c r="O105" s="333">
        <v>1254</v>
      </c>
      <c r="P105" s="330">
        <v>95.68</v>
      </c>
      <c r="Q105" s="330">
        <v>90.14</v>
      </c>
      <c r="R105" s="330">
        <v>59.96</v>
      </c>
      <c r="S105" s="330">
        <v>155.43</v>
      </c>
      <c r="T105" s="330">
        <v>284</v>
      </c>
      <c r="U105" s="330">
        <v>168.21</v>
      </c>
      <c r="V105" s="330">
        <v>86</v>
      </c>
      <c r="W105" s="330">
        <v>0</v>
      </c>
      <c r="X105" s="330">
        <v>0</v>
      </c>
      <c r="Y105" s="330">
        <v>0</v>
      </c>
      <c r="Z105" s="330">
        <v>0</v>
      </c>
      <c r="AA105" s="330">
        <v>1</v>
      </c>
      <c r="AB105" s="330">
        <v>25</v>
      </c>
      <c r="AC105" s="330">
        <v>6</v>
      </c>
      <c r="AD105" s="334">
        <v>1360</v>
      </c>
      <c r="AE105" s="334">
        <v>6</v>
      </c>
      <c r="AF105" s="334">
        <v>1</v>
      </c>
      <c r="AG105" s="334">
        <v>7</v>
      </c>
    </row>
    <row r="106" spans="1:33" x14ac:dyDescent="0.25">
      <c r="A106" s="329" t="s">
        <v>268</v>
      </c>
      <c r="B106" s="335" t="s">
        <v>269</v>
      </c>
      <c r="C106" s="331">
        <v>2056</v>
      </c>
      <c r="D106" s="331">
        <v>0</v>
      </c>
      <c r="E106" s="331">
        <v>153</v>
      </c>
      <c r="F106" s="331">
        <v>382</v>
      </c>
      <c r="G106" s="331">
        <v>337</v>
      </c>
      <c r="H106" s="331">
        <v>2928</v>
      </c>
      <c r="I106" s="330">
        <v>2591</v>
      </c>
      <c r="J106" s="330">
        <v>0</v>
      </c>
      <c r="K106" s="332">
        <v>118.14</v>
      </c>
      <c r="L106" s="332">
        <v>115</v>
      </c>
      <c r="M106" s="332">
        <v>7.98</v>
      </c>
      <c r="N106" s="332">
        <v>122.43</v>
      </c>
      <c r="O106" s="333">
        <v>1937</v>
      </c>
      <c r="P106" s="330">
        <v>104.47</v>
      </c>
      <c r="Q106" s="330">
        <v>99.02</v>
      </c>
      <c r="R106" s="330">
        <v>18.989999999999998</v>
      </c>
      <c r="S106" s="330">
        <v>122.32</v>
      </c>
      <c r="T106" s="330">
        <v>384</v>
      </c>
      <c r="U106" s="330">
        <v>181.42</v>
      </c>
      <c r="V106" s="330">
        <v>102</v>
      </c>
      <c r="W106" s="330">
        <v>123.33</v>
      </c>
      <c r="X106" s="330">
        <v>4</v>
      </c>
      <c r="Y106" s="330">
        <v>0</v>
      </c>
      <c r="Z106" s="330">
        <v>1</v>
      </c>
      <c r="AA106" s="330">
        <v>0</v>
      </c>
      <c r="AB106" s="330">
        <v>42</v>
      </c>
      <c r="AC106" s="330">
        <v>17</v>
      </c>
      <c r="AD106" s="334">
        <v>2056</v>
      </c>
      <c r="AE106" s="334">
        <v>2</v>
      </c>
      <c r="AF106" s="334">
        <v>2</v>
      </c>
      <c r="AG106" s="334">
        <v>4</v>
      </c>
    </row>
    <row r="107" spans="1:33" x14ac:dyDescent="0.25">
      <c r="A107" s="329" t="s">
        <v>270</v>
      </c>
      <c r="B107" s="335" t="s">
        <v>271</v>
      </c>
      <c r="C107" s="331">
        <v>4566</v>
      </c>
      <c r="D107" s="331">
        <v>0</v>
      </c>
      <c r="E107" s="331">
        <v>83</v>
      </c>
      <c r="F107" s="331">
        <v>1898</v>
      </c>
      <c r="G107" s="331">
        <v>160</v>
      </c>
      <c r="H107" s="331">
        <v>6707</v>
      </c>
      <c r="I107" s="330">
        <v>6547</v>
      </c>
      <c r="J107" s="330">
        <v>0</v>
      </c>
      <c r="K107" s="332">
        <v>88.35</v>
      </c>
      <c r="L107" s="332">
        <v>90.79</v>
      </c>
      <c r="M107" s="332">
        <v>2.62</v>
      </c>
      <c r="N107" s="332">
        <v>89.81</v>
      </c>
      <c r="O107" s="333">
        <v>4480</v>
      </c>
      <c r="P107" s="330">
        <v>79.209999999999994</v>
      </c>
      <c r="Q107" s="330">
        <v>80.52</v>
      </c>
      <c r="R107" s="330">
        <v>6.07</v>
      </c>
      <c r="S107" s="330">
        <v>84.65</v>
      </c>
      <c r="T107" s="330">
        <v>1966</v>
      </c>
      <c r="U107" s="330">
        <v>101.88</v>
      </c>
      <c r="V107" s="330">
        <v>32</v>
      </c>
      <c r="W107" s="330">
        <v>0</v>
      </c>
      <c r="X107" s="330">
        <v>0</v>
      </c>
      <c r="Y107" s="330">
        <v>0</v>
      </c>
      <c r="Z107" s="330">
        <v>18</v>
      </c>
      <c r="AA107" s="330">
        <v>5</v>
      </c>
      <c r="AB107" s="330">
        <v>0</v>
      </c>
      <c r="AC107" s="330">
        <v>9</v>
      </c>
      <c r="AD107" s="334">
        <v>4566</v>
      </c>
      <c r="AE107" s="334">
        <v>30</v>
      </c>
      <c r="AF107" s="334">
        <v>21</v>
      </c>
      <c r="AG107" s="334">
        <v>51</v>
      </c>
    </row>
    <row r="108" spans="1:33" x14ac:dyDescent="0.25">
      <c r="A108" s="329" t="s">
        <v>272</v>
      </c>
      <c r="B108" s="335" t="s">
        <v>273</v>
      </c>
      <c r="C108" s="331">
        <v>3416</v>
      </c>
      <c r="D108" s="331">
        <v>0</v>
      </c>
      <c r="E108" s="331">
        <v>573</v>
      </c>
      <c r="F108" s="331">
        <v>243</v>
      </c>
      <c r="G108" s="331">
        <v>389</v>
      </c>
      <c r="H108" s="331">
        <v>4621</v>
      </c>
      <c r="I108" s="330">
        <v>4232</v>
      </c>
      <c r="J108" s="330">
        <v>11</v>
      </c>
      <c r="K108" s="332">
        <v>86.53</v>
      </c>
      <c r="L108" s="332">
        <v>85.63</v>
      </c>
      <c r="M108" s="332">
        <v>6.64</v>
      </c>
      <c r="N108" s="332">
        <v>91.46</v>
      </c>
      <c r="O108" s="333">
        <v>3074</v>
      </c>
      <c r="P108" s="330">
        <v>74.459999999999994</v>
      </c>
      <c r="Q108" s="330">
        <v>67.47</v>
      </c>
      <c r="R108" s="330">
        <v>58.17</v>
      </c>
      <c r="S108" s="330">
        <v>127.24</v>
      </c>
      <c r="T108" s="330">
        <v>507</v>
      </c>
      <c r="U108" s="330">
        <v>118.49</v>
      </c>
      <c r="V108" s="330">
        <v>165</v>
      </c>
      <c r="W108" s="330">
        <v>0</v>
      </c>
      <c r="X108" s="330">
        <v>0</v>
      </c>
      <c r="Y108" s="330">
        <v>0</v>
      </c>
      <c r="Z108" s="330">
        <v>2</v>
      </c>
      <c r="AA108" s="330">
        <v>3</v>
      </c>
      <c r="AB108" s="330">
        <v>27</v>
      </c>
      <c r="AC108" s="330">
        <v>3</v>
      </c>
      <c r="AD108" s="334">
        <v>3242</v>
      </c>
      <c r="AE108" s="334">
        <v>12</v>
      </c>
      <c r="AF108" s="334">
        <v>42</v>
      </c>
      <c r="AG108" s="334">
        <v>54</v>
      </c>
    </row>
    <row r="109" spans="1:33" x14ac:dyDescent="0.25">
      <c r="A109" s="329" t="s">
        <v>274</v>
      </c>
      <c r="B109" s="335" t="s">
        <v>275</v>
      </c>
      <c r="C109" s="331">
        <v>1375</v>
      </c>
      <c r="D109" s="331">
        <v>0</v>
      </c>
      <c r="E109" s="331">
        <v>197</v>
      </c>
      <c r="F109" s="331">
        <v>182</v>
      </c>
      <c r="G109" s="331">
        <v>233</v>
      </c>
      <c r="H109" s="331">
        <v>1987</v>
      </c>
      <c r="I109" s="330">
        <v>1754</v>
      </c>
      <c r="J109" s="330">
        <v>1</v>
      </c>
      <c r="K109" s="332">
        <v>107.75</v>
      </c>
      <c r="L109" s="332">
        <v>109.28</v>
      </c>
      <c r="M109" s="332">
        <v>7.16</v>
      </c>
      <c r="N109" s="332">
        <v>113</v>
      </c>
      <c r="O109" s="333">
        <v>1089</v>
      </c>
      <c r="P109" s="330">
        <v>88.57</v>
      </c>
      <c r="Q109" s="330">
        <v>83.34</v>
      </c>
      <c r="R109" s="330">
        <v>35.909999999999997</v>
      </c>
      <c r="S109" s="330">
        <v>120.27</v>
      </c>
      <c r="T109" s="330">
        <v>256</v>
      </c>
      <c r="U109" s="330">
        <v>140.66</v>
      </c>
      <c r="V109" s="330">
        <v>147</v>
      </c>
      <c r="W109" s="330">
        <v>0</v>
      </c>
      <c r="X109" s="330">
        <v>0</v>
      </c>
      <c r="Y109" s="330">
        <v>15</v>
      </c>
      <c r="Z109" s="330">
        <v>1</v>
      </c>
      <c r="AA109" s="330">
        <v>1</v>
      </c>
      <c r="AB109" s="330">
        <v>4</v>
      </c>
      <c r="AC109" s="330">
        <v>4</v>
      </c>
      <c r="AD109" s="334">
        <v>1363</v>
      </c>
      <c r="AE109" s="334">
        <v>28</v>
      </c>
      <c r="AF109" s="334">
        <v>16</v>
      </c>
      <c r="AG109" s="334">
        <v>44</v>
      </c>
    </row>
    <row r="110" spans="1:33" x14ac:dyDescent="0.25">
      <c r="A110" s="329" t="s">
        <v>276</v>
      </c>
      <c r="B110" s="335" t="s">
        <v>277</v>
      </c>
      <c r="C110" s="331">
        <v>4604</v>
      </c>
      <c r="D110" s="331">
        <v>0</v>
      </c>
      <c r="E110" s="331">
        <v>216</v>
      </c>
      <c r="F110" s="331">
        <v>687</v>
      </c>
      <c r="G110" s="331">
        <v>164</v>
      </c>
      <c r="H110" s="331">
        <v>5671</v>
      </c>
      <c r="I110" s="330">
        <v>5507</v>
      </c>
      <c r="J110" s="330">
        <v>14</v>
      </c>
      <c r="K110" s="332">
        <v>95.54</v>
      </c>
      <c r="L110" s="332">
        <v>92.73</v>
      </c>
      <c r="M110" s="332">
        <v>3.15</v>
      </c>
      <c r="N110" s="332">
        <v>96.55</v>
      </c>
      <c r="O110" s="333">
        <v>4471</v>
      </c>
      <c r="P110" s="330">
        <v>87.28</v>
      </c>
      <c r="Q110" s="330">
        <v>84.02</v>
      </c>
      <c r="R110" s="330">
        <v>35.090000000000003</v>
      </c>
      <c r="S110" s="330">
        <v>122.24</v>
      </c>
      <c r="T110" s="330">
        <v>832</v>
      </c>
      <c r="U110" s="330">
        <v>118.69</v>
      </c>
      <c r="V110" s="330">
        <v>118</v>
      </c>
      <c r="W110" s="330">
        <v>0</v>
      </c>
      <c r="X110" s="330">
        <v>0</v>
      </c>
      <c r="Y110" s="330">
        <v>0</v>
      </c>
      <c r="Z110" s="330">
        <v>5</v>
      </c>
      <c r="AA110" s="330">
        <v>0</v>
      </c>
      <c r="AB110" s="330">
        <v>24</v>
      </c>
      <c r="AC110" s="330">
        <v>8</v>
      </c>
      <c r="AD110" s="334">
        <v>4595</v>
      </c>
      <c r="AE110" s="334">
        <v>20</v>
      </c>
      <c r="AF110" s="334">
        <v>12</v>
      </c>
      <c r="AG110" s="334">
        <v>32</v>
      </c>
    </row>
    <row r="111" spans="1:33" x14ac:dyDescent="0.25">
      <c r="A111" s="329" t="s">
        <v>278</v>
      </c>
      <c r="B111" s="335" t="s">
        <v>279</v>
      </c>
      <c r="C111" s="331">
        <v>1529</v>
      </c>
      <c r="D111" s="331">
        <v>1</v>
      </c>
      <c r="E111" s="331">
        <v>90</v>
      </c>
      <c r="F111" s="331">
        <v>312</v>
      </c>
      <c r="G111" s="331">
        <v>212</v>
      </c>
      <c r="H111" s="331">
        <v>2144</v>
      </c>
      <c r="I111" s="330">
        <v>1932</v>
      </c>
      <c r="J111" s="330">
        <v>0</v>
      </c>
      <c r="K111" s="332">
        <v>94.9</v>
      </c>
      <c r="L111" s="332">
        <v>93.78</v>
      </c>
      <c r="M111" s="332">
        <v>6.3</v>
      </c>
      <c r="N111" s="332">
        <v>99.51</v>
      </c>
      <c r="O111" s="333">
        <v>1233</v>
      </c>
      <c r="P111" s="330">
        <v>85.65</v>
      </c>
      <c r="Q111" s="330">
        <v>81.239999999999995</v>
      </c>
      <c r="R111" s="330">
        <v>33.61</v>
      </c>
      <c r="S111" s="330">
        <v>115.06</v>
      </c>
      <c r="T111" s="330">
        <v>368</v>
      </c>
      <c r="U111" s="330">
        <v>141.79</v>
      </c>
      <c r="V111" s="330">
        <v>111</v>
      </c>
      <c r="W111" s="330">
        <v>0</v>
      </c>
      <c r="X111" s="330">
        <v>0</v>
      </c>
      <c r="Y111" s="330">
        <v>0</v>
      </c>
      <c r="Z111" s="330">
        <v>1</v>
      </c>
      <c r="AA111" s="330">
        <v>3</v>
      </c>
      <c r="AB111" s="330">
        <v>10</v>
      </c>
      <c r="AC111" s="330">
        <v>2</v>
      </c>
      <c r="AD111" s="334">
        <v>1370</v>
      </c>
      <c r="AE111" s="334">
        <v>5</v>
      </c>
      <c r="AF111" s="334">
        <v>47</v>
      </c>
      <c r="AG111" s="334">
        <v>52</v>
      </c>
    </row>
    <row r="112" spans="1:33" x14ac:dyDescent="0.25">
      <c r="A112" s="329" t="s">
        <v>280</v>
      </c>
      <c r="B112" s="335" t="s">
        <v>281</v>
      </c>
      <c r="C112" s="331">
        <v>3735</v>
      </c>
      <c r="D112" s="331">
        <v>15</v>
      </c>
      <c r="E112" s="331">
        <v>53</v>
      </c>
      <c r="F112" s="331">
        <v>1062</v>
      </c>
      <c r="G112" s="331">
        <v>180</v>
      </c>
      <c r="H112" s="331">
        <v>5045</v>
      </c>
      <c r="I112" s="330">
        <v>4865</v>
      </c>
      <c r="J112" s="330">
        <v>11</v>
      </c>
      <c r="K112" s="332">
        <v>94.84</v>
      </c>
      <c r="L112" s="332">
        <v>91.5</v>
      </c>
      <c r="M112" s="332">
        <v>1.33</v>
      </c>
      <c r="N112" s="332">
        <v>95.92</v>
      </c>
      <c r="O112" s="333">
        <v>3085</v>
      </c>
      <c r="P112" s="330">
        <v>87.98</v>
      </c>
      <c r="Q112" s="330">
        <v>81.459999999999994</v>
      </c>
      <c r="R112" s="330">
        <v>15.84</v>
      </c>
      <c r="S112" s="330">
        <v>103.36</v>
      </c>
      <c r="T112" s="330">
        <v>1093</v>
      </c>
      <c r="U112" s="330">
        <v>110.5</v>
      </c>
      <c r="V112" s="330">
        <v>253</v>
      </c>
      <c r="W112" s="330">
        <v>0</v>
      </c>
      <c r="X112" s="330">
        <v>0</v>
      </c>
      <c r="Y112" s="330">
        <v>0</v>
      </c>
      <c r="Z112" s="330">
        <v>20</v>
      </c>
      <c r="AA112" s="330">
        <v>15</v>
      </c>
      <c r="AB112" s="330">
        <v>19</v>
      </c>
      <c r="AC112" s="330">
        <v>4</v>
      </c>
      <c r="AD112" s="334">
        <v>3333</v>
      </c>
      <c r="AE112" s="334">
        <v>1</v>
      </c>
      <c r="AF112" s="334">
        <v>20</v>
      </c>
      <c r="AG112" s="334">
        <v>21</v>
      </c>
    </row>
    <row r="113" spans="1:33" x14ac:dyDescent="0.25">
      <c r="A113" s="329" t="s">
        <v>282</v>
      </c>
      <c r="B113" s="335" t="s">
        <v>283</v>
      </c>
      <c r="C113" s="331">
        <v>1943</v>
      </c>
      <c r="D113" s="331">
        <v>0</v>
      </c>
      <c r="E113" s="331">
        <v>129</v>
      </c>
      <c r="F113" s="331">
        <v>546</v>
      </c>
      <c r="G113" s="331">
        <v>74</v>
      </c>
      <c r="H113" s="331">
        <v>2692</v>
      </c>
      <c r="I113" s="330">
        <v>2618</v>
      </c>
      <c r="J113" s="330">
        <v>11</v>
      </c>
      <c r="K113" s="332">
        <v>87.43</v>
      </c>
      <c r="L113" s="332">
        <v>87.73</v>
      </c>
      <c r="M113" s="332">
        <v>3.46</v>
      </c>
      <c r="N113" s="332">
        <v>90.45</v>
      </c>
      <c r="O113" s="333">
        <v>1765</v>
      </c>
      <c r="P113" s="330">
        <v>90.13</v>
      </c>
      <c r="Q113" s="330">
        <v>77.16</v>
      </c>
      <c r="R113" s="330">
        <v>20.83</v>
      </c>
      <c r="S113" s="330">
        <v>110.36</v>
      </c>
      <c r="T113" s="330">
        <v>531</v>
      </c>
      <c r="U113" s="330">
        <v>107.02</v>
      </c>
      <c r="V113" s="330">
        <v>157</v>
      </c>
      <c r="W113" s="330">
        <v>0</v>
      </c>
      <c r="X113" s="330">
        <v>0</v>
      </c>
      <c r="Y113" s="330">
        <v>1</v>
      </c>
      <c r="Z113" s="330">
        <v>8</v>
      </c>
      <c r="AA113" s="330">
        <v>0</v>
      </c>
      <c r="AB113" s="330">
        <v>3</v>
      </c>
      <c r="AC113" s="330">
        <v>1</v>
      </c>
      <c r="AD113" s="334">
        <v>1941</v>
      </c>
      <c r="AE113" s="334">
        <v>6</v>
      </c>
      <c r="AF113" s="334">
        <v>2</v>
      </c>
      <c r="AG113" s="334">
        <v>8</v>
      </c>
    </row>
    <row r="114" spans="1:33" x14ac:dyDescent="0.25">
      <c r="A114" s="329" t="s">
        <v>284</v>
      </c>
      <c r="B114" s="335" t="s">
        <v>285</v>
      </c>
      <c r="C114" s="331">
        <v>3696</v>
      </c>
      <c r="D114" s="331">
        <v>46</v>
      </c>
      <c r="E114" s="331">
        <v>276</v>
      </c>
      <c r="F114" s="331">
        <v>1045</v>
      </c>
      <c r="G114" s="331">
        <v>208</v>
      </c>
      <c r="H114" s="331">
        <v>5271</v>
      </c>
      <c r="I114" s="330">
        <v>5063</v>
      </c>
      <c r="J114" s="330">
        <v>5</v>
      </c>
      <c r="K114" s="332">
        <v>80.22</v>
      </c>
      <c r="L114" s="332">
        <v>77.44</v>
      </c>
      <c r="M114" s="332">
        <v>6.4</v>
      </c>
      <c r="N114" s="332">
        <v>83.46</v>
      </c>
      <c r="O114" s="333">
        <v>3146</v>
      </c>
      <c r="P114" s="330">
        <v>86.88</v>
      </c>
      <c r="Q114" s="330">
        <v>76.53</v>
      </c>
      <c r="R114" s="330">
        <v>38.89</v>
      </c>
      <c r="S114" s="330">
        <v>124.16</v>
      </c>
      <c r="T114" s="330">
        <v>1159</v>
      </c>
      <c r="U114" s="330">
        <v>91.47</v>
      </c>
      <c r="V114" s="330">
        <v>579</v>
      </c>
      <c r="W114" s="330">
        <v>146.55000000000001</v>
      </c>
      <c r="X114" s="330">
        <v>148</v>
      </c>
      <c r="Y114" s="330">
        <v>0</v>
      </c>
      <c r="Z114" s="330">
        <v>2</v>
      </c>
      <c r="AA114" s="330">
        <v>4</v>
      </c>
      <c r="AB114" s="330">
        <v>4</v>
      </c>
      <c r="AC114" s="330">
        <v>3</v>
      </c>
      <c r="AD114" s="334">
        <v>3592</v>
      </c>
      <c r="AE114" s="334">
        <v>45</v>
      </c>
      <c r="AF114" s="334">
        <v>11</v>
      </c>
      <c r="AG114" s="334">
        <v>56</v>
      </c>
    </row>
    <row r="115" spans="1:33" x14ac:dyDescent="0.25">
      <c r="A115" s="329" t="s">
        <v>286</v>
      </c>
      <c r="B115" s="335" t="s">
        <v>287</v>
      </c>
      <c r="C115" s="331">
        <v>3752</v>
      </c>
      <c r="D115" s="331">
        <v>0</v>
      </c>
      <c r="E115" s="331">
        <v>133</v>
      </c>
      <c r="F115" s="331">
        <v>1243</v>
      </c>
      <c r="G115" s="331">
        <v>218</v>
      </c>
      <c r="H115" s="331">
        <v>5346</v>
      </c>
      <c r="I115" s="330">
        <v>5128</v>
      </c>
      <c r="J115" s="330">
        <v>102</v>
      </c>
      <c r="K115" s="332">
        <v>82.99</v>
      </c>
      <c r="L115" s="332">
        <v>82.94</v>
      </c>
      <c r="M115" s="332">
        <v>4.71</v>
      </c>
      <c r="N115" s="332">
        <v>84.73</v>
      </c>
      <c r="O115" s="333">
        <v>3689</v>
      </c>
      <c r="P115" s="330">
        <v>77.930000000000007</v>
      </c>
      <c r="Q115" s="330">
        <v>73.099999999999994</v>
      </c>
      <c r="R115" s="330">
        <v>17.899999999999999</v>
      </c>
      <c r="S115" s="330">
        <v>95.25</v>
      </c>
      <c r="T115" s="330">
        <v>1321</v>
      </c>
      <c r="U115" s="330">
        <v>114.32</v>
      </c>
      <c r="V115" s="330">
        <v>46</v>
      </c>
      <c r="W115" s="330">
        <v>0</v>
      </c>
      <c r="X115" s="330">
        <v>0</v>
      </c>
      <c r="Y115" s="330">
        <v>0</v>
      </c>
      <c r="Z115" s="330">
        <v>21</v>
      </c>
      <c r="AA115" s="330">
        <v>4</v>
      </c>
      <c r="AB115" s="330">
        <v>15</v>
      </c>
      <c r="AC115" s="330">
        <v>6</v>
      </c>
      <c r="AD115" s="334">
        <v>3752</v>
      </c>
      <c r="AE115" s="334">
        <v>28</v>
      </c>
      <c r="AF115" s="334">
        <v>6</v>
      </c>
      <c r="AG115" s="334">
        <v>34</v>
      </c>
    </row>
    <row r="116" spans="1:33" x14ac:dyDescent="0.25">
      <c r="A116" s="329" t="s">
        <v>288</v>
      </c>
      <c r="B116" s="335" t="s">
        <v>289</v>
      </c>
      <c r="C116" s="331">
        <v>6518</v>
      </c>
      <c r="D116" s="331">
        <v>14</v>
      </c>
      <c r="E116" s="331">
        <v>331</v>
      </c>
      <c r="F116" s="331">
        <v>943</v>
      </c>
      <c r="G116" s="331">
        <v>459</v>
      </c>
      <c r="H116" s="331">
        <v>8265</v>
      </c>
      <c r="I116" s="330">
        <v>7806</v>
      </c>
      <c r="J116" s="330">
        <v>441</v>
      </c>
      <c r="K116" s="332">
        <v>84.56</v>
      </c>
      <c r="L116" s="332">
        <v>83.28</v>
      </c>
      <c r="M116" s="332">
        <v>6.06</v>
      </c>
      <c r="N116" s="332">
        <v>87.28</v>
      </c>
      <c r="O116" s="333">
        <v>5862</v>
      </c>
      <c r="P116" s="330">
        <v>85.38</v>
      </c>
      <c r="Q116" s="330">
        <v>77.39</v>
      </c>
      <c r="R116" s="330">
        <v>39.270000000000003</v>
      </c>
      <c r="S116" s="330">
        <v>123.62</v>
      </c>
      <c r="T116" s="330">
        <v>1108</v>
      </c>
      <c r="U116" s="330">
        <v>116.9</v>
      </c>
      <c r="V116" s="330">
        <v>126</v>
      </c>
      <c r="W116" s="330">
        <v>119.23</v>
      </c>
      <c r="X116" s="330">
        <v>3</v>
      </c>
      <c r="Y116" s="330">
        <v>0</v>
      </c>
      <c r="Z116" s="330">
        <v>31</v>
      </c>
      <c r="AA116" s="330">
        <v>14</v>
      </c>
      <c r="AB116" s="330">
        <v>14</v>
      </c>
      <c r="AC116" s="330">
        <v>16</v>
      </c>
      <c r="AD116" s="334">
        <v>6018</v>
      </c>
      <c r="AE116" s="334">
        <v>25</v>
      </c>
      <c r="AF116" s="334">
        <v>8</v>
      </c>
      <c r="AG116" s="334">
        <v>33</v>
      </c>
    </row>
    <row r="117" spans="1:33" x14ac:dyDescent="0.25">
      <c r="A117" s="329" t="s">
        <v>290</v>
      </c>
      <c r="B117" s="335" t="s">
        <v>291</v>
      </c>
      <c r="C117" s="331">
        <v>2237</v>
      </c>
      <c r="D117" s="331">
        <v>1</v>
      </c>
      <c r="E117" s="331">
        <v>103</v>
      </c>
      <c r="F117" s="331">
        <v>569</v>
      </c>
      <c r="G117" s="331">
        <v>337</v>
      </c>
      <c r="H117" s="331">
        <v>3247</v>
      </c>
      <c r="I117" s="330">
        <v>2910</v>
      </c>
      <c r="J117" s="330">
        <v>0</v>
      </c>
      <c r="K117" s="332">
        <v>99.96</v>
      </c>
      <c r="L117" s="332">
        <v>99.5</v>
      </c>
      <c r="M117" s="332">
        <v>7.17</v>
      </c>
      <c r="N117" s="332">
        <v>106.04</v>
      </c>
      <c r="O117" s="333">
        <v>1915</v>
      </c>
      <c r="P117" s="330">
        <v>89.35</v>
      </c>
      <c r="Q117" s="330">
        <v>85.22</v>
      </c>
      <c r="R117" s="330">
        <v>26.14</v>
      </c>
      <c r="S117" s="330">
        <v>114.44</v>
      </c>
      <c r="T117" s="330">
        <v>398</v>
      </c>
      <c r="U117" s="330">
        <v>124.33</v>
      </c>
      <c r="V117" s="330">
        <v>151</v>
      </c>
      <c r="W117" s="330">
        <v>89.72</v>
      </c>
      <c r="X117" s="330">
        <v>12</v>
      </c>
      <c r="Y117" s="330">
        <v>0</v>
      </c>
      <c r="Z117" s="330">
        <v>1</v>
      </c>
      <c r="AA117" s="330">
        <v>0</v>
      </c>
      <c r="AB117" s="330">
        <v>6</v>
      </c>
      <c r="AC117" s="330">
        <v>5</v>
      </c>
      <c r="AD117" s="334">
        <v>2204</v>
      </c>
      <c r="AE117" s="334">
        <v>30</v>
      </c>
      <c r="AF117" s="334">
        <v>12</v>
      </c>
      <c r="AG117" s="334">
        <v>42</v>
      </c>
    </row>
    <row r="118" spans="1:33" x14ac:dyDescent="0.25">
      <c r="A118" s="329" t="s">
        <v>292</v>
      </c>
      <c r="B118" s="335" t="s">
        <v>293</v>
      </c>
      <c r="C118" s="331">
        <v>1367</v>
      </c>
      <c r="D118" s="331">
        <v>0</v>
      </c>
      <c r="E118" s="331">
        <v>71</v>
      </c>
      <c r="F118" s="331">
        <v>170</v>
      </c>
      <c r="G118" s="331">
        <v>249</v>
      </c>
      <c r="H118" s="331">
        <v>1857</v>
      </c>
      <c r="I118" s="330">
        <v>1608</v>
      </c>
      <c r="J118" s="330">
        <v>0</v>
      </c>
      <c r="K118" s="332">
        <v>106.05</v>
      </c>
      <c r="L118" s="332">
        <v>106.1</v>
      </c>
      <c r="M118" s="332">
        <v>5.33</v>
      </c>
      <c r="N118" s="332">
        <v>110.15</v>
      </c>
      <c r="O118" s="333">
        <v>737</v>
      </c>
      <c r="P118" s="330">
        <v>93.34</v>
      </c>
      <c r="Q118" s="330">
        <v>94.37</v>
      </c>
      <c r="R118" s="330">
        <v>47.94</v>
      </c>
      <c r="S118" s="330">
        <v>138.83000000000001</v>
      </c>
      <c r="T118" s="330">
        <v>78</v>
      </c>
      <c r="U118" s="330">
        <v>137.80000000000001</v>
      </c>
      <c r="V118" s="330">
        <v>199</v>
      </c>
      <c r="W118" s="330">
        <v>0</v>
      </c>
      <c r="X118" s="330">
        <v>0</v>
      </c>
      <c r="Y118" s="330">
        <v>0</v>
      </c>
      <c r="Z118" s="330">
        <v>0</v>
      </c>
      <c r="AA118" s="330">
        <v>12</v>
      </c>
      <c r="AB118" s="330">
        <v>17</v>
      </c>
      <c r="AC118" s="330">
        <v>14</v>
      </c>
      <c r="AD118" s="334">
        <v>962</v>
      </c>
      <c r="AE118" s="334">
        <v>15</v>
      </c>
      <c r="AF118" s="334">
        <v>5</v>
      </c>
      <c r="AG118" s="334">
        <v>20</v>
      </c>
    </row>
    <row r="119" spans="1:33" x14ac:dyDescent="0.25">
      <c r="A119" s="329" t="s">
        <v>294</v>
      </c>
      <c r="B119" s="335" t="s">
        <v>295</v>
      </c>
      <c r="C119" s="331">
        <v>1404</v>
      </c>
      <c r="D119" s="331">
        <v>0</v>
      </c>
      <c r="E119" s="331">
        <v>258</v>
      </c>
      <c r="F119" s="331">
        <v>139</v>
      </c>
      <c r="G119" s="331">
        <v>111</v>
      </c>
      <c r="H119" s="331">
        <v>1912</v>
      </c>
      <c r="I119" s="330">
        <v>1801</v>
      </c>
      <c r="J119" s="330">
        <v>11</v>
      </c>
      <c r="K119" s="332">
        <v>87.95</v>
      </c>
      <c r="L119" s="332">
        <v>86.45</v>
      </c>
      <c r="M119" s="332">
        <v>5.0999999999999996</v>
      </c>
      <c r="N119" s="332">
        <v>91.06</v>
      </c>
      <c r="O119" s="333">
        <v>1277</v>
      </c>
      <c r="P119" s="330">
        <v>93.78</v>
      </c>
      <c r="Q119" s="330">
        <v>83.12</v>
      </c>
      <c r="R119" s="330">
        <v>52.1</v>
      </c>
      <c r="S119" s="330">
        <v>145.69999999999999</v>
      </c>
      <c r="T119" s="330">
        <v>284</v>
      </c>
      <c r="U119" s="330">
        <v>99.34</v>
      </c>
      <c r="V119" s="330">
        <v>106</v>
      </c>
      <c r="W119" s="330">
        <v>0</v>
      </c>
      <c r="X119" s="330">
        <v>0</v>
      </c>
      <c r="Y119" s="330">
        <v>0</v>
      </c>
      <c r="Z119" s="330">
        <v>1</v>
      </c>
      <c r="AA119" s="330">
        <v>24</v>
      </c>
      <c r="AB119" s="330">
        <v>7</v>
      </c>
      <c r="AC119" s="330">
        <v>4</v>
      </c>
      <c r="AD119" s="334">
        <v>1404</v>
      </c>
      <c r="AE119" s="334">
        <v>8</v>
      </c>
      <c r="AF119" s="334">
        <v>22</v>
      </c>
      <c r="AG119" s="334">
        <v>30</v>
      </c>
    </row>
    <row r="120" spans="1:33" x14ac:dyDescent="0.25">
      <c r="A120" s="329" t="s">
        <v>296</v>
      </c>
      <c r="B120" s="335" t="s">
        <v>297</v>
      </c>
      <c r="C120" s="331">
        <v>11555</v>
      </c>
      <c r="D120" s="331">
        <v>68</v>
      </c>
      <c r="E120" s="331">
        <v>490</v>
      </c>
      <c r="F120" s="331">
        <v>785</v>
      </c>
      <c r="G120" s="331">
        <v>1815</v>
      </c>
      <c r="H120" s="331">
        <v>14713</v>
      </c>
      <c r="I120" s="330">
        <v>12898</v>
      </c>
      <c r="J120" s="330">
        <v>568</v>
      </c>
      <c r="K120" s="332">
        <v>116.02</v>
      </c>
      <c r="L120" s="332">
        <v>117.19</v>
      </c>
      <c r="M120" s="332">
        <v>10.56</v>
      </c>
      <c r="N120" s="332">
        <v>123.07</v>
      </c>
      <c r="O120" s="333">
        <v>10120</v>
      </c>
      <c r="P120" s="330">
        <v>106.66</v>
      </c>
      <c r="Q120" s="330">
        <v>102.93</v>
      </c>
      <c r="R120" s="330">
        <v>47.29</v>
      </c>
      <c r="S120" s="330">
        <v>151.85</v>
      </c>
      <c r="T120" s="330">
        <v>946</v>
      </c>
      <c r="U120" s="330">
        <v>163.08000000000001</v>
      </c>
      <c r="V120" s="330">
        <v>732</v>
      </c>
      <c r="W120" s="330">
        <v>0</v>
      </c>
      <c r="X120" s="330">
        <v>0</v>
      </c>
      <c r="Y120" s="330">
        <v>65</v>
      </c>
      <c r="Z120" s="330">
        <v>6</v>
      </c>
      <c r="AA120" s="330">
        <v>1</v>
      </c>
      <c r="AB120" s="330">
        <v>253</v>
      </c>
      <c r="AC120" s="330">
        <v>72</v>
      </c>
      <c r="AD120" s="334">
        <v>11280</v>
      </c>
      <c r="AE120" s="334">
        <v>71</v>
      </c>
      <c r="AF120" s="334">
        <v>37</v>
      </c>
      <c r="AG120" s="334">
        <v>108</v>
      </c>
    </row>
    <row r="121" spans="1:33" x14ac:dyDescent="0.25">
      <c r="A121" s="329" t="s">
        <v>298</v>
      </c>
      <c r="B121" s="335" t="s">
        <v>299</v>
      </c>
      <c r="C121" s="331">
        <v>1947</v>
      </c>
      <c r="D121" s="331">
        <v>10</v>
      </c>
      <c r="E121" s="331">
        <v>354</v>
      </c>
      <c r="F121" s="331">
        <v>223</v>
      </c>
      <c r="G121" s="331">
        <v>372</v>
      </c>
      <c r="H121" s="331">
        <v>2906</v>
      </c>
      <c r="I121" s="330">
        <v>2534</v>
      </c>
      <c r="J121" s="330">
        <v>51</v>
      </c>
      <c r="K121" s="332">
        <v>125.92</v>
      </c>
      <c r="L121" s="332">
        <v>124.72</v>
      </c>
      <c r="M121" s="332">
        <v>7.37</v>
      </c>
      <c r="N121" s="332">
        <v>132.18</v>
      </c>
      <c r="O121" s="333">
        <v>1384</v>
      </c>
      <c r="P121" s="330">
        <v>94.68</v>
      </c>
      <c r="Q121" s="330">
        <v>92.86</v>
      </c>
      <c r="R121" s="330">
        <v>67.92</v>
      </c>
      <c r="S121" s="330">
        <v>161.99</v>
      </c>
      <c r="T121" s="330">
        <v>223</v>
      </c>
      <c r="U121" s="330">
        <v>157.69999999999999</v>
      </c>
      <c r="V121" s="330">
        <v>119</v>
      </c>
      <c r="W121" s="330">
        <v>131.65</v>
      </c>
      <c r="X121" s="330">
        <v>6</v>
      </c>
      <c r="Y121" s="330">
        <v>6</v>
      </c>
      <c r="Z121" s="330">
        <v>0</v>
      </c>
      <c r="AA121" s="330">
        <v>0</v>
      </c>
      <c r="AB121" s="330">
        <v>9</v>
      </c>
      <c r="AC121" s="330">
        <v>18</v>
      </c>
      <c r="AD121" s="334">
        <v>1767</v>
      </c>
      <c r="AE121" s="334">
        <v>7</v>
      </c>
      <c r="AF121" s="334">
        <v>1</v>
      </c>
      <c r="AG121" s="334">
        <v>8</v>
      </c>
    </row>
    <row r="122" spans="1:33" x14ac:dyDescent="0.25">
      <c r="A122" s="329" t="s">
        <v>300</v>
      </c>
      <c r="B122" s="335" t="s">
        <v>301</v>
      </c>
      <c r="C122" s="331">
        <v>19891</v>
      </c>
      <c r="D122" s="331">
        <v>507</v>
      </c>
      <c r="E122" s="331">
        <v>1657</v>
      </c>
      <c r="F122" s="331">
        <v>1681</v>
      </c>
      <c r="G122" s="331">
        <v>2839</v>
      </c>
      <c r="H122" s="331">
        <v>26575</v>
      </c>
      <c r="I122" s="330">
        <v>23736</v>
      </c>
      <c r="J122" s="330">
        <v>350</v>
      </c>
      <c r="K122" s="332">
        <v>120.22</v>
      </c>
      <c r="L122" s="332">
        <v>125.87</v>
      </c>
      <c r="M122" s="332">
        <v>11.73</v>
      </c>
      <c r="N122" s="332">
        <v>128.53</v>
      </c>
      <c r="O122" s="333">
        <v>17226</v>
      </c>
      <c r="P122" s="330">
        <v>108.68</v>
      </c>
      <c r="Q122" s="330">
        <v>107.21</v>
      </c>
      <c r="R122" s="330">
        <v>38.71</v>
      </c>
      <c r="S122" s="330">
        <v>146.13</v>
      </c>
      <c r="T122" s="330">
        <v>2836</v>
      </c>
      <c r="U122" s="330">
        <v>195.08</v>
      </c>
      <c r="V122" s="330">
        <v>643</v>
      </c>
      <c r="W122" s="330">
        <v>198.08</v>
      </c>
      <c r="X122" s="330">
        <v>5</v>
      </c>
      <c r="Y122" s="330">
        <v>0</v>
      </c>
      <c r="Z122" s="330">
        <v>35</v>
      </c>
      <c r="AA122" s="330">
        <v>1</v>
      </c>
      <c r="AB122" s="330">
        <v>151</v>
      </c>
      <c r="AC122" s="330">
        <v>141</v>
      </c>
      <c r="AD122" s="334">
        <v>18415</v>
      </c>
      <c r="AE122" s="334">
        <v>161</v>
      </c>
      <c r="AF122" s="334">
        <v>80</v>
      </c>
      <c r="AG122" s="334">
        <v>241</v>
      </c>
    </row>
    <row r="123" spans="1:33" x14ac:dyDescent="0.25">
      <c r="A123" s="329" t="s">
        <v>302</v>
      </c>
      <c r="B123" s="335" t="s">
        <v>303</v>
      </c>
      <c r="C123" s="331">
        <v>13091</v>
      </c>
      <c r="D123" s="331">
        <v>0</v>
      </c>
      <c r="E123" s="331">
        <v>484</v>
      </c>
      <c r="F123" s="331">
        <v>501</v>
      </c>
      <c r="G123" s="331">
        <v>321</v>
      </c>
      <c r="H123" s="331">
        <v>14397</v>
      </c>
      <c r="I123" s="330">
        <v>14076</v>
      </c>
      <c r="J123" s="330">
        <v>2</v>
      </c>
      <c r="K123" s="332">
        <v>83.3</v>
      </c>
      <c r="L123" s="332">
        <v>84.13</v>
      </c>
      <c r="M123" s="332">
        <v>3.45</v>
      </c>
      <c r="N123" s="332">
        <v>86.58</v>
      </c>
      <c r="O123" s="333">
        <v>12311</v>
      </c>
      <c r="P123" s="330">
        <v>84.97</v>
      </c>
      <c r="Q123" s="330">
        <v>81.2</v>
      </c>
      <c r="R123" s="330">
        <v>33.83</v>
      </c>
      <c r="S123" s="330">
        <v>118.43</v>
      </c>
      <c r="T123" s="330">
        <v>839</v>
      </c>
      <c r="U123" s="330">
        <v>99.64</v>
      </c>
      <c r="V123" s="330">
        <v>748</v>
      </c>
      <c r="W123" s="330">
        <v>108.97</v>
      </c>
      <c r="X123" s="330">
        <v>43</v>
      </c>
      <c r="Y123" s="330">
        <v>228</v>
      </c>
      <c r="Z123" s="330">
        <v>32</v>
      </c>
      <c r="AA123" s="330">
        <v>2</v>
      </c>
      <c r="AB123" s="330">
        <v>4</v>
      </c>
      <c r="AC123" s="330">
        <v>6</v>
      </c>
      <c r="AD123" s="334">
        <v>13091</v>
      </c>
      <c r="AE123" s="334">
        <v>75</v>
      </c>
      <c r="AF123" s="334">
        <v>56</v>
      </c>
      <c r="AG123" s="334">
        <v>131</v>
      </c>
    </row>
    <row r="124" spans="1:33" x14ac:dyDescent="0.25">
      <c r="A124" s="329" t="s">
        <v>304</v>
      </c>
      <c r="B124" s="335" t="s">
        <v>305</v>
      </c>
      <c r="C124" s="331">
        <v>4832</v>
      </c>
      <c r="D124" s="331">
        <v>0</v>
      </c>
      <c r="E124" s="331">
        <v>150</v>
      </c>
      <c r="F124" s="331">
        <v>292</v>
      </c>
      <c r="G124" s="331">
        <v>87</v>
      </c>
      <c r="H124" s="331">
        <v>5361</v>
      </c>
      <c r="I124" s="330">
        <v>5274</v>
      </c>
      <c r="J124" s="330">
        <v>2</v>
      </c>
      <c r="K124" s="332">
        <v>91.05</v>
      </c>
      <c r="L124" s="332">
        <v>94.1</v>
      </c>
      <c r="M124" s="332">
        <v>1.61</v>
      </c>
      <c r="N124" s="332">
        <v>92.47</v>
      </c>
      <c r="O124" s="333">
        <v>4678</v>
      </c>
      <c r="P124" s="330">
        <v>100.33</v>
      </c>
      <c r="Q124" s="330">
        <v>86.72</v>
      </c>
      <c r="R124" s="330">
        <v>58.57</v>
      </c>
      <c r="S124" s="330">
        <v>158.4</v>
      </c>
      <c r="T124" s="330">
        <v>349</v>
      </c>
      <c r="U124" s="330">
        <v>104.63</v>
      </c>
      <c r="V124" s="330">
        <v>75</v>
      </c>
      <c r="W124" s="330">
        <v>164.56</v>
      </c>
      <c r="X124" s="330">
        <v>44</v>
      </c>
      <c r="Y124" s="330">
        <v>0</v>
      </c>
      <c r="Z124" s="330">
        <v>7</v>
      </c>
      <c r="AA124" s="330">
        <v>1</v>
      </c>
      <c r="AB124" s="330">
        <v>0</v>
      </c>
      <c r="AC124" s="330">
        <v>0</v>
      </c>
      <c r="AD124" s="334">
        <v>4817</v>
      </c>
      <c r="AE124" s="334">
        <v>8</v>
      </c>
      <c r="AF124" s="334">
        <v>43</v>
      </c>
      <c r="AG124" s="334">
        <v>51</v>
      </c>
    </row>
    <row r="125" spans="1:33" x14ac:dyDescent="0.25">
      <c r="A125" s="329" t="s">
        <v>306</v>
      </c>
      <c r="B125" s="335" t="s">
        <v>307</v>
      </c>
      <c r="C125" s="331">
        <v>11333</v>
      </c>
      <c r="D125" s="331">
        <v>37</v>
      </c>
      <c r="E125" s="331">
        <v>1184</v>
      </c>
      <c r="F125" s="331">
        <v>629</v>
      </c>
      <c r="G125" s="331">
        <v>1224</v>
      </c>
      <c r="H125" s="331">
        <v>14407</v>
      </c>
      <c r="I125" s="330">
        <v>13183</v>
      </c>
      <c r="J125" s="330">
        <v>172</v>
      </c>
      <c r="K125" s="332">
        <v>128.15</v>
      </c>
      <c r="L125" s="332">
        <v>139.24</v>
      </c>
      <c r="M125" s="332">
        <v>9.7200000000000006</v>
      </c>
      <c r="N125" s="332">
        <v>132.85</v>
      </c>
      <c r="O125" s="333">
        <v>10042</v>
      </c>
      <c r="P125" s="330">
        <v>109.24</v>
      </c>
      <c r="Q125" s="330">
        <v>114.4</v>
      </c>
      <c r="R125" s="330">
        <v>47.17</v>
      </c>
      <c r="S125" s="330">
        <v>152.36000000000001</v>
      </c>
      <c r="T125" s="330">
        <v>1361</v>
      </c>
      <c r="U125" s="330">
        <v>206.75</v>
      </c>
      <c r="V125" s="330">
        <v>517</v>
      </c>
      <c r="W125" s="330">
        <v>214.27</v>
      </c>
      <c r="X125" s="330">
        <v>40</v>
      </c>
      <c r="Y125" s="330">
        <v>0</v>
      </c>
      <c r="Z125" s="330">
        <v>3</v>
      </c>
      <c r="AA125" s="330">
        <v>38</v>
      </c>
      <c r="AB125" s="330">
        <v>150</v>
      </c>
      <c r="AC125" s="330">
        <v>37</v>
      </c>
      <c r="AD125" s="334">
        <v>10884</v>
      </c>
      <c r="AE125" s="334">
        <v>41</v>
      </c>
      <c r="AF125" s="334">
        <v>46</v>
      </c>
      <c r="AG125" s="334">
        <v>87</v>
      </c>
    </row>
    <row r="126" spans="1:33" x14ac:dyDescent="0.25">
      <c r="A126" s="329" t="s">
        <v>308</v>
      </c>
      <c r="B126" s="335" t="s">
        <v>309</v>
      </c>
      <c r="C126" s="331">
        <v>2105</v>
      </c>
      <c r="D126" s="331">
        <v>0</v>
      </c>
      <c r="E126" s="331">
        <v>514</v>
      </c>
      <c r="F126" s="331">
        <v>444</v>
      </c>
      <c r="G126" s="331">
        <v>376</v>
      </c>
      <c r="H126" s="331">
        <v>3439</v>
      </c>
      <c r="I126" s="330">
        <v>3063</v>
      </c>
      <c r="J126" s="330">
        <v>0</v>
      </c>
      <c r="K126" s="332">
        <v>89.72</v>
      </c>
      <c r="L126" s="332">
        <v>90.95</v>
      </c>
      <c r="M126" s="332">
        <v>2.66</v>
      </c>
      <c r="N126" s="332">
        <v>91.36</v>
      </c>
      <c r="O126" s="333">
        <v>2025</v>
      </c>
      <c r="P126" s="330">
        <v>81.99</v>
      </c>
      <c r="Q126" s="330">
        <v>83.9</v>
      </c>
      <c r="R126" s="330">
        <v>15.34</v>
      </c>
      <c r="S126" s="330">
        <v>95.53</v>
      </c>
      <c r="T126" s="330">
        <v>934</v>
      </c>
      <c r="U126" s="330">
        <v>107.49</v>
      </c>
      <c r="V126" s="330">
        <v>63</v>
      </c>
      <c r="W126" s="330">
        <v>0</v>
      </c>
      <c r="X126" s="330">
        <v>0</v>
      </c>
      <c r="Y126" s="330">
        <v>0</v>
      </c>
      <c r="Z126" s="330">
        <v>11</v>
      </c>
      <c r="AA126" s="330">
        <v>0</v>
      </c>
      <c r="AB126" s="330">
        <v>24</v>
      </c>
      <c r="AC126" s="330">
        <v>14</v>
      </c>
      <c r="AD126" s="334">
        <v>2105</v>
      </c>
      <c r="AE126" s="334">
        <v>18</v>
      </c>
      <c r="AF126" s="334">
        <v>25</v>
      </c>
      <c r="AG126" s="334">
        <v>43</v>
      </c>
    </row>
    <row r="127" spans="1:33" x14ac:dyDescent="0.25">
      <c r="A127" s="329" t="s">
        <v>310</v>
      </c>
      <c r="B127" s="335" t="s">
        <v>311</v>
      </c>
      <c r="C127" s="331">
        <v>9565</v>
      </c>
      <c r="D127" s="331">
        <v>314</v>
      </c>
      <c r="E127" s="331">
        <v>892</v>
      </c>
      <c r="F127" s="331">
        <v>787</v>
      </c>
      <c r="G127" s="331">
        <v>1694</v>
      </c>
      <c r="H127" s="331">
        <v>13252</v>
      </c>
      <c r="I127" s="330">
        <v>11558</v>
      </c>
      <c r="J127" s="330">
        <v>205</v>
      </c>
      <c r="K127" s="332">
        <v>118.74</v>
      </c>
      <c r="L127" s="332">
        <v>120.63</v>
      </c>
      <c r="M127" s="332">
        <v>10.14</v>
      </c>
      <c r="N127" s="332">
        <v>124.4</v>
      </c>
      <c r="O127" s="333">
        <v>8135</v>
      </c>
      <c r="P127" s="330">
        <v>103.7</v>
      </c>
      <c r="Q127" s="330">
        <v>101.29</v>
      </c>
      <c r="R127" s="330">
        <v>49.6</v>
      </c>
      <c r="S127" s="330">
        <v>148.97</v>
      </c>
      <c r="T127" s="330">
        <v>1180</v>
      </c>
      <c r="U127" s="330">
        <v>161.43</v>
      </c>
      <c r="V127" s="330">
        <v>363</v>
      </c>
      <c r="W127" s="330">
        <v>176.58</v>
      </c>
      <c r="X127" s="330">
        <v>1</v>
      </c>
      <c r="Y127" s="330">
        <v>62</v>
      </c>
      <c r="Z127" s="330">
        <v>4</v>
      </c>
      <c r="AA127" s="330">
        <v>6</v>
      </c>
      <c r="AB127" s="330">
        <v>80</v>
      </c>
      <c r="AC127" s="330">
        <v>95</v>
      </c>
      <c r="AD127" s="334">
        <v>8795</v>
      </c>
      <c r="AE127" s="334">
        <v>50</v>
      </c>
      <c r="AF127" s="334">
        <v>44</v>
      </c>
      <c r="AG127" s="334">
        <v>94</v>
      </c>
    </row>
    <row r="128" spans="1:33" x14ac:dyDescent="0.25">
      <c r="A128" s="329" t="s">
        <v>312</v>
      </c>
      <c r="B128" s="335" t="s">
        <v>313</v>
      </c>
      <c r="C128" s="331">
        <v>1120</v>
      </c>
      <c r="D128" s="331">
        <v>57</v>
      </c>
      <c r="E128" s="331">
        <v>309</v>
      </c>
      <c r="F128" s="331">
        <v>258</v>
      </c>
      <c r="G128" s="331">
        <v>280</v>
      </c>
      <c r="H128" s="331">
        <v>2024</v>
      </c>
      <c r="I128" s="330">
        <v>1744</v>
      </c>
      <c r="J128" s="330">
        <v>2</v>
      </c>
      <c r="K128" s="332">
        <v>105.43</v>
      </c>
      <c r="L128" s="332">
        <v>102.95</v>
      </c>
      <c r="M128" s="332">
        <v>7.23</v>
      </c>
      <c r="N128" s="332">
        <v>111.91</v>
      </c>
      <c r="O128" s="333">
        <v>1021</v>
      </c>
      <c r="P128" s="330">
        <v>90.13</v>
      </c>
      <c r="Q128" s="330">
        <v>87.08</v>
      </c>
      <c r="R128" s="330">
        <v>38.49</v>
      </c>
      <c r="S128" s="330">
        <v>128</v>
      </c>
      <c r="T128" s="330">
        <v>496</v>
      </c>
      <c r="U128" s="330">
        <v>143.81</v>
      </c>
      <c r="V128" s="330">
        <v>107</v>
      </c>
      <c r="W128" s="330">
        <v>0</v>
      </c>
      <c r="X128" s="330">
        <v>0</v>
      </c>
      <c r="Y128" s="330">
        <v>0</v>
      </c>
      <c r="Z128" s="330">
        <v>1</v>
      </c>
      <c r="AA128" s="330">
        <v>0</v>
      </c>
      <c r="AB128" s="330">
        <v>26</v>
      </c>
      <c r="AC128" s="330">
        <v>3</v>
      </c>
      <c r="AD128" s="334">
        <v>1117</v>
      </c>
      <c r="AE128" s="334">
        <v>6</v>
      </c>
      <c r="AF128" s="334">
        <v>0</v>
      </c>
      <c r="AG128" s="334">
        <v>6</v>
      </c>
    </row>
    <row r="129" spans="1:33" x14ac:dyDescent="0.25">
      <c r="A129" s="329" t="s">
        <v>314</v>
      </c>
      <c r="B129" s="335" t="s">
        <v>315</v>
      </c>
      <c r="C129" s="331">
        <v>2099</v>
      </c>
      <c r="D129" s="331">
        <v>15</v>
      </c>
      <c r="E129" s="331">
        <v>248</v>
      </c>
      <c r="F129" s="331">
        <v>367</v>
      </c>
      <c r="G129" s="331">
        <v>251</v>
      </c>
      <c r="H129" s="331">
        <v>2980</v>
      </c>
      <c r="I129" s="330">
        <v>2729</v>
      </c>
      <c r="J129" s="330">
        <v>10</v>
      </c>
      <c r="K129" s="332">
        <v>94.96</v>
      </c>
      <c r="L129" s="332">
        <v>94.24</v>
      </c>
      <c r="M129" s="332">
        <v>6.57</v>
      </c>
      <c r="N129" s="332">
        <v>99.31</v>
      </c>
      <c r="O129" s="333">
        <v>1693</v>
      </c>
      <c r="P129" s="330">
        <v>97.69</v>
      </c>
      <c r="Q129" s="330">
        <v>82.61</v>
      </c>
      <c r="R129" s="330">
        <v>34.06</v>
      </c>
      <c r="S129" s="330">
        <v>131</v>
      </c>
      <c r="T129" s="330">
        <v>452</v>
      </c>
      <c r="U129" s="330">
        <v>110.82</v>
      </c>
      <c r="V129" s="330">
        <v>226</v>
      </c>
      <c r="W129" s="330">
        <v>219.4</v>
      </c>
      <c r="X129" s="330">
        <v>9</v>
      </c>
      <c r="Y129" s="330">
        <v>0</v>
      </c>
      <c r="Z129" s="330">
        <v>4</v>
      </c>
      <c r="AA129" s="330">
        <v>7</v>
      </c>
      <c r="AB129" s="330">
        <v>6</v>
      </c>
      <c r="AC129" s="330">
        <v>3</v>
      </c>
      <c r="AD129" s="334">
        <v>1905</v>
      </c>
      <c r="AE129" s="334">
        <v>12</v>
      </c>
      <c r="AF129" s="334">
        <v>20</v>
      </c>
      <c r="AG129" s="334">
        <v>32</v>
      </c>
    </row>
    <row r="130" spans="1:33" x14ac:dyDescent="0.25">
      <c r="A130" s="329" t="s">
        <v>316</v>
      </c>
      <c r="B130" s="335" t="s">
        <v>317</v>
      </c>
      <c r="C130" s="331">
        <v>3097</v>
      </c>
      <c r="D130" s="331">
        <v>2</v>
      </c>
      <c r="E130" s="331">
        <v>403</v>
      </c>
      <c r="F130" s="331">
        <v>568</v>
      </c>
      <c r="G130" s="331">
        <v>1023</v>
      </c>
      <c r="H130" s="331">
        <v>5093</v>
      </c>
      <c r="I130" s="330">
        <v>4070</v>
      </c>
      <c r="J130" s="330">
        <v>28</v>
      </c>
      <c r="K130" s="332">
        <v>130.62</v>
      </c>
      <c r="L130" s="332">
        <v>131.51</v>
      </c>
      <c r="M130" s="332">
        <v>10.19</v>
      </c>
      <c r="N130" s="332">
        <v>136.74</v>
      </c>
      <c r="O130" s="333">
        <v>2719</v>
      </c>
      <c r="P130" s="330">
        <v>100.19</v>
      </c>
      <c r="Q130" s="330">
        <v>96.05</v>
      </c>
      <c r="R130" s="330">
        <v>23.36</v>
      </c>
      <c r="S130" s="330">
        <v>122.54</v>
      </c>
      <c r="T130" s="330">
        <v>507</v>
      </c>
      <c r="U130" s="330">
        <v>167.28</v>
      </c>
      <c r="V130" s="330">
        <v>142</v>
      </c>
      <c r="W130" s="330">
        <v>0</v>
      </c>
      <c r="X130" s="330">
        <v>0</v>
      </c>
      <c r="Y130" s="330">
        <v>0</v>
      </c>
      <c r="Z130" s="330">
        <v>6</v>
      </c>
      <c r="AA130" s="330">
        <v>0</v>
      </c>
      <c r="AB130" s="330">
        <v>13</v>
      </c>
      <c r="AC130" s="330">
        <v>44</v>
      </c>
      <c r="AD130" s="334">
        <v>3017</v>
      </c>
      <c r="AE130" s="334">
        <v>9</v>
      </c>
      <c r="AF130" s="334">
        <v>8</v>
      </c>
      <c r="AG130" s="334">
        <v>17</v>
      </c>
    </row>
    <row r="131" spans="1:33" x14ac:dyDescent="0.25">
      <c r="A131" s="329" t="s">
        <v>318</v>
      </c>
      <c r="B131" s="335" t="s">
        <v>319</v>
      </c>
      <c r="C131" s="331">
        <v>2467</v>
      </c>
      <c r="D131" s="331">
        <v>0</v>
      </c>
      <c r="E131" s="331">
        <v>49</v>
      </c>
      <c r="F131" s="331">
        <v>425</v>
      </c>
      <c r="G131" s="331">
        <v>469</v>
      </c>
      <c r="H131" s="331">
        <v>3410</v>
      </c>
      <c r="I131" s="330">
        <v>2941</v>
      </c>
      <c r="J131" s="330">
        <v>3</v>
      </c>
      <c r="K131" s="332">
        <v>117.66</v>
      </c>
      <c r="L131" s="332">
        <v>118.95</v>
      </c>
      <c r="M131" s="332">
        <v>4.5199999999999996</v>
      </c>
      <c r="N131" s="332">
        <v>119.37</v>
      </c>
      <c r="O131" s="333">
        <v>2260</v>
      </c>
      <c r="P131" s="330">
        <v>99.28</v>
      </c>
      <c r="Q131" s="330">
        <v>99.75</v>
      </c>
      <c r="R131" s="330">
        <v>27.1</v>
      </c>
      <c r="S131" s="330">
        <v>126.06</v>
      </c>
      <c r="T131" s="330">
        <v>421</v>
      </c>
      <c r="U131" s="330">
        <v>153.76</v>
      </c>
      <c r="V131" s="330">
        <v>171</v>
      </c>
      <c r="W131" s="330">
        <v>0</v>
      </c>
      <c r="X131" s="330">
        <v>0</v>
      </c>
      <c r="Y131" s="330">
        <v>0</v>
      </c>
      <c r="Z131" s="330">
        <v>2</v>
      </c>
      <c r="AA131" s="330">
        <v>0</v>
      </c>
      <c r="AB131" s="330">
        <v>21</v>
      </c>
      <c r="AC131" s="330">
        <v>23</v>
      </c>
      <c r="AD131" s="334">
        <v>2467</v>
      </c>
      <c r="AE131" s="334">
        <v>45</v>
      </c>
      <c r="AF131" s="334">
        <v>1</v>
      </c>
      <c r="AG131" s="334">
        <v>46</v>
      </c>
    </row>
    <row r="132" spans="1:33" x14ac:dyDescent="0.25">
      <c r="A132" s="329" t="s">
        <v>320</v>
      </c>
      <c r="B132" s="335" t="s">
        <v>321</v>
      </c>
      <c r="C132" s="331">
        <v>7602</v>
      </c>
      <c r="D132" s="331">
        <v>0</v>
      </c>
      <c r="E132" s="331">
        <v>338</v>
      </c>
      <c r="F132" s="331">
        <v>1986</v>
      </c>
      <c r="G132" s="331">
        <v>214</v>
      </c>
      <c r="H132" s="331">
        <v>10140</v>
      </c>
      <c r="I132" s="330">
        <v>9926</v>
      </c>
      <c r="J132" s="330">
        <v>50</v>
      </c>
      <c r="K132" s="332">
        <v>81.94</v>
      </c>
      <c r="L132" s="332">
        <v>81.58</v>
      </c>
      <c r="M132" s="332">
        <v>4.68</v>
      </c>
      <c r="N132" s="332">
        <v>83.76</v>
      </c>
      <c r="O132" s="333">
        <v>6704</v>
      </c>
      <c r="P132" s="330">
        <v>78.819999999999993</v>
      </c>
      <c r="Q132" s="330">
        <v>78.34</v>
      </c>
      <c r="R132" s="330">
        <v>27.73</v>
      </c>
      <c r="S132" s="330">
        <v>95.23</v>
      </c>
      <c r="T132" s="330">
        <v>2244</v>
      </c>
      <c r="U132" s="330">
        <v>92.5</v>
      </c>
      <c r="V132" s="330">
        <v>837</v>
      </c>
      <c r="W132" s="330">
        <v>93.97</v>
      </c>
      <c r="X132" s="330">
        <v>43</v>
      </c>
      <c r="Y132" s="330">
        <v>0</v>
      </c>
      <c r="Z132" s="330">
        <v>26</v>
      </c>
      <c r="AA132" s="330">
        <v>2</v>
      </c>
      <c r="AB132" s="330">
        <v>5</v>
      </c>
      <c r="AC132" s="330">
        <v>1</v>
      </c>
      <c r="AD132" s="334">
        <v>7578</v>
      </c>
      <c r="AE132" s="334">
        <v>155</v>
      </c>
      <c r="AF132" s="334">
        <v>59</v>
      </c>
      <c r="AG132" s="334">
        <v>214</v>
      </c>
    </row>
    <row r="133" spans="1:33" x14ac:dyDescent="0.25">
      <c r="A133" s="329" t="s">
        <v>322</v>
      </c>
      <c r="B133" s="335" t="s">
        <v>323</v>
      </c>
      <c r="C133" s="331">
        <v>5018</v>
      </c>
      <c r="D133" s="331">
        <v>0</v>
      </c>
      <c r="E133" s="331">
        <v>272</v>
      </c>
      <c r="F133" s="331">
        <v>716</v>
      </c>
      <c r="G133" s="331">
        <v>158</v>
      </c>
      <c r="H133" s="331">
        <v>6164</v>
      </c>
      <c r="I133" s="330">
        <v>6006</v>
      </c>
      <c r="J133" s="330">
        <v>1</v>
      </c>
      <c r="K133" s="332">
        <v>90.55</v>
      </c>
      <c r="L133" s="332">
        <v>84.42</v>
      </c>
      <c r="M133" s="332">
        <v>6.65</v>
      </c>
      <c r="N133" s="332">
        <v>95.94</v>
      </c>
      <c r="O133" s="333">
        <v>4534</v>
      </c>
      <c r="P133" s="330">
        <v>71.8</v>
      </c>
      <c r="Q133" s="330">
        <v>68.989999999999995</v>
      </c>
      <c r="R133" s="330">
        <v>31.43</v>
      </c>
      <c r="S133" s="330">
        <v>101.71</v>
      </c>
      <c r="T133" s="330">
        <v>827</v>
      </c>
      <c r="U133" s="330">
        <v>112.29</v>
      </c>
      <c r="V133" s="330">
        <v>394</v>
      </c>
      <c r="W133" s="330">
        <v>0</v>
      </c>
      <c r="X133" s="330">
        <v>0</v>
      </c>
      <c r="Y133" s="330">
        <v>168</v>
      </c>
      <c r="Z133" s="330">
        <v>11</v>
      </c>
      <c r="AA133" s="330">
        <v>11</v>
      </c>
      <c r="AB133" s="330">
        <v>2</v>
      </c>
      <c r="AC133" s="330">
        <v>7</v>
      </c>
      <c r="AD133" s="334">
        <v>4935</v>
      </c>
      <c r="AE133" s="334">
        <v>20</v>
      </c>
      <c r="AF133" s="334">
        <v>12</v>
      </c>
      <c r="AG133" s="334">
        <v>32</v>
      </c>
    </row>
    <row r="134" spans="1:33" x14ac:dyDescent="0.25">
      <c r="A134" s="329" t="s">
        <v>324</v>
      </c>
      <c r="B134" s="335" t="s">
        <v>325</v>
      </c>
      <c r="C134" s="331">
        <v>4069</v>
      </c>
      <c r="D134" s="331">
        <v>0</v>
      </c>
      <c r="E134" s="331">
        <v>240</v>
      </c>
      <c r="F134" s="331">
        <v>1068</v>
      </c>
      <c r="G134" s="331">
        <v>299</v>
      </c>
      <c r="H134" s="331">
        <v>5676</v>
      </c>
      <c r="I134" s="330">
        <v>5377</v>
      </c>
      <c r="J134" s="330">
        <v>0</v>
      </c>
      <c r="K134" s="332">
        <v>105.79</v>
      </c>
      <c r="L134" s="332">
        <v>102.12</v>
      </c>
      <c r="M134" s="332">
        <v>8.43</v>
      </c>
      <c r="N134" s="332">
        <v>109.86</v>
      </c>
      <c r="O134" s="333">
        <v>3673</v>
      </c>
      <c r="P134" s="330">
        <v>95.46</v>
      </c>
      <c r="Q134" s="330">
        <v>88.31</v>
      </c>
      <c r="R134" s="330">
        <v>17.68</v>
      </c>
      <c r="S134" s="330">
        <v>113.03</v>
      </c>
      <c r="T134" s="330">
        <v>1134</v>
      </c>
      <c r="U134" s="330">
        <v>143.4</v>
      </c>
      <c r="V134" s="330">
        <v>289</v>
      </c>
      <c r="W134" s="330">
        <v>145.34</v>
      </c>
      <c r="X134" s="330">
        <v>14</v>
      </c>
      <c r="Y134" s="330">
        <v>0</v>
      </c>
      <c r="Z134" s="330">
        <v>3</v>
      </c>
      <c r="AA134" s="330">
        <v>4</v>
      </c>
      <c r="AB134" s="330">
        <v>31</v>
      </c>
      <c r="AC134" s="330">
        <v>6</v>
      </c>
      <c r="AD134" s="334">
        <v>4061</v>
      </c>
      <c r="AE134" s="334">
        <v>34</v>
      </c>
      <c r="AF134" s="334">
        <v>24</v>
      </c>
      <c r="AG134" s="334">
        <v>58</v>
      </c>
    </row>
    <row r="135" spans="1:33" x14ac:dyDescent="0.25">
      <c r="A135" s="329" t="s">
        <v>326</v>
      </c>
      <c r="B135" s="335" t="s">
        <v>327</v>
      </c>
      <c r="C135" s="331">
        <v>3504</v>
      </c>
      <c r="D135" s="331">
        <v>354</v>
      </c>
      <c r="E135" s="331">
        <v>178</v>
      </c>
      <c r="F135" s="331">
        <v>514</v>
      </c>
      <c r="G135" s="331">
        <v>647</v>
      </c>
      <c r="H135" s="331">
        <v>5197</v>
      </c>
      <c r="I135" s="330">
        <v>4550</v>
      </c>
      <c r="J135" s="330">
        <v>11</v>
      </c>
      <c r="K135" s="332">
        <v>118.4</v>
      </c>
      <c r="L135" s="332">
        <v>117.02</v>
      </c>
      <c r="M135" s="332">
        <v>8.15</v>
      </c>
      <c r="N135" s="332">
        <v>124.81</v>
      </c>
      <c r="O135" s="333">
        <v>2610</v>
      </c>
      <c r="P135" s="330">
        <v>102.7</v>
      </c>
      <c r="Q135" s="330">
        <v>98.88</v>
      </c>
      <c r="R135" s="330">
        <v>32.44</v>
      </c>
      <c r="S135" s="330">
        <v>133.47999999999999</v>
      </c>
      <c r="T135" s="330">
        <v>646</v>
      </c>
      <c r="U135" s="330">
        <v>175.4</v>
      </c>
      <c r="V135" s="330">
        <v>705</v>
      </c>
      <c r="W135" s="330">
        <v>192.44</v>
      </c>
      <c r="X135" s="330">
        <v>23</v>
      </c>
      <c r="Y135" s="330">
        <v>12</v>
      </c>
      <c r="Z135" s="330">
        <v>4</v>
      </c>
      <c r="AA135" s="330">
        <v>0</v>
      </c>
      <c r="AB135" s="330">
        <v>167</v>
      </c>
      <c r="AC135" s="330">
        <v>23</v>
      </c>
      <c r="AD135" s="334">
        <v>3474</v>
      </c>
      <c r="AE135" s="334">
        <v>18</v>
      </c>
      <c r="AF135" s="334">
        <v>88</v>
      </c>
      <c r="AG135" s="334">
        <v>106</v>
      </c>
    </row>
    <row r="136" spans="1:33" x14ac:dyDescent="0.25">
      <c r="A136" s="329" t="s">
        <v>328</v>
      </c>
      <c r="B136" s="335" t="s">
        <v>329</v>
      </c>
      <c r="C136" s="331">
        <v>8831</v>
      </c>
      <c r="D136" s="331">
        <v>0</v>
      </c>
      <c r="E136" s="331">
        <v>288</v>
      </c>
      <c r="F136" s="331">
        <v>1987</v>
      </c>
      <c r="G136" s="331">
        <v>700</v>
      </c>
      <c r="H136" s="331">
        <v>11806</v>
      </c>
      <c r="I136" s="330">
        <v>11106</v>
      </c>
      <c r="J136" s="330">
        <v>36</v>
      </c>
      <c r="K136" s="332">
        <v>89.85</v>
      </c>
      <c r="L136" s="332">
        <v>90.17</v>
      </c>
      <c r="M136" s="332">
        <v>3.44</v>
      </c>
      <c r="N136" s="332">
        <v>91.53</v>
      </c>
      <c r="O136" s="333">
        <v>8245</v>
      </c>
      <c r="P136" s="330">
        <v>81.09</v>
      </c>
      <c r="Q136" s="330">
        <v>82.18</v>
      </c>
      <c r="R136" s="330">
        <v>24.61</v>
      </c>
      <c r="S136" s="330">
        <v>100.25</v>
      </c>
      <c r="T136" s="330">
        <v>2188</v>
      </c>
      <c r="U136" s="330">
        <v>101.63</v>
      </c>
      <c r="V136" s="330">
        <v>461</v>
      </c>
      <c r="W136" s="330">
        <v>178.65</v>
      </c>
      <c r="X136" s="330">
        <v>30</v>
      </c>
      <c r="Y136" s="330">
        <v>1</v>
      </c>
      <c r="Z136" s="330">
        <v>24</v>
      </c>
      <c r="AA136" s="330">
        <v>9</v>
      </c>
      <c r="AB136" s="330">
        <v>14</v>
      </c>
      <c r="AC136" s="330">
        <v>6</v>
      </c>
      <c r="AD136" s="334">
        <v>8803</v>
      </c>
      <c r="AE136" s="334">
        <v>41</v>
      </c>
      <c r="AF136" s="334">
        <v>12</v>
      </c>
      <c r="AG136" s="334">
        <v>53</v>
      </c>
    </row>
    <row r="137" spans="1:33" x14ac:dyDescent="0.25">
      <c r="A137" s="329" t="s">
        <v>330</v>
      </c>
      <c r="B137" s="335" t="s">
        <v>331</v>
      </c>
      <c r="C137" s="331">
        <v>6192</v>
      </c>
      <c r="D137" s="331">
        <v>24</v>
      </c>
      <c r="E137" s="331">
        <v>166</v>
      </c>
      <c r="F137" s="331">
        <v>865</v>
      </c>
      <c r="G137" s="331">
        <v>479</v>
      </c>
      <c r="H137" s="331">
        <v>7726</v>
      </c>
      <c r="I137" s="330">
        <v>7247</v>
      </c>
      <c r="J137" s="330">
        <v>1</v>
      </c>
      <c r="K137" s="332">
        <v>120.33</v>
      </c>
      <c r="L137" s="332">
        <v>124.82</v>
      </c>
      <c r="M137" s="332">
        <v>9.5299999999999994</v>
      </c>
      <c r="N137" s="332">
        <v>124.84</v>
      </c>
      <c r="O137" s="333">
        <v>5481</v>
      </c>
      <c r="P137" s="330">
        <v>106.42</v>
      </c>
      <c r="Q137" s="330">
        <v>108.22</v>
      </c>
      <c r="R137" s="330">
        <v>29.98</v>
      </c>
      <c r="S137" s="330">
        <v>135.69</v>
      </c>
      <c r="T137" s="330">
        <v>966</v>
      </c>
      <c r="U137" s="330">
        <v>172.49</v>
      </c>
      <c r="V137" s="330">
        <v>538</v>
      </c>
      <c r="W137" s="330">
        <v>0</v>
      </c>
      <c r="X137" s="330">
        <v>0</v>
      </c>
      <c r="Y137" s="330">
        <v>0</v>
      </c>
      <c r="Z137" s="330">
        <v>9</v>
      </c>
      <c r="AA137" s="330">
        <v>0</v>
      </c>
      <c r="AB137" s="330">
        <v>11</v>
      </c>
      <c r="AC137" s="330">
        <v>15</v>
      </c>
      <c r="AD137" s="334">
        <v>6080</v>
      </c>
      <c r="AE137" s="334">
        <v>52</v>
      </c>
      <c r="AF137" s="334">
        <v>11</v>
      </c>
      <c r="AG137" s="334">
        <v>63</v>
      </c>
    </row>
    <row r="138" spans="1:33" x14ac:dyDescent="0.25">
      <c r="A138" s="329" t="s">
        <v>332</v>
      </c>
      <c r="B138" s="335" t="s">
        <v>333</v>
      </c>
      <c r="C138" s="331">
        <v>754</v>
      </c>
      <c r="D138" s="331">
        <v>0</v>
      </c>
      <c r="E138" s="331">
        <v>48</v>
      </c>
      <c r="F138" s="331">
        <v>338</v>
      </c>
      <c r="G138" s="331">
        <v>103</v>
      </c>
      <c r="H138" s="331">
        <v>1243</v>
      </c>
      <c r="I138" s="330">
        <v>1140</v>
      </c>
      <c r="J138" s="330">
        <v>9</v>
      </c>
      <c r="K138" s="332">
        <v>96.6</v>
      </c>
      <c r="L138" s="332">
        <v>95.41</v>
      </c>
      <c r="M138" s="332">
        <v>7.15</v>
      </c>
      <c r="N138" s="332">
        <v>100.59</v>
      </c>
      <c r="O138" s="333">
        <v>693</v>
      </c>
      <c r="P138" s="330">
        <v>83.07</v>
      </c>
      <c r="Q138" s="330">
        <v>78.44</v>
      </c>
      <c r="R138" s="330">
        <v>36.36</v>
      </c>
      <c r="S138" s="330">
        <v>119.33</v>
      </c>
      <c r="T138" s="330">
        <v>366</v>
      </c>
      <c r="U138" s="330">
        <v>106.89</v>
      </c>
      <c r="V138" s="330">
        <v>40</v>
      </c>
      <c r="W138" s="330">
        <v>0</v>
      </c>
      <c r="X138" s="330">
        <v>0</v>
      </c>
      <c r="Y138" s="330">
        <v>0</v>
      </c>
      <c r="Z138" s="330">
        <v>0</v>
      </c>
      <c r="AA138" s="330">
        <v>0</v>
      </c>
      <c r="AB138" s="330">
        <v>10</v>
      </c>
      <c r="AC138" s="330">
        <v>2</v>
      </c>
      <c r="AD138" s="334">
        <v>732</v>
      </c>
      <c r="AE138" s="334">
        <v>7</v>
      </c>
      <c r="AF138" s="334">
        <v>0</v>
      </c>
      <c r="AG138" s="334">
        <v>7</v>
      </c>
    </row>
    <row r="139" spans="1:33" x14ac:dyDescent="0.25">
      <c r="A139" s="329" t="s">
        <v>334</v>
      </c>
      <c r="B139" s="335" t="s">
        <v>335</v>
      </c>
      <c r="C139" s="331">
        <v>6312</v>
      </c>
      <c r="D139" s="331">
        <v>0</v>
      </c>
      <c r="E139" s="331">
        <v>542</v>
      </c>
      <c r="F139" s="331">
        <v>539</v>
      </c>
      <c r="G139" s="331">
        <v>1231</v>
      </c>
      <c r="H139" s="331">
        <v>8624</v>
      </c>
      <c r="I139" s="330">
        <v>7393</v>
      </c>
      <c r="J139" s="330">
        <v>43</v>
      </c>
      <c r="K139" s="332">
        <v>123.78</v>
      </c>
      <c r="L139" s="332">
        <v>123.62</v>
      </c>
      <c r="M139" s="332">
        <v>10.050000000000001</v>
      </c>
      <c r="N139" s="332">
        <v>130.65</v>
      </c>
      <c r="O139" s="333">
        <v>5550</v>
      </c>
      <c r="P139" s="330">
        <v>101.38</v>
      </c>
      <c r="Q139" s="330">
        <v>103.34</v>
      </c>
      <c r="R139" s="330">
        <v>41.52</v>
      </c>
      <c r="S139" s="330">
        <v>142.41999999999999</v>
      </c>
      <c r="T139" s="330">
        <v>854</v>
      </c>
      <c r="U139" s="330">
        <v>181.98</v>
      </c>
      <c r="V139" s="330">
        <v>401</v>
      </c>
      <c r="W139" s="330">
        <v>155.34</v>
      </c>
      <c r="X139" s="330">
        <v>44</v>
      </c>
      <c r="Y139" s="330">
        <v>0</v>
      </c>
      <c r="Z139" s="330">
        <v>11</v>
      </c>
      <c r="AA139" s="330">
        <v>1</v>
      </c>
      <c r="AB139" s="330">
        <v>4</v>
      </c>
      <c r="AC139" s="330">
        <v>36</v>
      </c>
      <c r="AD139" s="334">
        <v>5983</v>
      </c>
      <c r="AE139" s="334">
        <v>21</v>
      </c>
      <c r="AF139" s="334">
        <v>17</v>
      </c>
      <c r="AG139" s="334">
        <v>38</v>
      </c>
    </row>
    <row r="140" spans="1:33" x14ac:dyDescent="0.25">
      <c r="A140" s="329" t="s">
        <v>336</v>
      </c>
      <c r="B140" s="335" t="s">
        <v>337</v>
      </c>
      <c r="C140" s="331">
        <v>1595</v>
      </c>
      <c r="D140" s="331">
        <v>0</v>
      </c>
      <c r="E140" s="331">
        <v>73</v>
      </c>
      <c r="F140" s="331">
        <v>125</v>
      </c>
      <c r="G140" s="331">
        <v>300</v>
      </c>
      <c r="H140" s="331">
        <v>2093</v>
      </c>
      <c r="I140" s="330">
        <v>1793</v>
      </c>
      <c r="J140" s="330">
        <v>3</v>
      </c>
      <c r="K140" s="332">
        <v>91.75</v>
      </c>
      <c r="L140" s="332">
        <v>89.24</v>
      </c>
      <c r="M140" s="332">
        <v>4.83</v>
      </c>
      <c r="N140" s="332">
        <v>94.22</v>
      </c>
      <c r="O140" s="333">
        <v>1431</v>
      </c>
      <c r="P140" s="330">
        <v>91.15</v>
      </c>
      <c r="Q140" s="330">
        <v>76.78</v>
      </c>
      <c r="R140" s="330">
        <v>27.83</v>
      </c>
      <c r="S140" s="330">
        <v>118.41</v>
      </c>
      <c r="T140" s="330">
        <v>194</v>
      </c>
      <c r="U140" s="330">
        <v>105.17</v>
      </c>
      <c r="V140" s="330">
        <v>155</v>
      </c>
      <c r="W140" s="330">
        <v>0</v>
      </c>
      <c r="X140" s="330">
        <v>0</v>
      </c>
      <c r="Y140" s="330">
        <v>0</v>
      </c>
      <c r="Z140" s="330">
        <v>0</v>
      </c>
      <c r="AA140" s="330">
        <v>3</v>
      </c>
      <c r="AB140" s="330">
        <v>34</v>
      </c>
      <c r="AC140" s="330">
        <v>14</v>
      </c>
      <c r="AD140" s="334">
        <v>1595</v>
      </c>
      <c r="AE140" s="334">
        <v>21</v>
      </c>
      <c r="AF140" s="334">
        <v>22</v>
      </c>
      <c r="AG140" s="334">
        <v>43</v>
      </c>
    </row>
    <row r="141" spans="1:33" x14ac:dyDescent="0.25">
      <c r="A141" s="329" t="s">
        <v>338</v>
      </c>
      <c r="B141" s="335" t="s">
        <v>339</v>
      </c>
      <c r="C141" s="331">
        <v>5359</v>
      </c>
      <c r="D141" s="331">
        <v>0</v>
      </c>
      <c r="E141" s="331">
        <v>157</v>
      </c>
      <c r="F141" s="331">
        <v>1100</v>
      </c>
      <c r="G141" s="331">
        <v>515</v>
      </c>
      <c r="H141" s="331">
        <v>7131</v>
      </c>
      <c r="I141" s="330">
        <v>6616</v>
      </c>
      <c r="J141" s="330">
        <v>9</v>
      </c>
      <c r="K141" s="332">
        <v>111.84</v>
      </c>
      <c r="L141" s="332">
        <v>111.06</v>
      </c>
      <c r="M141" s="332">
        <v>3.62</v>
      </c>
      <c r="N141" s="332">
        <v>114.02</v>
      </c>
      <c r="O141" s="333">
        <v>4647</v>
      </c>
      <c r="P141" s="330">
        <v>94.92</v>
      </c>
      <c r="Q141" s="330">
        <v>93.7</v>
      </c>
      <c r="R141" s="330">
        <v>22.21</v>
      </c>
      <c r="S141" s="330">
        <v>116.86</v>
      </c>
      <c r="T141" s="330">
        <v>1068</v>
      </c>
      <c r="U141" s="330">
        <v>151.13</v>
      </c>
      <c r="V141" s="330">
        <v>651</v>
      </c>
      <c r="W141" s="330">
        <v>137.21</v>
      </c>
      <c r="X141" s="330">
        <v>38</v>
      </c>
      <c r="Y141" s="330">
        <v>0</v>
      </c>
      <c r="Z141" s="330">
        <v>7</v>
      </c>
      <c r="AA141" s="330">
        <v>1</v>
      </c>
      <c r="AB141" s="330">
        <v>83</v>
      </c>
      <c r="AC141" s="330">
        <v>9</v>
      </c>
      <c r="AD141" s="334">
        <v>5326</v>
      </c>
      <c r="AE141" s="334">
        <v>23</v>
      </c>
      <c r="AF141" s="334">
        <v>16</v>
      </c>
      <c r="AG141" s="334">
        <v>39</v>
      </c>
    </row>
    <row r="142" spans="1:33" x14ac:dyDescent="0.25">
      <c r="A142" s="329" t="s">
        <v>340</v>
      </c>
      <c r="B142" s="335" t="s">
        <v>341</v>
      </c>
      <c r="C142" s="331">
        <v>7239</v>
      </c>
      <c r="D142" s="331">
        <v>9</v>
      </c>
      <c r="E142" s="331">
        <v>364</v>
      </c>
      <c r="F142" s="331">
        <v>210</v>
      </c>
      <c r="G142" s="331">
        <v>1979</v>
      </c>
      <c r="H142" s="331">
        <v>9801</v>
      </c>
      <c r="I142" s="330">
        <v>7822</v>
      </c>
      <c r="J142" s="330">
        <v>148</v>
      </c>
      <c r="K142" s="332">
        <v>123.21</v>
      </c>
      <c r="L142" s="332">
        <v>125.26</v>
      </c>
      <c r="M142" s="332">
        <v>9.93</v>
      </c>
      <c r="N142" s="332">
        <v>130.81</v>
      </c>
      <c r="O142" s="333">
        <v>6017</v>
      </c>
      <c r="P142" s="330">
        <v>103.93</v>
      </c>
      <c r="Q142" s="330">
        <v>112.73</v>
      </c>
      <c r="R142" s="330">
        <v>63.11</v>
      </c>
      <c r="S142" s="330">
        <v>152.97999999999999</v>
      </c>
      <c r="T142" s="330">
        <v>323</v>
      </c>
      <c r="U142" s="330">
        <v>190.23</v>
      </c>
      <c r="V142" s="330">
        <v>402</v>
      </c>
      <c r="W142" s="330">
        <v>216.64</v>
      </c>
      <c r="X142" s="330">
        <v>59</v>
      </c>
      <c r="Y142" s="330">
        <v>32</v>
      </c>
      <c r="Z142" s="330">
        <v>9</v>
      </c>
      <c r="AA142" s="330">
        <v>2</v>
      </c>
      <c r="AB142" s="330">
        <v>64</v>
      </c>
      <c r="AC142" s="330">
        <v>77</v>
      </c>
      <c r="AD142" s="334">
        <v>6702</v>
      </c>
      <c r="AE142" s="334">
        <v>20</v>
      </c>
      <c r="AF142" s="334">
        <v>40</v>
      </c>
      <c r="AG142" s="334">
        <v>60</v>
      </c>
    </row>
    <row r="143" spans="1:33" x14ac:dyDescent="0.25">
      <c r="A143" s="329" t="s">
        <v>342</v>
      </c>
      <c r="B143" s="335" t="s">
        <v>343</v>
      </c>
      <c r="C143" s="331">
        <v>8210</v>
      </c>
      <c r="D143" s="331">
        <v>0</v>
      </c>
      <c r="E143" s="331">
        <v>351</v>
      </c>
      <c r="F143" s="331">
        <v>993</v>
      </c>
      <c r="G143" s="331">
        <v>651</v>
      </c>
      <c r="H143" s="331">
        <v>10205</v>
      </c>
      <c r="I143" s="330">
        <v>9554</v>
      </c>
      <c r="J143" s="330">
        <v>20</v>
      </c>
      <c r="K143" s="332">
        <v>95.47</v>
      </c>
      <c r="L143" s="332">
        <v>95.77</v>
      </c>
      <c r="M143" s="332">
        <v>3.53</v>
      </c>
      <c r="N143" s="332">
        <v>96.75</v>
      </c>
      <c r="O143" s="333">
        <v>7921</v>
      </c>
      <c r="P143" s="330">
        <v>86.87</v>
      </c>
      <c r="Q143" s="330">
        <v>86.8</v>
      </c>
      <c r="R143" s="330">
        <v>38.35</v>
      </c>
      <c r="S143" s="330">
        <v>124.28</v>
      </c>
      <c r="T143" s="330">
        <v>735</v>
      </c>
      <c r="U143" s="330">
        <v>116.73</v>
      </c>
      <c r="V143" s="330">
        <v>108</v>
      </c>
      <c r="W143" s="330">
        <v>0</v>
      </c>
      <c r="X143" s="330">
        <v>0</v>
      </c>
      <c r="Y143" s="330">
        <v>0</v>
      </c>
      <c r="Z143" s="330">
        <v>19</v>
      </c>
      <c r="AA143" s="330">
        <v>17</v>
      </c>
      <c r="AB143" s="330">
        <v>29</v>
      </c>
      <c r="AC143" s="330">
        <v>28</v>
      </c>
      <c r="AD143" s="334">
        <v>8207</v>
      </c>
      <c r="AE143" s="334">
        <v>32</v>
      </c>
      <c r="AF143" s="334">
        <v>41</v>
      </c>
      <c r="AG143" s="334">
        <v>73</v>
      </c>
    </row>
    <row r="144" spans="1:33" x14ac:dyDescent="0.25">
      <c r="A144" s="329" t="s">
        <v>344</v>
      </c>
      <c r="B144" s="335" t="s">
        <v>345</v>
      </c>
      <c r="C144" s="331">
        <v>2926</v>
      </c>
      <c r="D144" s="331">
        <v>0</v>
      </c>
      <c r="E144" s="331">
        <v>221</v>
      </c>
      <c r="F144" s="331">
        <v>1759</v>
      </c>
      <c r="G144" s="331">
        <v>69</v>
      </c>
      <c r="H144" s="331">
        <v>4975</v>
      </c>
      <c r="I144" s="330">
        <v>4906</v>
      </c>
      <c r="J144" s="330">
        <v>14</v>
      </c>
      <c r="K144" s="332">
        <v>77.81</v>
      </c>
      <c r="L144" s="332">
        <v>78.81</v>
      </c>
      <c r="M144" s="332">
        <v>2.77</v>
      </c>
      <c r="N144" s="332">
        <v>79.209999999999994</v>
      </c>
      <c r="O144" s="333">
        <v>2835</v>
      </c>
      <c r="P144" s="330">
        <v>73.86</v>
      </c>
      <c r="Q144" s="330">
        <v>70.41</v>
      </c>
      <c r="R144" s="330">
        <v>15.31</v>
      </c>
      <c r="S144" s="330">
        <v>89.05</v>
      </c>
      <c r="T144" s="330">
        <v>1942</v>
      </c>
      <c r="U144" s="330">
        <v>73.91</v>
      </c>
      <c r="V144" s="330">
        <v>90</v>
      </c>
      <c r="W144" s="330">
        <v>0</v>
      </c>
      <c r="X144" s="330">
        <v>0</v>
      </c>
      <c r="Y144" s="330">
        <v>0</v>
      </c>
      <c r="Z144" s="330">
        <v>13</v>
      </c>
      <c r="AA144" s="330">
        <v>2</v>
      </c>
      <c r="AB144" s="330">
        <v>0</v>
      </c>
      <c r="AC144" s="330">
        <v>1</v>
      </c>
      <c r="AD144" s="334">
        <v>2926</v>
      </c>
      <c r="AE144" s="334">
        <v>55</v>
      </c>
      <c r="AF144" s="334">
        <v>52</v>
      </c>
      <c r="AG144" s="334">
        <v>107</v>
      </c>
    </row>
    <row r="145" spans="1:33" x14ac:dyDescent="0.25">
      <c r="A145" s="329" t="s">
        <v>346</v>
      </c>
      <c r="B145" s="335" t="s">
        <v>347</v>
      </c>
      <c r="C145" s="331">
        <v>3676</v>
      </c>
      <c r="D145" s="331">
        <v>2</v>
      </c>
      <c r="E145" s="331">
        <v>635</v>
      </c>
      <c r="F145" s="331">
        <v>734</v>
      </c>
      <c r="G145" s="331">
        <v>351</v>
      </c>
      <c r="H145" s="331">
        <v>5398</v>
      </c>
      <c r="I145" s="330">
        <v>5047</v>
      </c>
      <c r="J145" s="330">
        <v>80</v>
      </c>
      <c r="K145" s="332">
        <v>88.28</v>
      </c>
      <c r="L145" s="332">
        <v>88.28</v>
      </c>
      <c r="M145" s="332">
        <v>6.54</v>
      </c>
      <c r="N145" s="332">
        <v>92.93</v>
      </c>
      <c r="O145" s="333">
        <v>3312</v>
      </c>
      <c r="P145" s="330">
        <v>78.900000000000006</v>
      </c>
      <c r="Q145" s="330">
        <v>72.02</v>
      </c>
      <c r="R145" s="330">
        <v>49.28</v>
      </c>
      <c r="S145" s="330">
        <v>125.44</v>
      </c>
      <c r="T145" s="330">
        <v>1131</v>
      </c>
      <c r="U145" s="330">
        <v>94.21</v>
      </c>
      <c r="V145" s="330">
        <v>321</v>
      </c>
      <c r="W145" s="330">
        <v>87.36</v>
      </c>
      <c r="X145" s="330">
        <v>1</v>
      </c>
      <c r="Y145" s="330">
        <v>174</v>
      </c>
      <c r="Z145" s="330">
        <v>8</v>
      </c>
      <c r="AA145" s="330">
        <v>1</v>
      </c>
      <c r="AB145" s="330">
        <v>1</v>
      </c>
      <c r="AC145" s="330">
        <v>3</v>
      </c>
      <c r="AD145" s="334">
        <v>3676</v>
      </c>
      <c r="AE145" s="334">
        <v>36</v>
      </c>
      <c r="AF145" s="334">
        <v>17</v>
      </c>
      <c r="AG145" s="334">
        <v>53</v>
      </c>
    </row>
    <row r="146" spans="1:33" x14ac:dyDescent="0.25">
      <c r="A146" s="329" t="s">
        <v>348</v>
      </c>
      <c r="B146" s="335" t="s">
        <v>349</v>
      </c>
      <c r="C146" s="331">
        <v>6195</v>
      </c>
      <c r="D146" s="331">
        <v>3</v>
      </c>
      <c r="E146" s="331">
        <v>299</v>
      </c>
      <c r="F146" s="331">
        <v>621</v>
      </c>
      <c r="G146" s="331">
        <v>270</v>
      </c>
      <c r="H146" s="331">
        <v>7388</v>
      </c>
      <c r="I146" s="330">
        <v>7118</v>
      </c>
      <c r="J146" s="330">
        <v>4</v>
      </c>
      <c r="K146" s="332">
        <v>90.14</v>
      </c>
      <c r="L146" s="332">
        <v>88.14</v>
      </c>
      <c r="M146" s="332">
        <v>5.2</v>
      </c>
      <c r="N146" s="332">
        <v>93.21</v>
      </c>
      <c r="O146" s="333">
        <v>5575</v>
      </c>
      <c r="P146" s="330">
        <v>77.09</v>
      </c>
      <c r="Q146" s="330">
        <v>74.05</v>
      </c>
      <c r="R146" s="330">
        <v>33.369999999999997</v>
      </c>
      <c r="S146" s="330">
        <v>105.16</v>
      </c>
      <c r="T146" s="330">
        <v>882</v>
      </c>
      <c r="U146" s="330">
        <v>116.35</v>
      </c>
      <c r="V146" s="330">
        <v>104</v>
      </c>
      <c r="W146" s="330">
        <v>76.25</v>
      </c>
      <c r="X146" s="330">
        <v>1</v>
      </c>
      <c r="Y146" s="330">
        <v>6</v>
      </c>
      <c r="Z146" s="330">
        <v>11</v>
      </c>
      <c r="AA146" s="330">
        <v>1</v>
      </c>
      <c r="AB146" s="330">
        <v>15</v>
      </c>
      <c r="AC146" s="330">
        <v>0</v>
      </c>
      <c r="AD146" s="334">
        <v>5773</v>
      </c>
      <c r="AE146" s="334">
        <v>21</v>
      </c>
      <c r="AF146" s="334">
        <v>7</v>
      </c>
      <c r="AG146" s="334">
        <v>28</v>
      </c>
    </row>
    <row r="147" spans="1:33" x14ac:dyDescent="0.25">
      <c r="A147" s="329" t="s">
        <v>350</v>
      </c>
      <c r="B147" s="335" t="s">
        <v>351</v>
      </c>
      <c r="C147" s="331">
        <v>52</v>
      </c>
      <c r="D147" s="331">
        <v>0</v>
      </c>
      <c r="E147" s="331">
        <v>0</v>
      </c>
      <c r="F147" s="331">
        <v>7</v>
      </c>
      <c r="G147" s="331">
        <v>0</v>
      </c>
      <c r="H147" s="331">
        <v>59</v>
      </c>
      <c r="I147" s="330">
        <v>59</v>
      </c>
      <c r="J147" s="330">
        <v>0</v>
      </c>
      <c r="K147" s="332">
        <v>100.82</v>
      </c>
      <c r="L147" s="332">
        <v>104.07</v>
      </c>
      <c r="M147" s="332">
        <v>0.99</v>
      </c>
      <c r="N147" s="332">
        <v>101.15</v>
      </c>
      <c r="O147" s="333">
        <v>27</v>
      </c>
      <c r="P147" s="330">
        <v>94.38</v>
      </c>
      <c r="Q147" s="330">
        <v>87.44</v>
      </c>
      <c r="R147" s="330">
        <v>17.68</v>
      </c>
      <c r="S147" s="330">
        <v>112.06</v>
      </c>
      <c r="T147" s="330">
        <v>7</v>
      </c>
      <c r="U147" s="330">
        <v>0</v>
      </c>
      <c r="V147" s="330">
        <v>0</v>
      </c>
      <c r="W147" s="330">
        <v>0</v>
      </c>
      <c r="X147" s="330">
        <v>0</v>
      </c>
      <c r="Y147" s="330">
        <v>0</v>
      </c>
      <c r="Z147" s="330">
        <v>0</v>
      </c>
      <c r="AA147" s="330">
        <v>0</v>
      </c>
      <c r="AB147" s="330">
        <v>0</v>
      </c>
      <c r="AC147" s="330">
        <v>0</v>
      </c>
      <c r="AD147" s="334">
        <v>27</v>
      </c>
      <c r="AE147" s="334">
        <v>0</v>
      </c>
      <c r="AF147" s="334">
        <v>0</v>
      </c>
      <c r="AG147" s="334">
        <v>0</v>
      </c>
    </row>
    <row r="148" spans="1:33" x14ac:dyDescent="0.25">
      <c r="A148" s="329" t="s">
        <v>352</v>
      </c>
      <c r="B148" s="335" t="s">
        <v>353</v>
      </c>
      <c r="C148" s="331">
        <v>13310</v>
      </c>
      <c r="D148" s="331">
        <v>240</v>
      </c>
      <c r="E148" s="331">
        <v>1285</v>
      </c>
      <c r="F148" s="331">
        <v>788</v>
      </c>
      <c r="G148" s="331">
        <v>1472</v>
      </c>
      <c r="H148" s="331">
        <v>17095</v>
      </c>
      <c r="I148" s="330">
        <v>15623</v>
      </c>
      <c r="J148" s="330">
        <v>195</v>
      </c>
      <c r="K148" s="332">
        <v>124.51</v>
      </c>
      <c r="L148" s="332">
        <v>134.47999999999999</v>
      </c>
      <c r="M148" s="332">
        <v>11.25</v>
      </c>
      <c r="N148" s="332">
        <v>132.5</v>
      </c>
      <c r="O148" s="333">
        <v>11529</v>
      </c>
      <c r="P148" s="330">
        <v>112.07</v>
      </c>
      <c r="Q148" s="330">
        <v>113.61</v>
      </c>
      <c r="R148" s="330">
        <v>40.340000000000003</v>
      </c>
      <c r="S148" s="330">
        <v>147.85</v>
      </c>
      <c r="T148" s="330">
        <v>1583</v>
      </c>
      <c r="U148" s="330">
        <v>177.19</v>
      </c>
      <c r="V148" s="330">
        <v>374</v>
      </c>
      <c r="W148" s="330">
        <v>235.8</v>
      </c>
      <c r="X148" s="330">
        <v>1</v>
      </c>
      <c r="Y148" s="330">
        <v>51</v>
      </c>
      <c r="Z148" s="330">
        <v>15</v>
      </c>
      <c r="AA148" s="330">
        <v>5</v>
      </c>
      <c r="AB148" s="330">
        <v>49</v>
      </c>
      <c r="AC148" s="330">
        <v>75</v>
      </c>
      <c r="AD148" s="334">
        <v>12314</v>
      </c>
      <c r="AE148" s="334">
        <v>71</v>
      </c>
      <c r="AF148" s="334">
        <v>44</v>
      </c>
      <c r="AG148" s="334">
        <v>115</v>
      </c>
    </row>
    <row r="149" spans="1:33" x14ac:dyDescent="0.25">
      <c r="A149" s="329" t="s">
        <v>354</v>
      </c>
      <c r="B149" s="335" t="s">
        <v>355</v>
      </c>
      <c r="C149" s="331">
        <v>10685</v>
      </c>
      <c r="D149" s="331">
        <v>328</v>
      </c>
      <c r="E149" s="331">
        <v>972</v>
      </c>
      <c r="F149" s="331">
        <v>979</v>
      </c>
      <c r="G149" s="331">
        <v>569</v>
      </c>
      <c r="H149" s="331">
        <v>13533</v>
      </c>
      <c r="I149" s="330">
        <v>12964</v>
      </c>
      <c r="J149" s="330">
        <v>84</v>
      </c>
      <c r="K149" s="332">
        <v>123.34</v>
      </c>
      <c r="L149" s="332">
        <v>144.36000000000001</v>
      </c>
      <c r="M149" s="332">
        <v>11.37</v>
      </c>
      <c r="N149" s="332">
        <v>130.81</v>
      </c>
      <c r="O149" s="333">
        <v>9496</v>
      </c>
      <c r="P149" s="330">
        <v>113.06</v>
      </c>
      <c r="Q149" s="330">
        <v>122.41</v>
      </c>
      <c r="R149" s="330">
        <v>50.09</v>
      </c>
      <c r="S149" s="330">
        <v>162.59</v>
      </c>
      <c r="T149" s="330">
        <v>1516</v>
      </c>
      <c r="U149" s="330">
        <v>220.96</v>
      </c>
      <c r="V149" s="330">
        <v>336</v>
      </c>
      <c r="W149" s="330">
        <v>214.98</v>
      </c>
      <c r="X149" s="330">
        <v>17</v>
      </c>
      <c r="Y149" s="330">
        <v>0</v>
      </c>
      <c r="Z149" s="330">
        <v>2</v>
      </c>
      <c r="AA149" s="330">
        <v>0</v>
      </c>
      <c r="AB149" s="330">
        <v>12</v>
      </c>
      <c r="AC149" s="330">
        <v>22</v>
      </c>
      <c r="AD149" s="334">
        <v>9904</v>
      </c>
      <c r="AE149" s="334">
        <v>45</v>
      </c>
      <c r="AF149" s="334">
        <v>160</v>
      </c>
      <c r="AG149" s="334">
        <v>205</v>
      </c>
    </row>
    <row r="150" spans="1:33" x14ac:dyDescent="0.25">
      <c r="A150" s="329" t="s">
        <v>356</v>
      </c>
      <c r="B150" s="335" t="s">
        <v>357</v>
      </c>
      <c r="C150" s="331">
        <v>8353</v>
      </c>
      <c r="D150" s="331">
        <v>13</v>
      </c>
      <c r="E150" s="331">
        <v>366</v>
      </c>
      <c r="F150" s="331">
        <v>939</v>
      </c>
      <c r="G150" s="331">
        <v>221</v>
      </c>
      <c r="H150" s="331">
        <v>9892</v>
      </c>
      <c r="I150" s="330">
        <v>9671</v>
      </c>
      <c r="J150" s="330">
        <v>7</v>
      </c>
      <c r="K150" s="332">
        <v>83.89</v>
      </c>
      <c r="L150" s="332">
        <v>88.98</v>
      </c>
      <c r="M150" s="332">
        <v>3.83</v>
      </c>
      <c r="N150" s="332">
        <v>84.66</v>
      </c>
      <c r="O150" s="333">
        <v>7939</v>
      </c>
      <c r="P150" s="330">
        <v>80.67</v>
      </c>
      <c r="Q150" s="330">
        <v>80.069999999999993</v>
      </c>
      <c r="R150" s="330">
        <v>24.54</v>
      </c>
      <c r="S150" s="330">
        <v>103.21</v>
      </c>
      <c r="T150" s="330">
        <v>1270</v>
      </c>
      <c r="U150" s="330">
        <v>99.45</v>
      </c>
      <c r="V150" s="330">
        <v>365</v>
      </c>
      <c r="W150" s="330">
        <v>0</v>
      </c>
      <c r="X150" s="330">
        <v>0</v>
      </c>
      <c r="Y150" s="330">
        <v>0</v>
      </c>
      <c r="Z150" s="330">
        <v>16</v>
      </c>
      <c r="AA150" s="330">
        <v>1</v>
      </c>
      <c r="AB150" s="330">
        <v>5</v>
      </c>
      <c r="AC150" s="330">
        <v>7</v>
      </c>
      <c r="AD150" s="334">
        <v>8345</v>
      </c>
      <c r="AE150" s="334">
        <v>50</v>
      </c>
      <c r="AF150" s="334">
        <v>123</v>
      </c>
      <c r="AG150" s="334">
        <v>173</v>
      </c>
    </row>
    <row r="151" spans="1:33" x14ac:dyDescent="0.25">
      <c r="A151" s="329" t="s">
        <v>358</v>
      </c>
      <c r="B151" s="335" t="s">
        <v>359</v>
      </c>
      <c r="C151" s="331">
        <v>5676</v>
      </c>
      <c r="D151" s="331">
        <v>0</v>
      </c>
      <c r="E151" s="331">
        <v>579</v>
      </c>
      <c r="F151" s="331">
        <v>2409</v>
      </c>
      <c r="G151" s="331">
        <v>404</v>
      </c>
      <c r="H151" s="331">
        <v>9068</v>
      </c>
      <c r="I151" s="330">
        <v>8664</v>
      </c>
      <c r="J151" s="330">
        <v>2</v>
      </c>
      <c r="K151" s="332">
        <v>79.849999999999994</v>
      </c>
      <c r="L151" s="332">
        <v>79.84</v>
      </c>
      <c r="M151" s="332">
        <v>6.35</v>
      </c>
      <c r="N151" s="332">
        <v>82.96</v>
      </c>
      <c r="O151" s="333">
        <v>5112</v>
      </c>
      <c r="P151" s="330">
        <v>79.81</v>
      </c>
      <c r="Q151" s="330">
        <v>78.95</v>
      </c>
      <c r="R151" s="330">
        <v>31.84</v>
      </c>
      <c r="S151" s="330">
        <v>111.52</v>
      </c>
      <c r="T151" s="330">
        <v>2639</v>
      </c>
      <c r="U151" s="330">
        <v>98.59</v>
      </c>
      <c r="V151" s="330">
        <v>339</v>
      </c>
      <c r="W151" s="330">
        <v>0</v>
      </c>
      <c r="X151" s="330">
        <v>0</v>
      </c>
      <c r="Y151" s="330">
        <v>0</v>
      </c>
      <c r="Z151" s="330">
        <v>6</v>
      </c>
      <c r="AA151" s="330">
        <v>63</v>
      </c>
      <c r="AB151" s="330">
        <v>1</v>
      </c>
      <c r="AC151" s="330">
        <v>2</v>
      </c>
      <c r="AD151" s="334">
        <v>5489</v>
      </c>
      <c r="AE151" s="334">
        <v>54</v>
      </c>
      <c r="AF151" s="334">
        <v>32</v>
      </c>
      <c r="AG151" s="334">
        <v>86</v>
      </c>
    </row>
    <row r="152" spans="1:33" x14ac:dyDescent="0.25">
      <c r="A152" s="329" t="s">
        <v>360</v>
      </c>
      <c r="B152" s="335" t="s">
        <v>361</v>
      </c>
      <c r="C152" s="331">
        <v>2079</v>
      </c>
      <c r="D152" s="331">
        <v>13</v>
      </c>
      <c r="E152" s="331">
        <v>299</v>
      </c>
      <c r="F152" s="331">
        <v>218</v>
      </c>
      <c r="G152" s="331">
        <v>283</v>
      </c>
      <c r="H152" s="331">
        <v>2892</v>
      </c>
      <c r="I152" s="330">
        <v>2609</v>
      </c>
      <c r="J152" s="330">
        <v>13</v>
      </c>
      <c r="K152" s="332">
        <v>129.21</v>
      </c>
      <c r="L152" s="332">
        <v>130.94999999999999</v>
      </c>
      <c r="M152" s="332">
        <v>9.1300000000000008</v>
      </c>
      <c r="N152" s="332">
        <v>136.97</v>
      </c>
      <c r="O152" s="333">
        <v>1581</v>
      </c>
      <c r="P152" s="330">
        <v>101.68</v>
      </c>
      <c r="Q152" s="330">
        <v>103.55</v>
      </c>
      <c r="R152" s="330">
        <v>31.28</v>
      </c>
      <c r="S152" s="330">
        <v>132.65</v>
      </c>
      <c r="T152" s="330">
        <v>303</v>
      </c>
      <c r="U152" s="330">
        <v>219.34</v>
      </c>
      <c r="V152" s="330">
        <v>234</v>
      </c>
      <c r="W152" s="330">
        <v>0</v>
      </c>
      <c r="X152" s="330">
        <v>0</v>
      </c>
      <c r="Y152" s="330">
        <v>0</v>
      </c>
      <c r="Z152" s="330">
        <v>1</v>
      </c>
      <c r="AA152" s="330">
        <v>0</v>
      </c>
      <c r="AB152" s="330">
        <v>37</v>
      </c>
      <c r="AC152" s="330">
        <v>15</v>
      </c>
      <c r="AD152" s="334">
        <v>1818</v>
      </c>
      <c r="AE152" s="334">
        <v>4</v>
      </c>
      <c r="AF152" s="334">
        <v>12</v>
      </c>
      <c r="AG152" s="334">
        <v>16</v>
      </c>
    </row>
    <row r="153" spans="1:33" x14ac:dyDescent="0.25">
      <c r="A153" s="329" t="s">
        <v>362</v>
      </c>
      <c r="B153" s="335" t="s">
        <v>363</v>
      </c>
      <c r="C153" s="331">
        <v>3786</v>
      </c>
      <c r="D153" s="331">
        <v>14</v>
      </c>
      <c r="E153" s="331">
        <v>360</v>
      </c>
      <c r="F153" s="331">
        <v>1515</v>
      </c>
      <c r="G153" s="331">
        <v>355</v>
      </c>
      <c r="H153" s="331">
        <v>6030</v>
      </c>
      <c r="I153" s="330">
        <v>5675</v>
      </c>
      <c r="J153" s="330">
        <v>26</v>
      </c>
      <c r="K153" s="332">
        <v>86.25</v>
      </c>
      <c r="L153" s="332">
        <v>85.18</v>
      </c>
      <c r="M153" s="332">
        <v>4.9800000000000004</v>
      </c>
      <c r="N153" s="332">
        <v>89.98</v>
      </c>
      <c r="O153" s="333">
        <v>3346</v>
      </c>
      <c r="P153" s="330">
        <v>76.66</v>
      </c>
      <c r="Q153" s="330">
        <v>73.95</v>
      </c>
      <c r="R153" s="330">
        <v>20.82</v>
      </c>
      <c r="S153" s="330">
        <v>96.63</v>
      </c>
      <c r="T153" s="330">
        <v>1704</v>
      </c>
      <c r="U153" s="330">
        <v>95.41</v>
      </c>
      <c r="V153" s="330">
        <v>257</v>
      </c>
      <c r="W153" s="330">
        <v>100.86</v>
      </c>
      <c r="X153" s="330">
        <v>18</v>
      </c>
      <c r="Y153" s="330">
        <v>29</v>
      </c>
      <c r="Z153" s="330">
        <v>6</v>
      </c>
      <c r="AA153" s="330">
        <v>9</v>
      </c>
      <c r="AB153" s="330">
        <v>3</v>
      </c>
      <c r="AC153" s="330">
        <v>6</v>
      </c>
      <c r="AD153" s="334">
        <v>3777</v>
      </c>
      <c r="AE153" s="334">
        <v>29</v>
      </c>
      <c r="AF153" s="334">
        <v>24</v>
      </c>
      <c r="AG153" s="334">
        <v>53</v>
      </c>
    </row>
    <row r="154" spans="1:33" x14ac:dyDescent="0.25">
      <c r="A154" s="329" t="s">
        <v>364</v>
      </c>
      <c r="B154" s="335" t="s">
        <v>365</v>
      </c>
      <c r="C154" s="331">
        <v>16351</v>
      </c>
      <c r="D154" s="331">
        <v>3</v>
      </c>
      <c r="E154" s="331">
        <v>675</v>
      </c>
      <c r="F154" s="331">
        <v>1370</v>
      </c>
      <c r="G154" s="331">
        <v>288</v>
      </c>
      <c r="H154" s="331">
        <v>18687</v>
      </c>
      <c r="I154" s="330">
        <v>18399</v>
      </c>
      <c r="J154" s="330">
        <v>1</v>
      </c>
      <c r="K154" s="332">
        <v>83.99</v>
      </c>
      <c r="L154" s="332">
        <v>82.11</v>
      </c>
      <c r="M154" s="332">
        <v>9.84</v>
      </c>
      <c r="N154" s="332">
        <v>86.5</v>
      </c>
      <c r="O154" s="333">
        <v>15405</v>
      </c>
      <c r="P154" s="330">
        <v>80.83</v>
      </c>
      <c r="Q154" s="330">
        <v>77.33</v>
      </c>
      <c r="R154" s="330">
        <v>23.75</v>
      </c>
      <c r="S154" s="330">
        <v>99.69</v>
      </c>
      <c r="T154" s="330">
        <v>1835</v>
      </c>
      <c r="U154" s="330">
        <v>109.4</v>
      </c>
      <c r="V154" s="330">
        <v>650</v>
      </c>
      <c r="W154" s="330">
        <v>144.01</v>
      </c>
      <c r="X154" s="330">
        <v>41</v>
      </c>
      <c r="Y154" s="330">
        <v>0</v>
      </c>
      <c r="Z154" s="330">
        <v>64</v>
      </c>
      <c r="AA154" s="330">
        <v>55</v>
      </c>
      <c r="AB154" s="330">
        <v>12</v>
      </c>
      <c r="AC154" s="330">
        <v>1</v>
      </c>
      <c r="AD154" s="334">
        <v>16101</v>
      </c>
      <c r="AE154" s="334">
        <v>213</v>
      </c>
      <c r="AF154" s="334">
        <v>127</v>
      </c>
      <c r="AG154" s="334">
        <v>340</v>
      </c>
    </row>
    <row r="155" spans="1:33" x14ac:dyDescent="0.25">
      <c r="A155" s="329" t="s">
        <v>366</v>
      </c>
      <c r="B155" s="335" t="s">
        <v>367</v>
      </c>
      <c r="C155" s="331">
        <v>20864</v>
      </c>
      <c r="D155" s="331">
        <v>53</v>
      </c>
      <c r="E155" s="331">
        <v>1794</v>
      </c>
      <c r="F155" s="331">
        <v>1344</v>
      </c>
      <c r="G155" s="331">
        <v>2047</v>
      </c>
      <c r="H155" s="331">
        <v>26102</v>
      </c>
      <c r="I155" s="330">
        <v>24055</v>
      </c>
      <c r="J155" s="330">
        <v>698</v>
      </c>
      <c r="K155" s="332">
        <v>116.9</v>
      </c>
      <c r="L155" s="332">
        <v>125.89</v>
      </c>
      <c r="M155" s="332">
        <v>12</v>
      </c>
      <c r="N155" s="332">
        <v>125.77</v>
      </c>
      <c r="O155" s="333">
        <v>17985</v>
      </c>
      <c r="P155" s="330">
        <v>107</v>
      </c>
      <c r="Q155" s="330">
        <v>108.88</v>
      </c>
      <c r="R155" s="330">
        <v>49.29</v>
      </c>
      <c r="S155" s="330">
        <v>153.22999999999999</v>
      </c>
      <c r="T155" s="330">
        <v>2697</v>
      </c>
      <c r="U155" s="330">
        <v>177.64</v>
      </c>
      <c r="V155" s="330">
        <v>669</v>
      </c>
      <c r="W155" s="330">
        <v>219.02</v>
      </c>
      <c r="X155" s="330">
        <v>6</v>
      </c>
      <c r="Y155" s="330">
        <v>6</v>
      </c>
      <c r="Z155" s="330">
        <v>35</v>
      </c>
      <c r="AA155" s="330">
        <v>15</v>
      </c>
      <c r="AB155" s="330">
        <v>169</v>
      </c>
      <c r="AC155" s="330">
        <v>109</v>
      </c>
      <c r="AD155" s="334">
        <v>18892</v>
      </c>
      <c r="AE155" s="334">
        <v>127</v>
      </c>
      <c r="AF155" s="334">
        <v>318</v>
      </c>
      <c r="AG155" s="334">
        <v>445</v>
      </c>
    </row>
    <row r="156" spans="1:33" x14ac:dyDescent="0.25">
      <c r="A156" s="329" t="s">
        <v>368</v>
      </c>
      <c r="B156" s="335" t="s">
        <v>369</v>
      </c>
      <c r="C156" s="331">
        <v>1645</v>
      </c>
      <c r="D156" s="331">
        <v>2</v>
      </c>
      <c r="E156" s="331">
        <v>304</v>
      </c>
      <c r="F156" s="331">
        <v>485</v>
      </c>
      <c r="G156" s="331">
        <v>314</v>
      </c>
      <c r="H156" s="331">
        <v>2750</v>
      </c>
      <c r="I156" s="330">
        <v>2436</v>
      </c>
      <c r="J156" s="330">
        <v>10</v>
      </c>
      <c r="K156" s="332">
        <v>83.88</v>
      </c>
      <c r="L156" s="332">
        <v>80.77</v>
      </c>
      <c r="M156" s="332">
        <v>5.1100000000000003</v>
      </c>
      <c r="N156" s="332">
        <v>88.2</v>
      </c>
      <c r="O156" s="333">
        <v>1353</v>
      </c>
      <c r="P156" s="330">
        <v>81.599999999999994</v>
      </c>
      <c r="Q156" s="330">
        <v>70.349999999999994</v>
      </c>
      <c r="R156" s="330">
        <v>42.42</v>
      </c>
      <c r="S156" s="330">
        <v>124.02</v>
      </c>
      <c r="T156" s="330">
        <v>709</v>
      </c>
      <c r="U156" s="330">
        <v>102.07</v>
      </c>
      <c r="V156" s="330">
        <v>242</v>
      </c>
      <c r="W156" s="330">
        <v>0</v>
      </c>
      <c r="X156" s="330">
        <v>0</v>
      </c>
      <c r="Y156" s="330">
        <v>0</v>
      </c>
      <c r="Z156" s="330">
        <v>0</v>
      </c>
      <c r="AA156" s="330">
        <v>8</v>
      </c>
      <c r="AB156" s="330">
        <v>9</v>
      </c>
      <c r="AC156" s="330">
        <v>6</v>
      </c>
      <c r="AD156" s="334">
        <v>1613</v>
      </c>
      <c r="AE156" s="334">
        <v>14</v>
      </c>
      <c r="AF156" s="334">
        <v>5</v>
      </c>
      <c r="AG156" s="334">
        <v>19</v>
      </c>
    </row>
    <row r="157" spans="1:33" x14ac:dyDescent="0.25">
      <c r="A157" s="329" t="s">
        <v>370</v>
      </c>
      <c r="B157" s="335" t="s">
        <v>371</v>
      </c>
      <c r="C157" s="331">
        <v>11945</v>
      </c>
      <c r="D157" s="331">
        <v>60</v>
      </c>
      <c r="E157" s="331">
        <v>1462</v>
      </c>
      <c r="F157" s="331">
        <v>3366</v>
      </c>
      <c r="G157" s="331">
        <v>1050</v>
      </c>
      <c r="H157" s="331">
        <v>17883</v>
      </c>
      <c r="I157" s="330">
        <v>16833</v>
      </c>
      <c r="J157" s="330">
        <v>15</v>
      </c>
      <c r="K157" s="332">
        <v>83.59</v>
      </c>
      <c r="L157" s="332">
        <v>84.89</v>
      </c>
      <c r="M157" s="332">
        <v>7.02</v>
      </c>
      <c r="N157" s="332">
        <v>87.84</v>
      </c>
      <c r="O157" s="333">
        <v>10460</v>
      </c>
      <c r="P157" s="330">
        <v>85.84</v>
      </c>
      <c r="Q157" s="330">
        <v>74.900000000000006</v>
      </c>
      <c r="R157" s="330">
        <v>37.36</v>
      </c>
      <c r="S157" s="330">
        <v>122.15</v>
      </c>
      <c r="T157" s="330">
        <v>3893</v>
      </c>
      <c r="U157" s="330">
        <v>103.65</v>
      </c>
      <c r="V157" s="330">
        <v>684</v>
      </c>
      <c r="W157" s="330">
        <v>89.08</v>
      </c>
      <c r="X157" s="330">
        <v>31</v>
      </c>
      <c r="Y157" s="330">
        <v>0</v>
      </c>
      <c r="Z157" s="330">
        <v>11</v>
      </c>
      <c r="AA157" s="330">
        <v>8</v>
      </c>
      <c r="AB157" s="330">
        <v>41</v>
      </c>
      <c r="AC157" s="330">
        <v>18</v>
      </c>
      <c r="AD157" s="334">
        <v>11566</v>
      </c>
      <c r="AE157" s="334">
        <v>96</v>
      </c>
      <c r="AF157" s="334">
        <v>42</v>
      </c>
      <c r="AG157" s="334">
        <v>138</v>
      </c>
    </row>
    <row r="158" spans="1:33" x14ac:dyDescent="0.25">
      <c r="A158" s="329" t="s">
        <v>372</v>
      </c>
      <c r="B158" s="335" t="s">
        <v>373</v>
      </c>
      <c r="C158" s="331">
        <v>8811</v>
      </c>
      <c r="D158" s="331">
        <v>0</v>
      </c>
      <c r="E158" s="331">
        <v>819</v>
      </c>
      <c r="F158" s="331">
        <v>977</v>
      </c>
      <c r="G158" s="331">
        <v>597</v>
      </c>
      <c r="H158" s="331">
        <v>11204</v>
      </c>
      <c r="I158" s="330">
        <v>10607</v>
      </c>
      <c r="J158" s="330">
        <v>107</v>
      </c>
      <c r="K158" s="332">
        <v>83.48</v>
      </c>
      <c r="L158" s="332">
        <v>82.77</v>
      </c>
      <c r="M158" s="332">
        <v>7.94</v>
      </c>
      <c r="N158" s="332">
        <v>88.47</v>
      </c>
      <c r="O158" s="333">
        <v>7608</v>
      </c>
      <c r="P158" s="330">
        <v>80.02</v>
      </c>
      <c r="Q158" s="330">
        <v>74.03</v>
      </c>
      <c r="R158" s="330">
        <v>52.42</v>
      </c>
      <c r="S158" s="330">
        <v>131.29</v>
      </c>
      <c r="T158" s="330">
        <v>1457</v>
      </c>
      <c r="U158" s="330">
        <v>107.19</v>
      </c>
      <c r="V158" s="330">
        <v>347</v>
      </c>
      <c r="W158" s="330">
        <v>123.98</v>
      </c>
      <c r="X158" s="330">
        <v>62</v>
      </c>
      <c r="Y158" s="330">
        <v>1</v>
      </c>
      <c r="Z158" s="330">
        <v>2</v>
      </c>
      <c r="AA158" s="330">
        <v>20</v>
      </c>
      <c r="AB158" s="330">
        <v>5</v>
      </c>
      <c r="AC158" s="330">
        <v>27</v>
      </c>
      <c r="AD158" s="334">
        <v>8081</v>
      </c>
      <c r="AE158" s="334">
        <v>69</v>
      </c>
      <c r="AF158" s="334">
        <v>52</v>
      </c>
      <c r="AG158" s="334">
        <v>121</v>
      </c>
    </row>
    <row r="159" spans="1:33" x14ac:dyDescent="0.25">
      <c r="A159" s="329" t="s">
        <v>374</v>
      </c>
      <c r="B159" s="335" t="s">
        <v>375</v>
      </c>
      <c r="C159" s="331">
        <v>993</v>
      </c>
      <c r="D159" s="331">
        <v>0</v>
      </c>
      <c r="E159" s="331">
        <v>152</v>
      </c>
      <c r="F159" s="331">
        <v>432</v>
      </c>
      <c r="G159" s="331">
        <v>263</v>
      </c>
      <c r="H159" s="331">
        <v>1840</v>
      </c>
      <c r="I159" s="330">
        <v>1577</v>
      </c>
      <c r="J159" s="330">
        <v>0</v>
      </c>
      <c r="K159" s="332">
        <v>94.56</v>
      </c>
      <c r="L159" s="332">
        <v>94.74</v>
      </c>
      <c r="M159" s="332">
        <v>7.22</v>
      </c>
      <c r="N159" s="332">
        <v>100.96</v>
      </c>
      <c r="O159" s="333">
        <v>881</v>
      </c>
      <c r="P159" s="330">
        <v>79.78</v>
      </c>
      <c r="Q159" s="330">
        <v>76.760000000000005</v>
      </c>
      <c r="R159" s="330">
        <v>37.49</v>
      </c>
      <c r="S159" s="330">
        <v>116.89</v>
      </c>
      <c r="T159" s="330">
        <v>292</v>
      </c>
      <c r="U159" s="330">
        <v>148.96</v>
      </c>
      <c r="V159" s="330">
        <v>88</v>
      </c>
      <c r="W159" s="330">
        <v>131.30000000000001</v>
      </c>
      <c r="X159" s="330">
        <v>9</v>
      </c>
      <c r="Y159" s="330">
        <v>0</v>
      </c>
      <c r="Z159" s="330">
        <v>0</v>
      </c>
      <c r="AA159" s="330">
        <v>1</v>
      </c>
      <c r="AB159" s="330">
        <v>5</v>
      </c>
      <c r="AC159" s="330">
        <v>2</v>
      </c>
      <c r="AD159" s="334">
        <v>981</v>
      </c>
      <c r="AE159" s="334">
        <v>4</v>
      </c>
      <c r="AF159" s="334">
        <v>3</v>
      </c>
      <c r="AG159" s="334">
        <v>7</v>
      </c>
    </row>
    <row r="160" spans="1:33" x14ac:dyDescent="0.25">
      <c r="A160" s="329" t="s">
        <v>376</v>
      </c>
      <c r="B160" s="335" t="s">
        <v>377</v>
      </c>
      <c r="C160" s="331">
        <v>20364</v>
      </c>
      <c r="D160" s="331">
        <v>175</v>
      </c>
      <c r="E160" s="331">
        <v>1288</v>
      </c>
      <c r="F160" s="331">
        <v>681</v>
      </c>
      <c r="G160" s="331">
        <v>1381</v>
      </c>
      <c r="H160" s="331">
        <v>23889</v>
      </c>
      <c r="I160" s="330">
        <v>22508</v>
      </c>
      <c r="J160" s="330">
        <v>23</v>
      </c>
      <c r="K160" s="332">
        <v>109.01</v>
      </c>
      <c r="L160" s="332">
        <v>112.13</v>
      </c>
      <c r="M160" s="332">
        <v>6.92</v>
      </c>
      <c r="N160" s="332">
        <v>112.69</v>
      </c>
      <c r="O160" s="333">
        <v>18421</v>
      </c>
      <c r="P160" s="330">
        <v>106.35</v>
      </c>
      <c r="Q160" s="330">
        <v>108.19</v>
      </c>
      <c r="R160" s="330">
        <v>53.48</v>
      </c>
      <c r="S160" s="330">
        <v>155.19</v>
      </c>
      <c r="T160" s="330">
        <v>1669</v>
      </c>
      <c r="U160" s="330">
        <v>158.22</v>
      </c>
      <c r="V160" s="330">
        <v>787</v>
      </c>
      <c r="W160" s="330">
        <v>267.32</v>
      </c>
      <c r="X160" s="330">
        <v>44</v>
      </c>
      <c r="Y160" s="330">
        <v>7</v>
      </c>
      <c r="Z160" s="330">
        <v>80</v>
      </c>
      <c r="AA160" s="330">
        <v>17</v>
      </c>
      <c r="AB160" s="330">
        <v>99</v>
      </c>
      <c r="AC160" s="330">
        <v>69</v>
      </c>
      <c r="AD160" s="334">
        <v>19436</v>
      </c>
      <c r="AE160" s="334">
        <v>75</v>
      </c>
      <c r="AF160" s="334">
        <v>64</v>
      </c>
      <c r="AG160" s="334">
        <v>139</v>
      </c>
    </row>
    <row r="161" spans="1:33" x14ac:dyDescent="0.25">
      <c r="A161" s="329" t="s">
        <v>378</v>
      </c>
      <c r="B161" s="335" t="s">
        <v>379</v>
      </c>
      <c r="C161" s="331">
        <v>5271</v>
      </c>
      <c r="D161" s="331">
        <v>17</v>
      </c>
      <c r="E161" s="331">
        <v>148</v>
      </c>
      <c r="F161" s="331">
        <v>269</v>
      </c>
      <c r="G161" s="331">
        <v>194</v>
      </c>
      <c r="H161" s="331">
        <v>5899</v>
      </c>
      <c r="I161" s="330">
        <v>5705</v>
      </c>
      <c r="J161" s="330">
        <v>0</v>
      </c>
      <c r="K161" s="332">
        <v>88.43</v>
      </c>
      <c r="L161" s="332">
        <v>85.17</v>
      </c>
      <c r="M161" s="332">
        <v>2.74</v>
      </c>
      <c r="N161" s="332">
        <v>90.51</v>
      </c>
      <c r="O161" s="333">
        <v>4986</v>
      </c>
      <c r="P161" s="330">
        <v>90.68</v>
      </c>
      <c r="Q161" s="330">
        <v>89.63</v>
      </c>
      <c r="R161" s="330">
        <v>35</v>
      </c>
      <c r="S161" s="330">
        <v>124.5</v>
      </c>
      <c r="T161" s="330">
        <v>417</v>
      </c>
      <c r="U161" s="330">
        <v>108.59</v>
      </c>
      <c r="V161" s="330">
        <v>273</v>
      </c>
      <c r="W161" s="330">
        <v>0</v>
      </c>
      <c r="X161" s="330">
        <v>0</v>
      </c>
      <c r="Y161" s="330">
        <v>0</v>
      </c>
      <c r="Z161" s="330">
        <v>14</v>
      </c>
      <c r="AA161" s="330">
        <v>15</v>
      </c>
      <c r="AB161" s="330">
        <v>4</v>
      </c>
      <c r="AC161" s="330">
        <v>8</v>
      </c>
      <c r="AD161" s="334">
        <v>5269</v>
      </c>
      <c r="AE161" s="334">
        <v>11</v>
      </c>
      <c r="AF161" s="334">
        <v>4</v>
      </c>
      <c r="AG161" s="334">
        <v>15</v>
      </c>
    </row>
    <row r="162" spans="1:33" x14ac:dyDescent="0.25">
      <c r="A162" s="329" t="s">
        <v>380</v>
      </c>
      <c r="B162" s="335" t="s">
        <v>381</v>
      </c>
      <c r="C162" s="331">
        <v>1233</v>
      </c>
      <c r="D162" s="331">
        <v>0</v>
      </c>
      <c r="E162" s="331">
        <v>432</v>
      </c>
      <c r="F162" s="331">
        <v>182</v>
      </c>
      <c r="G162" s="331">
        <v>220</v>
      </c>
      <c r="H162" s="331">
        <v>2067</v>
      </c>
      <c r="I162" s="330">
        <v>1847</v>
      </c>
      <c r="J162" s="330">
        <v>0</v>
      </c>
      <c r="K162" s="332">
        <v>80.930000000000007</v>
      </c>
      <c r="L162" s="332">
        <v>80.099999999999994</v>
      </c>
      <c r="M162" s="332">
        <v>6.34</v>
      </c>
      <c r="N162" s="332">
        <v>86.33</v>
      </c>
      <c r="O162" s="333">
        <v>1058</v>
      </c>
      <c r="P162" s="330">
        <v>87.21</v>
      </c>
      <c r="Q162" s="330">
        <v>81.83</v>
      </c>
      <c r="R162" s="330">
        <v>46.32</v>
      </c>
      <c r="S162" s="330">
        <v>133.53</v>
      </c>
      <c r="T162" s="330">
        <v>202</v>
      </c>
      <c r="U162" s="330">
        <v>98.15</v>
      </c>
      <c r="V162" s="330">
        <v>97</v>
      </c>
      <c r="W162" s="330">
        <v>0</v>
      </c>
      <c r="X162" s="330">
        <v>0</v>
      </c>
      <c r="Y162" s="330">
        <v>0</v>
      </c>
      <c r="Z162" s="330">
        <v>1</v>
      </c>
      <c r="AA162" s="330">
        <v>9</v>
      </c>
      <c r="AB162" s="330">
        <v>11</v>
      </c>
      <c r="AC162" s="330">
        <v>5</v>
      </c>
      <c r="AD162" s="334">
        <v>1204</v>
      </c>
      <c r="AE162" s="334">
        <v>7</v>
      </c>
      <c r="AF162" s="334">
        <v>8</v>
      </c>
      <c r="AG162" s="334">
        <v>15</v>
      </c>
    </row>
    <row r="163" spans="1:33" x14ac:dyDescent="0.25">
      <c r="A163" s="329" t="s">
        <v>382</v>
      </c>
      <c r="B163" s="335" t="s">
        <v>383</v>
      </c>
      <c r="C163" s="331">
        <v>52560</v>
      </c>
      <c r="D163" s="331">
        <v>2</v>
      </c>
      <c r="E163" s="331">
        <v>2178</v>
      </c>
      <c r="F163" s="331">
        <v>3816</v>
      </c>
      <c r="G163" s="331">
        <v>707</v>
      </c>
      <c r="H163" s="331">
        <v>59263</v>
      </c>
      <c r="I163" s="330">
        <v>58556</v>
      </c>
      <c r="J163" s="330">
        <v>88</v>
      </c>
      <c r="K163" s="332">
        <v>83.7</v>
      </c>
      <c r="L163" s="332">
        <v>84.82</v>
      </c>
      <c r="M163" s="332">
        <v>7.87</v>
      </c>
      <c r="N163" s="332">
        <v>85.74</v>
      </c>
      <c r="O163" s="333">
        <v>46525</v>
      </c>
      <c r="P163" s="330">
        <v>79.75</v>
      </c>
      <c r="Q163" s="330">
        <v>77.569999999999993</v>
      </c>
      <c r="R163" s="330">
        <v>39.369999999999997</v>
      </c>
      <c r="S163" s="330">
        <v>116.5</v>
      </c>
      <c r="T163" s="330">
        <v>5132</v>
      </c>
      <c r="U163" s="330">
        <v>101.06</v>
      </c>
      <c r="V163" s="330">
        <v>3340</v>
      </c>
      <c r="W163" s="330">
        <v>141.74</v>
      </c>
      <c r="X163" s="330">
        <v>22</v>
      </c>
      <c r="Y163" s="330">
        <v>30</v>
      </c>
      <c r="Z163" s="330">
        <v>237</v>
      </c>
      <c r="AA163" s="330">
        <v>168</v>
      </c>
      <c r="AB163" s="330">
        <v>47</v>
      </c>
      <c r="AC163" s="330">
        <v>13</v>
      </c>
      <c r="AD163" s="334">
        <v>50095</v>
      </c>
      <c r="AE163" s="334">
        <v>373</v>
      </c>
      <c r="AF163" s="334">
        <v>631</v>
      </c>
      <c r="AG163" s="334">
        <v>1004</v>
      </c>
    </row>
    <row r="164" spans="1:33" x14ac:dyDescent="0.25">
      <c r="A164" s="329" t="s">
        <v>384</v>
      </c>
      <c r="B164" s="335" t="s">
        <v>385</v>
      </c>
      <c r="C164" s="331">
        <v>3483</v>
      </c>
      <c r="D164" s="331">
        <v>0</v>
      </c>
      <c r="E164" s="331">
        <v>326</v>
      </c>
      <c r="F164" s="331">
        <v>342</v>
      </c>
      <c r="G164" s="331">
        <v>313</v>
      </c>
      <c r="H164" s="331">
        <v>4464</v>
      </c>
      <c r="I164" s="330">
        <v>4151</v>
      </c>
      <c r="J164" s="330">
        <v>4</v>
      </c>
      <c r="K164" s="332">
        <v>101.04</v>
      </c>
      <c r="L164" s="332">
        <v>100.05</v>
      </c>
      <c r="M164" s="332">
        <v>6.46</v>
      </c>
      <c r="N164" s="332">
        <v>105.7</v>
      </c>
      <c r="O164" s="333">
        <v>2868</v>
      </c>
      <c r="P164" s="330">
        <v>97.19</v>
      </c>
      <c r="Q164" s="330">
        <v>93.2</v>
      </c>
      <c r="R164" s="330">
        <v>38.729999999999997</v>
      </c>
      <c r="S164" s="330">
        <v>134.87</v>
      </c>
      <c r="T164" s="330">
        <v>441</v>
      </c>
      <c r="U164" s="330">
        <v>122.16</v>
      </c>
      <c r="V164" s="330">
        <v>189</v>
      </c>
      <c r="W164" s="330">
        <v>0</v>
      </c>
      <c r="X164" s="330">
        <v>0</v>
      </c>
      <c r="Y164" s="330">
        <v>0</v>
      </c>
      <c r="Z164" s="330">
        <v>3</v>
      </c>
      <c r="AA164" s="330">
        <v>0</v>
      </c>
      <c r="AB164" s="330">
        <v>30</v>
      </c>
      <c r="AC164" s="330">
        <v>13</v>
      </c>
      <c r="AD164" s="334">
        <v>3122</v>
      </c>
      <c r="AE164" s="334">
        <v>3</v>
      </c>
      <c r="AF164" s="334">
        <v>1</v>
      </c>
      <c r="AG164" s="334">
        <v>4</v>
      </c>
    </row>
    <row r="165" spans="1:33" x14ac:dyDescent="0.25">
      <c r="A165" s="329" t="s">
        <v>386</v>
      </c>
      <c r="B165" s="335" t="s">
        <v>387</v>
      </c>
      <c r="C165" s="331">
        <v>7272</v>
      </c>
      <c r="D165" s="331">
        <v>0</v>
      </c>
      <c r="E165" s="331">
        <v>222</v>
      </c>
      <c r="F165" s="331">
        <v>1147</v>
      </c>
      <c r="G165" s="331">
        <v>663</v>
      </c>
      <c r="H165" s="331">
        <v>9304</v>
      </c>
      <c r="I165" s="330">
        <v>8641</v>
      </c>
      <c r="J165" s="330">
        <v>3</v>
      </c>
      <c r="K165" s="332">
        <v>95.96</v>
      </c>
      <c r="L165" s="332">
        <v>95.93</v>
      </c>
      <c r="M165" s="332">
        <v>4.3499999999999996</v>
      </c>
      <c r="N165" s="332">
        <v>99.33</v>
      </c>
      <c r="O165" s="333">
        <v>6177</v>
      </c>
      <c r="P165" s="330">
        <v>84.89</v>
      </c>
      <c r="Q165" s="330">
        <v>84.28</v>
      </c>
      <c r="R165" s="330">
        <v>14.14</v>
      </c>
      <c r="S165" s="330">
        <v>98.83</v>
      </c>
      <c r="T165" s="330">
        <v>1230</v>
      </c>
      <c r="U165" s="330">
        <v>152.68</v>
      </c>
      <c r="V165" s="330">
        <v>680</v>
      </c>
      <c r="W165" s="330">
        <v>208.1</v>
      </c>
      <c r="X165" s="330">
        <v>63</v>
      </c>
      <c r="Y165" s="330">
        <v>0</v>
      </c>
      <c r="Z165" s="330">
        <v>14</v>
      </c>
      <c r="AA165" s="330">
        <v>4</v>
      </c>
      <c r="AB165" s="330">
        <v>40</v>
      </c>
      <c r="AC165" s="330">
        <v>29</v>
      </c>
      <c r="AD165" s="334">
        <v>6993</v>
      </c>
      <c r="AE165" s="334">
        <v>32</v>
      </c>
      <c r="AF165" s="334">
        <v>21</v>
      </c>
      <c r="AG165" s="334">
        <v>53</v>
      </c>
    </row>
    <row r="166" spans="1:33" x14ac:dyDescent="0.25">
      <c r="A166" s="329" t="s">
        <v>388</v>
      </c>
      <c r="B166" s="335" t="s">
        <v>389</v>
      </c>
      <c r="C166" s="331">
        <v>2122</v>
      </c>
      <c r="D166" s="331">
        <v>0</v>
      </c>
      <c r="E166" s="331">
        <v>34</v>
      </c>
      <c r="F166" s="331">
        <v>811</v>
      </c>
      <c r="G166" s="331">
        <v>54</v>
      </c>
      <c r="H166" s="331">
        <v>3021</v>
      </c>
      <c r="I166" s="330">
        <v>2967</v>
      </c>
      <c r="J166" s="330">
        <v>0</v>
      </c>
      <c r="K166" s="332">
        <v>103.37</v>
      </c>
      <c r="L166" s="332">
        <v>102.59</v>
      </c>
      <c r="M166" s="332">
        <v>4.32</v>
      </c>
      <c r="N166" s="332">
        <v>106.31</v>
      </c>
      <c r="O166" s="333">
        <v>1981</v>
      </c>
      <c r="P166" s="330">
        <v>85.82</v>
      </c>
      <c r="Q166" s="330">
        <v>85.45</v>
      </c>
      <c r="R166" s="330">
        <v>12.14</v>
      </c>
      <c r="S166" s="330">
        <v>97.88</v>
      </c>
      <c r="T166" s="330">
        <v>765</v>
      </c>
      <c r="U166" s="330">
        <v>130.96</v>
      </c>
      <c r="V166" s="330">
        <v>131</v>
      </c>
      <c r="W166" s="330">
        <v>113.73</v>
      </c>
      <c r="X166" s="330">
        <v>1</v>
      </c>
      <c r="Y166" s="330">
        <v>0</v>
      </c>
      <c r="Z166" s="330">
        <v>9</v>
      </c>
      <c r="AA166" s="330">
        <v>1</v>
      </c>
      <c r="AB166" s="330">
        <v>1</v>
      </c>
      <c r="AC166" s="330">
        <v>2</v>
      </c>
      <c r="AD166" s="334">
        <v>2122</v>
      </c>
      <c r="AE166" s="334">
        <v>11</v>
      </c>
      <c r="AF166" s="334">
        <v>21</v>
      </c>
      <c r="AG166" s="334">
        <v>32</v>
      </c>
    </row>
    <row r="167" spans="1:33" x14ac:dyDescent="0.25">
      <c r="A167" s="329" t="s">
        <v>390</v>
      </c>
      <c r="B167" s="335" t="s">
        <v>391</v>
      </c>
      <c r="C167" s="331">
        <v>3915</v>
      </c>
      <c r="D167" s="331">
        <v>0</v>
      </c>
      <c r="E167" s="331">
        <v>67</v>
      </c>
      <c r="F167" s="331">
        <v>680</v>
      </c>
      <c r="G167" s="331">
        <v>351</v>
      </c>
      <c r="H167" s="331">
        <v>5013</v>
      </c>
      <c r="I167" s="330">
        <v>4662</v>
      </c>
      <c r="J167" s="330">
        <v>0</v>
      </c>
      <c r="K167" s="332">
        <v>96.58</v>
      </c>
      <c r="L167" s="332">
        <v>96.63</v>
      </c>
      <c r="M167" s="332">
        <v>3.44</v>
      </c>
      <c r="N167" s="332">
        <v>99.64</v>
      </c>
      <c r="O167" s="333">
        <v>3702</v>
      </c>
      <c r="P167" s="330">
        <v>87.39</v>
      </c>
      <c r="Q167" s="330">
        <v>88.88</v>
      </c>
      <c r="R167" s="330">
        <v>25.8</v>
      </c>
      <c r="S167" s="330">
        <v>113.08</v>
      </c>
      <c r="T167" s="330">
        <v>702</v>
      </c>
      <c r="U167" s="330">
        <v>111.7</v>
      </c>
      <c r="V167" s="330">
        <v>139</v>
      </c>
      <c r="W167" s="330">
        <v>156.06</v>
      </c>
      <c r="X167" s="330">
        <v>45</v>
      </c>
      <c r="Y167" s="330">
        <v>0</v>
      </c>
      <c r="Z167" s="330">
        <v>5</v>
      </c>
      <c r="AA167" s="330">
        <v>3</v>
      </c>
      <c r="AB167" s="330">
        <v>32</v>
      </c>
      <c r="AC167" s="330">
        <v>4</v>
      </c>
      <c r="AD167" s="334">
        <v>3914</v>
      </c>
      <c r="AE167" s="334">
        <v>18</v>
      </c>
      <c r="AF167" s="334">
        <v>57</v>
      </c>
      <c r="AG167" s="334">
        <v>75</v>
      </c>
    </row>
    <row r="168" spans="1:33" x14ac:dyDescent="0.25">
      <c r="A168" s="329" t="s">
        <v>392</v>
      </c>
      <c r="B168" s="335" t="s">
        <v>393</v>
      </c>
      <c r="C168" s="331">
        <v>46835</v>
      </c>
      <c r="D168" s="331">
        <v>68</v>
      </c>
      <c r="E168" s="331">
        <v>1579</v>
      </c>
      <c r="F168" s="331">
        <v>3219</v>
      </c>
      <c r="G168" s="331">
        <v>1092</v>
      </c>
      <c r="H168" s="331">
        <v>52793</v>
      </c>
      <c r="I168" s="330">
        <v>51701</v>
      </c>
      <c r="J168" s="330">
        <v>196</v>
      </c>
      <c r="K168" s="332">
        <v>81.13</v>
      </c>
      <c r="L168" s="332">
        <v>82.84</v>
      </c>
      <c r="M168" s="332">
        <v>4.5999999999999996</v>
      </c>
      <c r="N168" s="332">
        <v>82.76</v>
      </c>
      <c r="O168" s="333">
        <v>43604</v>
      </c>
      <c r="P168" s="330">
        <v>79.52</v>
      </c>
      <c r="Q168" s="330">
        <v>73.849999999999994</v>
      </c>
      <c r="R168" s="330">
        <v>41.74</v>
      </c>
      <c r="S168" s="330">
        <v>118.39</v>
      </c>
      <c r="T168" s="330">
        <v>4184</v>
      </c>
      <c r="U168" s="330">
        <v>103.91</v>
      </c>
      <c r="V168" s="330">
        <v>1576</v>
      </c>
      <c r="W168" s="330">
        <v>134.22</v>
      </c>
      <c r="X168" s="330">
        <v>1</v>
      </c>
      <c r="Y168" s="330">
        <v>117</v>
      </c>
      <c r="Z168" s="330">
        <v>240</v>
      </c>
      <c r="AA168" s="330">
        <v>61</v>
      </c>
      <c r="AB168" s="330">
        <v>14</v>
      </c>
      <c r="AC168" s="330">
        <v>35</v>
      </c>
      <c r="AD168" s="334">
        <v>45224</v>
      </c>
      <c r="AE168" s="334">
        <v>123</v>
      </c>
      <c r="AF168" s="334">
        <v>262</v>
      </c>
      <c r="AG168" s="334">
        <v>385</v>
      </c>
    </row>
    <row r="169" spans="1:33" x14ac:dyDescent="0.25">
      <c r="A169" s="329" t="s">
        <v>394</v>
      </c>
      <c r="B169" s="335" t="s">
        <v>395</v>
      </c>
      <c r="C169" s="331">
        <v>1709</v>
      </c>
      <c r="D169" s="331">
        <v>0</v>
      </c>
      <c r="E169" s="331">
        <v>357</v>
      </c>
      <c r="F169" s="331">
        <v>260</v>
      </c>
      <c r="G169" s="331">
        <v>129</v>
      </c>
      <c r="H169" s="331">
        <v>2455</v>
      </c>
      <c r="I169" s="330">
        <v>2326</v>
      </c>
      <c r="J169" s="330">
        <v>96</v>
      </c>
      <c r="K169" s="332">
        <v>81.849999999999994</v>
      </c>
      <c r="L169" s="332">
        <v>80.17</v>
      </c>
      <c r="M169" s="332">
        <v>5.86</v>
      </c>
      <c r="N169" s="332">
        <v>84.53</v>
      </c>
      <c r="O169" s="333">
        <v>1680</v>
      </c>
      <c r="P169" s="330">
        <v>96.1</v>
      </c>
      <c r="Q169" s="330">
        <v>71.34</v>
      </c>
      <c r="R169" s="330">
        <v>48.5</v>
      </c>
      <c r="S169" s="330">
        <v>144.44999999999999</v>
      </c>
      <c r="T169" s="330">
        <v>343</v>
      </c>
      <c r="U169" s="330">
        <v>93.32</v>
      </c>
      <c r="V169" s="330">
        <v>20</v>
      </c>
      <c r="W169" s="330">
        <v>0</v>
      </c>
      <c r="X169" s="330">
        <v>0</v>
      </c>
      <c r="Y169" s="330">
        <v>0</v>
      </c>
      <c r="Z169" s="330">
        <v>0</v>
      </c>
      <c r="AA169" s="330">
        <v>1</v>
      </c>
      <c r="AB169" s="330">
        <v>5</v>
      </c>
      <c r="AC169" s="330">
        <v>1</v>
      </c>
      <c r="AD169" s="334">
        <v>1709</v>
      </c>
      <c r="AE169" s="334">
        <v>9</v>
      </c>
      <c r="AF169" s="334">
        <v>19</v>
      </c>
      <c r="AG169" s="334">
        <v>28</v>
      </c>
    </row>
    <row r="170" spans="1:33" x14ac:dyDescent="0.25">
      <c r="A170" s="329" t="s">
        <v>396</v>
      </c>
      <c r="B170" s="335" t="s">
        <v>397</v>
      </c>
      <c r="C170" s="331">
        <v>3742</v>
      </c>
      <c r="D170" s="331">
        <v>0</v>
      </c>
      <c r="E170" s="331">
        <v>302</v>
      </c>
      <c r="F170" s="331">
        <v>822</v>
      </c>
      <c r="G170" s="331">
        <v>1129</v>
      </c>
      <c r="H170" s="331">
        <v>5995</v>
      </c>
      <c r="I170" s="330">
        <v>4866</v>
      </c>
      <c r="J170" s="330">
        <v>2</v>
      </c>
      <c r="K170" s="332">
        <v>101.42</v>
      </c>
      <c r="L170" s="332">
        <v>99.34</v>
      </c>
      <c r="M170" s="332">
        <v>6.74</v>
      </c>
      <c r="N170" s="332">
        <v>106.86</v>
      </c>
      <c r="O170" s="333">
        <v>2965</v>
      </c>
      <c r="P170" s="330">
        <v>85.88</v>
      </c>
      <c r="Q170" s="330">
        <v>82.18</v>
      </c>
      <c r="R170" s="330">
        <v>32.229999999999997</v>
      </c>
      <c r="S170" s="330">
        <v>117.75</v>
      </c>
      <c r="T170" s="330">
        <v>886</v>
      </c>
      <c r="U170" s="330">
        <v>125.18</v>
      </c>
      <c r="V170" s="330">
        <v>367</v>
      </c>
      <c r="W170" s="330">
        <v>159.06</v>
      </c>
      <c r="X170" s="330">
        <v>61</v>
      </c>
      <c r="Y170" s="330">
        <v>0</v>
      </c>
      <c r="Z170" s="330">
        <v>1</v>
      </c>
      <c r="AA170" s="330">
        <v>2</v>
      </c>
      <c r="AB170" s="330">
        <v>12</v>
      </c>
      <c r="AC170" s="330">
        <v>25</v>
      </c>
      <c r="AD170" s="334">
        <v>3451</v>
      </c>
      <c r="AE170" s="334">
        <v>11</v>
      </c>
      <c r="AF170" s="334">
        <v>24</v>
      </c>
      <c r="AG170" s="334">
        <v>35</v>
      </c>
    </row>
    <row r="171" spans="1:33" x14ac:dyDescent="0.25">
      <c r="A171" s="329" t="s">
        <v>398</v>
      </c>
      <c r="B171" s="335" t="s">
        <v>399</v>
      </c>
      <c r="C171" s="331">
        <v>469</v>
      </c>
      <c r="D171" s="331">
        <v>0</v>
      </c>
      <c r="E171" s="331">
        <v>67</v>
      </c>
      <c r="F171" s="331">
        <v>79</v>
      </c>
      <c r="G171" s="331">
        <v>154</v>
      </c>
      <c r="H171" s="331">
        <v>769</v>
      </c>
      <c r="I171" s="330">
        <v>615</v>
      </c>
      <c r="J171" s="330">
        <v>7</v>
      </c>
      <c r="K171" s="332">
        <v>91.65</v>
      </c>
      <c r="L171" s="332">
        <v>89.9</v>
      </c>
      <c r="M171" s="332">
        <v>2.77</v>
      </c>
      <c r="N171" s="332">
        <v>93.69</v>
      </c>
      <c r="O171" s="333">
        <v>408</v>
      </c>
      <c r="P171" s="330">
        <v>78.099999999999994</v>
      </c>
      <c r="Q171" s="330">
        <v>77.2</v>
      </c>
      <c r="R171" s="330">
        <v>36.72</v>
      </c>
      <c r="S171" s="330">
        <v>114.82</v>
      </c>
      <c r="T171" s="330">
        <v>145</v>
      </c>
      <c r="U171" s="330">
        <v>101.15</v>
      </c>
      <c r="V171" s="330">
        <v>44</v>
      </c>
      <c r="W171" s="330">
        <v>0</v>
      </c>
      <c r="X171" s="330">
        <v>0</v>
      </c>
      <c r="Y171" s="330">
        <v>0</v>
      </c>
      <c r="Z171" s="330">
        <v>1</v>
      </c>
      <c r="AA171" s="330">
        <v>0</v>
      </c>
      <c r="AB171" s="330">
        <v>0</v>
      </c>
      <c r="AC171" s="330">
        <v>3</v>
      </c>
      <c r="AD171" s="334">
        <v>468</v>
      </c>
      <c r="AE171" s="334">
        <v>1</v>
      </c>
      <c r="AF171" s="334">
        <v>0</v>
      </c>
      <c r="AG171" s="334">
        <v>1</v>
      </c>
    </row>
    <row r="172" spans="1:33" x14ac:dyDescent="0.25">
      <c r="A172" s="329" t="s">
        <v>400</v>
      </c>
      <c r="B172" s="335" t="s">
        <v>401</v>
      </c>
      <c r="C172" s="331">
        <v>4939</v>
      </c>
      <c r="D172" s="331">
        <v>0</v>
      </c>
      <c r="E172" s="331">
        <v>282</v>
      </c>
      <c r="F172" s="331">
        <v>1028</v>
      </c>
      <c r="G172" s="331">
        <v>329</v>
      </c>
      <c r="H172" s="331">
        <v>6578</v>
      </c>
      <c r="I172" s="330">
        <v>6249</v>
      </c>
      <c r="J172" s="330">
        <v>13</v>
      </c>
      <c r="K172" s="332">
        <v>93.38</v>
      </c>
      <c r="L172" s="332">
        <v>92.45</v>
      </c>
      <c r="M172" s="332">
        <v>4.0999999999999996</v>
      </c>
      <c r="N172" s="332">
        <v>94.87</v>
      </c>
      <c r="O172" s="333">
        <v>4174</v>
      </c>
      <c r="P172" s="330">
        <v>83.16</v>
      </c>
      <c r="Q172" s="330">
        <v>80.209999999999994</v>
      </c>
      <c r="R172" s="330">
        <v>20.81</v>
      </c>
      <c r="S172" s="330">
        <v>103.72</v>
      </c>
      <c r="T172" s="330">
        <v>1186</v>
      </c>
      <c r="U172" s="330">
        <v>114.1</v>
      </c>
      <c r="V172" s="330">
        <v>583</v>
      </c>
      <c r="W172" s="330">
        <v>113.58</v>
      </c>
      <c r="X172" s="330">
        <v>34</v>
      </c>
      <c r="Y172" s="330">
        <v>0</v>
      </c>
      <c r="Z172" s="330">
        <v>7</v>
      </c>
      <c r="AA172" s="330">
        <v>5</v>
      </c>
      <c r="AB172" s="330">
        <v>2</v>
      </c>
      <c r="AC172" s="330">
        <v>5</v>
      </c>
      <c r="AD172" s="334">
        <v>4765</v>
      </c>
      <c r="AE172" s="334">
        <v>27</v>
      </c>
      <c r="AF172" s="334">
        <v>15</v>
      </c>
      <c r="AG172" s="334">
        <v>42</v>
      </c>
    </row>
    <row r="173" spans="1:33" x14ac:dyDescent="0.25">
      <c r="A173" s="329" t="s">
        <v>402</v>
      </c>
      <c r="B173" s="335" t="s">
        <v>403</v>
      </c>
      <c r="C173" s="331">
        <v>10101</v>
      </c>
      <c r="D173" s="331">
        <v>6</v>
      </c>
      <c r="E173" s="331">
        <v>438</v>
      </c>
      <c r="F173" s="331">
        <v>835</v>
      </c>
      <c r="G173" s="331">
        <v>677</v>
      </c>
      <c r="H173" s="331">
        <v>12057</v>
      </c>
      <c r="I173" s="330">
        <v>11380</v>
      </c>
      <c r="J173" s="330">
        <v>2007</v>
      </c>
      <c r="K173" s="332">
        <v>113.38</v>
      </c>
      <c r="L173" s="332">
        <v>115.12</v>
      </c>
      <c r="M173" s="332">
        <v>7.24</v>
      </c>
      <c r="N173" s="332">
        <v>119.21</v>
      </c>
      <c r="O173" s="333">
        <v>9190</v>
      </c>
      <c r="P173" s="330">
        <v>104.27</v>
      </c>
      <c r="Q173" s="330">
        <v>104.3</v>
      </c>
      <c r="R173" s="330">
        <v>30.02</v>
      </c>
      <c r="S173" s="330">
        <v>133.26</v>
      </c>
      <c r="T173" s="330">
        <v>986</v>
      </c>
      <c r="U173" s="330">
        <v>140.51</v>
      </c>
      <c r="V173" s="330">
        <v>766</v>
      </c>
      <c r="W173" s="330">
        <v>326.56</v>
      </c>
      <c r="X173" s="330">
        <v>13</v>
      </c>
      <c r="Y173" s="330">
        <v>0</v>
      </c>
      <c r="Z173" s="330">
        <v>45</v>
      </c>
      <c r="AA173" s="330">
        <v>6</v>
      </c>
      <c r="AB173" s="330">
        <v>18</v>
      </c>
      <c r="AC173" s="330">
        <v>22</v>
      </c>
      <c r="AD173" s="334">
        <v>10055</v>
      </c>
      <c r="AE173" s="334">
        <v>10</v>
      </c>
      <c r="AF173" s="334">
        <v>14</v>
      </c>
      <c r="AG173" s="334">
        <v>24</v>
      </c>
    </row>
    <row r="174" spans="1:33" x14ac:dyDescent="0.25">
      <c r="A174" s="329" t="s">
        <v>404</v>
      </c>
      <c r="B174" s="335" t="s">
        <v>405</v>
      </c>
      <c r="C174" s="331">
        <v>954</v>
      </c>
      <c r="D174" s="331">
        <v>0</v>
      </c>
      <c r="E174" s="331">
        <v>50</v>
      </c>
      <c r="F174" s="331">
        <v>286</v>
      </c>
      <c r="G174" s="331">
        <v>213</v>
      </c>
      <c r="H174" s="331">
        <v>1503</v>
      </c>
      <c r="I174" s="330">
        <v>1290</v>
      </c>
      <c r="J174" s="330">
        <v>4</v>
      </c>
      <c r="K174" s="332">
        <v>87.33</v>
      </c>
      <c r="L174" s="332">
        <v>85.45</v>
      </c>
      <c r="M174" s="332">
        <v>4.2</v>
      </c>
      <c r="N174" s="332">
        <v>91</v>
      </c>
      <c r="O174" s="333">
        <v>738</v>
      </c>
      <c r="P174" s="330">
        <v>76.67</v>
      </c>
      <c r="Q174" s="330">
        <v>74.53</v>
      </c>
      <c r="R174" s="330">
        <v>17.29</v>
      </c>
      <c r="S174" s="330">
        <v>92.64</v>
      </c>
      <c r="T174" s="330">
        <v>170</v>
      </c>
      <c r="U174" s="330">
        <v>110.97</v>
      </c>
      <c r="V174" s="330">
        <v>94</v>
      </c>
      <c r="W174" s="330">
        <v>0</v>
      </c>
      <c r="X174" s="330">
        <v>0</v>
      </c>
      <c r="Y174" s="330">
        <v>0</v>
      </c>
      <c r="Z174" s="330">
        <v>1</v>
      </c>
      <c r="AA174" s="330">
        <v>0</v>
      </c>
      <c r="AB174" s="330">
        <v>2</v>
      </c>
      <c r="AC174" s="330">
        <v>7</v>
      </c>
      <c r="AD174" s="334">
        <v>829</v>
      </c>
      <c r="AE174" s="334">
        <v>7</v>
      </c>
      <c r="AF174" s="334">
        <v>1</v>
      </c>
      <c r="AG174" s="334">
        <v>8</v>
      </c>
    </row>
    <row r="175" spans="1:33" x14ac:dyDescent="0.25">
      <c r="A175" s="329" t="s">
        <v>406</v>
      </c>
      <c r="B175" s="335" t="s">
        <v>407</v>
      </c>
      <c r="C175" s="331">
        <v>1115</v>
      </c>
      <c r="D175" s="331">
        <v>0</v>
      </c>
      <c r="E175" s="331">
        <v>105</v>
      </c>
      <c r="F175" s="331">
        <v>210</v>
      </c>
      <c r="G175" s="331">
        <v>297</v>
      </c>
      <c r="H175" s="331">
        <v>1727</v>
      </c>
      <c r="I175" s="330">
        <v>1430</v>
      </c>
      <c r="J175" s="330">
        <v>16</v>
      </c>
      <c r="K175" s="332">
        <v>93.39</v>
      </c>
      <c r="L175" s="332">
        <v>92.64</v>
      </c>
      <c r="M175" s="332">
        <v>4.34</v>
      </c>
      <c r="N175" s="332">
        <v>96.27</v>
      </c>
      <c r="O175" s="333">
        <v>912</v>
      </c>
      <c r="P175" s="330">
        <v>80.22</v>
      </c>
      <c r="Q175" s="330">
        <v>78.59</v>
      </c>
      <c r="R175" s="330">
        <v>29.16</v>
      </c>
      <c r="S175" s="330">
        <v>109.07</v>
      </c>
      <c r="T175" s="330">
        <v>291</v>
      </c>
      <c r="U175" s="330">
        <v>111.44</v>
      </c>
      <c r="V175" s="330">
        <v>153</v>
      </c>
      <c r="W175" s="330">
        <v>110.72</v>
      </c>
      <c r="X175" s="330">
        <v>1</v>
      </c>
      <c r="Y175" s="330">
        <v>0</v>
      </c>
      <c r="Z175" s="330">
        <v>4</v>
      </c>
      <c r="AA175" s="330">
        <v>2</v>
      </c>
      <c r="AB175" s="330">
        <v>0</v>
      </c>
      <c r="AC175" s="330">
        <v>1</v>
      </c>
      <c r="AD175" s="334">
        <v>1110</v>
      </c>
      <c r="AE175" s="334">
        <v>3</v>
      </c>
      <c r="AF175" s="334">
        <v>2</v>
      </c>
      <c r="AG175" s="334">
        <v>5</v>
      </c>
    </row>
    <row r="176" spans="1:33" x14ac:dyDescent="0.25">
      <c r="A176" s="329" t="s">
        <v>408</v>
      </c>
      <c r="B176" s="335" t="s">
        <v>409</v>
      </c>
      <c r="C176" s="331">
        <v>5419</v>
      </c>
      <c r="D176" s="331">
        <v>3</v>
      </c>
      <c r="E176" s="331">
        <v>174</v>
      </c>
      <c r="F176" s="331">
        <v>822</v>
      </c>
      <c r="G176" s="331">
        <v>563</v>
      </c>
      <c r="H176" s="331">
        <v>6981</v>
      </c>
      <c r="I176" s="330">
        <v>6418</v>
      </c>
      <c r="J176" s="330">
        <v>6</v>
      </c>
      <c r="K176" s="332">
        <v>116.54</v>
      </c>
      <c r="L176" s="332">
        <v>116.42</v>
      </c>
      <c r="M176" s="332">
        <v>4.75</v>
      </c>
      <c r="N176" s="332">
        <v>119.86</v>
      </c>
      <c r="O176" s="333">
        <v>4201</v>
      </c>
      <c r="P176" s="330">
        <v>100.42</v>
      </c>
      <c r="Q176" s="330">
        <v>99.1</v>
      </c>
      <c r="R176" s="330">
        <v>34.450000000000003</v>
      </c>
      <c r="S176" s="330">
        <v>133.18</v>
      </c>
      <c r="T176" s="330">
        <v>817</v>
      </c>
      <c r="U176" s="330">
        <v>153.29</v>
      </c>
      <c r="V176" s="330">
        <v>902</v>
      </c>
      <c r="W176" s="330">
        <v>0</v>
      </c>
      <c r="X176" s="330">
        <v>0</v>
      </c>
      <c r="Y176" s="330">
        <v>61</v>
      </c>
      <c r="Z176" s="330">
        <v>3</v>
      </c>
      <c r="AA176" s="330">
        <v>0</v>
      </c>
      <c r="AB176" s="330">
        <v>41</v>
      </c>
      <c r="AC176" s="330">
        <v>20</v>
      </c>
      <c r="AD176" s="334">
        <v>5122</v>
      </c>
      <c r="AE176" s="334">
        <v>48</v>
      </c>
      <c r="AF176" s="334">
        <v>60</v>
      </c>
      <c r="AG176" s="334">
        <v>108</v>
      </c>
    </row>
    <row r="177" spans="1:33" x14ac:dyDescent="0.25">
      <c r="A177" s="329" t="s">
        <v>410</v>
      </c>
      <c r="B177" s="335" t="s">
        <v>411</v>
      </c>
      <c r="C177" s="331">
        <v>13055</v>
      </c>
      <c r="D177" s="331">
        <v>4</v>
      </c>
      <c r="E177" s="331">
        <v>608</v>
      </c>
      <c r="F177" s="331">
        <v>1507</v>
      </c>
      <c r="G177" s="331">
        <v>279</v>
      </c>
      <c r="H177" s="331">
        <v>15453</v>
      </c>
      <c r="I177" s="330">
        <v>15174</v>
      </c>
      <c r="J177" s="330">
        <v>31</v>
      </c>
      <c r="K177" s="332">
        <v>86.15</v>
      </c>
      <c r="L177" s="332">
        <v>80.7</v>
      </c>
      <c r="M177" s="332">
        <v>7.13</v>
      </c>
      <c r="N177" s="332">
        <v>88.63</v>
      </c>
      <c r="O177" s="333">
        <v>12559</v>
      </c>
      <c r="P177" s="330">
        <v>84.12</v>
      </c>
      <c r="Q177" s="330">
        <v>78.56</v>
      </c>
      <c r="R177" s="330">
        <v>41.8</v>
      </c>
      <c r="S177" s="330">
        <v>118.06</v>
      </c>
      <c r="T177" s="330">
        <v>2034</v>
      </c>
      <c r="U177" s="330">
        <v>94.36</v>
      </c>
      <c r="V177" s="330">
        <v>309</v>
      </c>
      <c r="W177" s="330">
        <v>170.24</v>
      </c>
      <c r="X177" s="330">
        <v>59</v>
      </c>
      <c r="Y177" s="330">
        <v>0</v>
      </c>
      <c r="Z177" s="330">
        <v>36</v>
      </c>
      <c r="AA177" s="330">
        <v>11</v>
      </c>
      <c r="AB177" s="330">
        <v>0</v>
      </c>
      <c r="AC177" s="330">
        <v>1</v>
      </c>
      <c r="AD177" s="334">
        <v>13023</v>
      </c>
      <c r="AE177" s="334">
        <v>313</v>
      </c>
      <c r="AF177" s="334">
        <v>52</v>
      </c>
      <c r="AG177" s="334">
        <v>365</v>
      </c>
    </row>
    <row r="178" spans="1:33" x14ac:dyDescent="0.25">
      <c r="A178" s="329" t="s">
        <v>412</v>
      </c>
      <c r="B178" s="335" t="s">
        <v>413</v>
      </c>
      <c r="C178" s="331">
        <v>7657</v>
      </c>
      <c r="D178" s="331">
        <v>13</v>
      </c>
      <c r="E178" s="331">
        <v>390</v>
      </c>
      <c r="F178" s="331">
        <v>588</v>
      </c>
      <c r="G178" s="331">
        <v>4905</v>
      </c>
      <c r="H178" s="331">
        <v>13553</v>
      </c>
      <c r="I178" s="330">
        <v>8648</v>
      </c>
      <c r="J178" s="330">
        <v>1</v>
      </c>
      <c r="K178" s="332">
        <v>99.56</v>
      </c>
      <c r="L178" s="332">
        <v>96.82</v>
      </c>
      <c r="M178" s="332">
        <v>6.22</v>
      </c>
      <c r="N178" s="332">
        <v>103.7</v>
      </c>
      <c r="O178" s="333">
        <v>6291</v>
      </c>
      <c r="P178" s="330">
        <v>98.54</v>
      </c>
      <c r="Q178" s="330">
        <v>96.42</v>
      </c>
      <c r="R178" s="330">
        <v>38.07</v>
      </c>
      <c r="S178" s="330">
        <v>135.47999999999999</v>
      </c>
      <c r="T178" s="330">
        <v>812</v>
      </c>
      <c r="U178" s="330">
        <v>129.91</v>
      </c>
      <c r="V178" s="330">
        <v>515</v>
      </c>
      <c r="W178" s="330">
        <v>0</v>
      </c>
      <c r="X178" s="330">
        <v>0</v>
      </c>
      <c r="Y178" s="330">
        <v>15</v>
      </c>
      <c r="Z178" s="330">
        <v>5</v>
      </c>
      <c r="AA178" s="330">
        <v>20</v>
      </c>
      <c r="AB178" s="330">
        <v>74</v>
      </c>
      <c r="AC178" s="330">
        <v>104</v>
      </c>
      <c r="AD178" s="334">
        <v>7473</v>
      </c>
      <c r="AE178" s="334">
        <v>16</v>
      </c>
      <c r="AF178" s="334">
        <v>15</v>
      </c>
      <c r="AG178" s="334">
        <v>31</v>
      </c>
    </row>
    <row r="179" spans="1:33" x14ac:dyDescent="0.25">
      <c r="A179" s="329" t="s">
        <v>414</v>
      </c>
      <c r="B179" s="335" t="s">
        <v>415</v>
      </c>
      <c r="C179" s="331">
        <v>3358</v>
      </c>
      <c r="D179" s="331">
        <v>156</v>
      </c>
      <c r="E179" s="331">
        <v>204</v>
      </c>
      <c r="F179" s="331">
        <v>655</v>
      </c>
      <c r="G179" s="331">
        <v>294</v>
      </c>
      <c r="H179" s="331">
        <v>4667</v>
      </c>
      <c r="I179" s="330">
        <v>4373</v>
      </c>
      <c r="J179" s="330">
        <v>0</v>
      </c>
      <c r="K179" s="332">
        <v>111.48</v>
      </c>
      <c r="L179" s="332">
        <v>113.79</v>
      </c>
      <c r="M179" s="332">
        <v>3.48</v>
      </c>
      <c r="N179" s="332">
        <v>114.87</v>
      </c>
      <c r="O179" s="333">
        <v>3108</v>
      </c>
      <c r="P179" s="330">
        <v>94.57</v>
      </c>
      <c r="Q179" s="330">
        <v>92.42</v>
      </c>
      <c r="R179" s="330">
        <v>25.01</v>
      </c>
      <c r="S179" s="330">
        <v>119.55</v>
      </c>
      <c r="T179" s="330">
        <v>721</v>
      </c>
      <c r="U179" s="330">
        <v>147.09</v>
      </c>
      <c r="V179" s="330">
        <v>326</v>
      </c>
      <c r="W179" s="330">
        <v>0</v>
      </c>
      <c r="X179" s="330">
        <v>0</v>
      </c>
      <c r="Y179" s="330">
        <v>0</v>
      </c>
      <c r="Z179" s="330">
        <v>4</v>
      </c>
      <c r="AA179" s="330">
        <v>3</v>
      </c>
      <c r="AB179" s="330">
        <v>0</v>
      </c>
      <c r="AC179" s="330">
        <v>8</v>
      </c>
      <c r="AD179" s="334">
        <v>3305</v>
      </c>
      <c r="AE179" s="334">
        <v>24</v>
      </c>
      <c r="AF179" s="334">
        <v>22</v>
      </c>
      <c r="AG179" s="334">
        <v>46</v>
      </c>
    </row>
    <row r="180" spans="1:33" x14ac:dyDescent="0.25">
      <c r="A180" s="329" t="s">
        <v>416</v>
      </c>
      <c r="B180" s="335" t="s">
        <v>417</v>
      </c>
      <c r="C180" s="331">
        <v>2683</v>
      </c>
      <c r="D180" s="331">
        <v>8</v>
      </c>
      <c r="E180" s="331">
        <v>278</v>
      </c>
      <c r="F180" s="331">
        <v>342</v>
      </c>
      <c r="G180" s="331">
        <v>313</v>
      </c>
      <c r="H180" s="331">
        <v>3624</v>
      </c>
      <c r="I180" s="330">
        <v>3311</v>
      </c>
      <c r="J180" s="330">
        <v>0</v>
      </c>
      <c r="K180" s="332">
        <v>112.54</v>
      </c>
      <c r="L180" s="332">
        <v>114.34</v>
      </c>
      <c r="M180" s="332">
        <v>3.82</v>
      </c>
      <c r="N180" s="332">
        <v>115.82</v>
      </c>
      <c r="O180" s="333">
        <v>2401</v>
      </c>
      <c r="P180" s="330">
        <v>95.03</v>
      </c>
      <c r="Q180" s="330">
        <v>92.02</v>
      </c>
      <c r="R180" s="330">
        <v>29.92</v>
      </c>
      <c r="S180" s="330">
        <v>123.15</v>
      </c>
      <c r="T180" s="330">
        <v>467</v>
      </c>
      <c r="U180" s="330">
        <v>139.51</v>
      </c>
      <c r="V180" s="330">
        <v>159</v>
      </c>
      <c r="W180" s="330">
        <v>0</v>
      </c>
      <c r="X180" s="330">
        <v>0</v>
      </c>
      <c r="Y180" s="330">
        <v>34</v>
      </c>
      <c r="Z180" s="330">
        <v>2</v>
      </c>
      <c r="AA180" s="330">
        <v>0</v>
      </c>
      <c r="AB180" s="330">
        <v>8</v>
      </c>
      <c r="AC180" s="330">
        <v>4</v>
      </c>
      <c r="AD180" s="334">
        <v>2636</v>
      </c>
      <c r="AE180" s="334">
        <v>5</v>
      </c>
      <c r="AF180" s="334">
        <v>3</v>
      </c>
      <c r="AG180" s="334">
        <v>8</v>
      </c>
    </row>
    <row r="181" spans="1:33" x14ac:dyDescent="0.25">
      <c r="A181" s="329" t="s">
        <v>418</v>
      </c>
      <c r="B181" s="335" t="s">
        <v>419</v>
      </c>
      <c r="C181" s="331">
        <v>1664</v>
      </c>
      <c r="D181" s="331">
        <v>0</v>
      </c>
      <c r="E181" s="331">
        <v>276</v>
      </c>
      <c r="F181" s="331">
        <v>361</v>
      </c>
      <c r="G181" s="331">
        <v>248</v>
      </c>
      <c r="H181" s="331">
        <v>2549</v>
      </c>
      <c r="I181" s="330">
        <v>2301</v>
      </c>
      <c r="J181" s="330">
        <v>43</v>
      </c>
      <c r="K181" s="332">
        <v>87.15</v>
      </c>
      <c r="L181" s="332">
        <v>84.94</v>
      </c>
      <c r="M181" s="332">
        <v>3.9</v>
      </c>
      <c r="N181" s="332">
        <v>89.25</v>
      </c>
      <c r="O181" s="333">
        <v>1535</v>
      </c>
      <c r="P181" s="330">
        <v>97.95</v>
      </c>
      <c r="Q181" s="330">
        <v>77.14</v>
      </c>
      <c r="R181" s="330">
        <v>30.98</v>
      </c>
      <c r="S181" s="330">
        <v>126.86</v>
      </c>
      <c r="T181" s="330">
        <v>464</v>
      </c>
      <c r="U181" s="330">
        <v>96.69</v>
      </c>
      <c r="V181" s="330">
        <v>106</v>
      </c>
      <c r="W181" s="330">
        <v>87.12</v>
      </c>
      <c r="X181" s="330">
        <v>1</v>
      </c>
      <c r="Y181" s="330">
        <v>0</v>
      </c>
      <c r="Z181" s="330">
        <v>1</v>
      </c>
      <c r="AA181" s="330">
        <v>12</v>
      </c>
      <c r="AB181" s="330">
        <v>31</v>
      </c>
      <c r="AC181" s="330">
        <v>5</v>
      </c>
      <c r="AD181" s="334">
        <v>1664</v>
      </c>
      <c r="AE181" s="334">
        <v>27</v>
      </c>
      <c r="AF181" s="334">
        <v>14</v>
      </c>
      <c r="AG181" s="334">
        <v>41</v>
      </c>
    </row>
    <row r="182" spans="1:33" x14ac:dyDescent="0.25">
      <c r="A182" s="329" t="s">
        <v>420</v>
      </c>
      <c r="B182" s="335" t="s">
        <v>421</v>
      </c>
      <c r="C182" s="331">
        <v>6688</v>
      </c>
      <c r="D182" s="331">
        <v>253</v>
      </c>
      <c r="E182" s="331">
        <v>1164</v>
      </c>
      <c r="F182" s="331">
        <v>1491</v>
      </c>
      <c r="G182" s="331">
        <v>404</v>
      </c>
      <c r="H182" s="331">
        <v>10000</v>
      </c>
      <c r="I182" s="330">
        <v>9596</v>
      </c>
      <c r="J182" s="330">
        <v>135</v>
      </c>
      <c r="K182" s="332">
        <v>79.09</v>
      </c>
      <c r="L182" s="332">
        <v>77.16</v>
      </c>
      <c r="M182" s="332">
        <v>10.58</v>
      </c>
      <c r="N182" s="332">
        <v>87.68</v>
      </c>
      <c r="O182" s="333">
        <v>5827</v>
      </c>
      <c r="P182" s="330">
        <v>84.77</v>
      </c>
      <c r="Q182" s="330">
        <v>73.260000000000005</v>
      </c>
      <c r="R182" s="330">
        <v>48.23</v>
      </c>
      <c r="S182" s="330">
        <v>130.16</v>
      </c>
      <c r="T182" s="330">
        <v>2358</v>
      </c>
      <c r="U182" s="330">
        <v>99.37</v>
      </c>
      <c r="V182" s="330">
        <v>561</v>
      </c>
      <c r="W182" s="330">
        <v>164.95</v>
      </c>
      <c r="X182" s="330">
        <v>35</v>
      </c>
      <c r="Y182" s="330">
        <v>0</v>
      </c>
      <c r="Z182" s="330">
        <v>3</v>
      </c>
      <c r="AA182" s="330">
        <v>8</v>
      </c>
      <c r="AB182" s="330">
        <v>5</v>
      </c>
      <c r="AC182" s="330">
        <v>7</v>
      </c>
      <c r="AD182" s="334">
        <v>6284</v>
      </c>
      <c r="AE182" s="334">
        <v>83</v>
      </c>
      <c r="AF182" s="334">
        <v>24</v>
      </c>
      <c r="AG182" s="334">
        <v>107</v>
      </c>
    </row>
    <row r="183" spans="1:33" x14ac:dyDescent="0.25">
      <c r="A183" s="329" t="s">
        <v>422</v>
      </c>
      <c r="B183" s="335" t="s">
        <v>423</v>
      </c>
      <c r="C183" s="331">
        <v>8971</v>
      </c>
      <c r="D183" s="331">
        <v>0</v>
      </c>
      <c r="E183" s="331">
        <v>53</v>
      </c>
      <c r="F183" s="331">
        <v>876</v>
      </c>
      <c r="G183" s="331">
        <v>210</v>
      </c>
      <c r="H183" s="331">
        <v>10110</v>
      </c>
      <c r="I183" s="330">
        <v>9900</v>
      </c>
      <c r="J183" s="330">
        <v>87</v>
      </c>
      <c r="K183" s="332">
        <v>77.36</v>
      </c>
      <c r="L183" s="332">
        <v>79.94</v>
      </c>
      <c r="M183" s="332">
        <v>3.67</v>
      </c>
      <c r="N183" s="332">
        <v>80.87</v>
      </c>
      <c r="O183" s="333">
        <v>8598</v>
      </c>
      <c r="P183" s="330">
        <v>74.53</v>
      </c>
      <c r="Q183" s="330">
        <v>77.239999999999995</v>
      </c>
      <c r="R183" s="330">
        <v>22.76</v>
      </c>
      <c r="S183" s="330">
        <v>97.07</v>
      </c>
      <c r="T183" s="330">
        <v>824</v>
      </c>
      <c r="U183" s="330">
        <v>95.71</v>
      </c>
      <c r="V183" s="330">
        <v>324</v>
      </c>
      <c r="W183" s="330">
        <v>153.29</v>
      </c>
      <c r="X183" s="330">
        <v>17</v>
      </c>
      <c r="Y183" s="330">
        <v>0</v>
      </c>
      <c r="Z183" s="330">
        <v>29</v>
      </c>
      <c r="AA183" s="330">
        <v>10</v>
      </c>
      <c r="AB183" s="330">
        <v>23</v>
      </c>
      <c r="AC183" s="330">
        <v>2</v>
      </c>
      <c r="AD183" s="334">
        <v>8970</v>
      </c>
      <c r="AE183" s="334">
        <v>54</v>
      </c>
      <c r="AF183" s="334">
        <v>11</v>
      </c>
      <c r="AG183" s="334">
        <v>65</v>
      </c>
    </row>
    <row r="184" spans="1:33" x14ac:dyDescent="0.25">
      <c r="A184" s="329" t="s">
        <v>424</v>
      </c>
      <c r="B184" s="335" t="s">
        <v>425</v>
      </c>
      <c r="C184" s="331">
        <v>12030</v>
      </c>
      <c r="D184" s="331">
        <v>33</v>
      </c>
      <c r="E184" s="331">
        <v>1052</v>
      </c>
      <c r="F184" s="331">
        <v>952</v>
      </c>
      <c r="G184" s="331">
        <v>1760</v>
      </c>
      <c r="H184" s="331">
        <v>15827</v>
      </c>
      <c r="I184" s="330">
        <v>14067</v>
      </c>
      <c r="J184" s="330">
        <v>34</v>
      </c>
      <c r="K184" s="332">
        <v>134.52000000000001</v>
      </c>
      <c r="L184" s="332">
        <v>119.3</v>
      </c>
      <c r="M184" s="332">
        <v>8.64</v>
      </c>
      <c r="N184" s="332">
        <v>138.49</v>
      </c>
      <c r="O184" s="333">
        <v>9925</v>
      </c>
      <c r="P184" s="330">
        <v>99.68</v>
      </c>
      <c r="Q184" s="330">
        <v>98.57</v>
      </c>
      <c r="R184" s="330">
        <v>51.32</v>
      </c>
      <c r="S184" s="330">
        <v>148.25</v>
      </c>
      <c r="T184" s="330">
        <v>1941</v>
      </c>
      <c r="U184" s="330">
        <v>162.66999999999999</v>
      </c>
      <c r="V184" s="330">
        <v>403</v>
      </c>
      <c r="W184" s="330">
        <v>175.33</v>
      </c>
      <c r="X184" s="330">
        <v>7</v>
      </c>
      <c r="Y184" s="330">
        <v>81</v>
      </c>
      <c r="Z184" s="330">
        <v>2</v>
      </c>
      <c r="AA184" s="330">
        <v>35</v>
      </c>
      <c r="AB184" s="330">
        <v>74</v>
      </c>
      <c r="AC184" s="330">
        <v>111</v>
      </c>
      <c r="AD184" s="334">
        <v>11120</v>
      </c>
      <c r="AE184" s="334">
        <v>74</v>
      </c>
      <c r="AF184" s="334">
        <v>23</v>
      </c>
      <c r="AG184" s="334">
        <v>97</v>
      </c>
    </row>
    <row r="185" spans="1:33" x14ac:dyDescent="0.25">
      <c r="A185" s="329" t="s">
        <v>426</v>
      </c>
      <c r="B185" s="335" t="s">
        <v>427</v>
      </c>
      <c r="C185" s="331">
        <v>3461</v>
      </c>
      <c r="D185" s="331">
        <v>0</v>
      </c>
      <c r="E185" s="331">
        <v>58</v>
      </c>
      <c r="F185" s="331">
        <v>902</v>
      </c>
      <c r="G185" s="331">
        <v>189</v>
      </c>
      <c r="H185" s="331">
        <v>4610</v>
      </c>
      <c r="I185" s="330">
        <v>4421</v>
      </c>
      <c r="J185" s="330">
        <v>14</v>
      </c>
      <c r="K185" s="332">
        <v>84.99</v>
      </c>
      <c r="L185" s="332">
        <v>85.78</v>
      </c>
      <c r="M185" s="332">
        <v>3.17</v>
      </c>
      <c r="N185" s="332">
        <v>86.77</v>
      </c>
      <c r="O185" s="333">
        <v>3159</v>
      </c>
      <c r="P185" s="330">
        <v>74.150000000000006</v>
      </c>
      <c r="Q185" s="330">
        <v>74.36</v>
      </c>
      <c r="R185" s="330">
        <v>13.35</v>
      </c>
      <c r="S185" s="330">
        <v>86.39</v>
      </c>
      <c r="T185" s="330">
        <v>904</v>
      </c>
      <c r="U185" s="330">
        <v>114.86</v>
      </c>
      <c r="V185" s="330">
        <v>282</v>
      </c>
      <c r="W185" s="330">
        <v>0</v>
      </c>
      <c r="X185" s="330">
        <v>0</v>
      </c>
      <c r="Y185" s="330">
        <v>0</v>
      </c>
      <c r="Z185" s="330">
        <v>8</v>
      </c>
      <c r="AA185" s="330">
        <v>1</v>
      </c>
      <c r="AB185" s="330">
        <v>3</v>
      </c>
      <c r="AC185" s="330">
        <v>2</v>
      </c>
      <c r="AD185" s="334">
        <v>3461</v>
      </c>
      <c r="AE185" s="334">
        <v>10</v>
      </c>
      <c r="AF185" s="334">
        <v>38</v>
      </c>
      <c r="AG185" s="334">
        <v>48</v>
      </c>
    </row>
    <row r="186" spans="1:33" x14ac:dyDescent="0.25">
      <c r="A186" s="329" t="s">
        <v>428</v>
      </c>
      <c r="B186" s="335" t="s">
        <v>429</v>
      </c>
      <c r="C186" s="331">
        <v>697</v>
      </c>
      <c r="D186" s="331">
        <v>0</v>
      </c>
      <c r="E186" s="331">
        <v>54</v>
      </c>
      <c r="F186" s="331">
        <v>148</v>
      </c>
      <c r="G186" s="331">
        <v>95</v>
      </c>
      <c r="H186" s="331">
        <v>994</v>
      </c>
      <c r="I186" s="330">
        <v>899</v>
      </c>
      <c r="J186" s="330">
        <v>0</v>
      </c>
      <c r="K186" s="332">
        <v>89.64</v>
      </c>
      <c r="L186" s="332">
        <v>90.03</v>
      </c>
      <c r="M186" s="332">
        <v>4.8600000000000003</v>
      </c>
      <c r="N186" s="332">
        <v>92.08</v>
      </c>
      <c r="O186" s="333">
        <v>584</v>
      </c>
      <c r="P186" s="330">
        <v>87.84</v>
      </c>
      <c r="Q186" s="330">
        <v>90.43</v>
      </c>
      <c r="R186" s="330">
        <v>40.450000000000003</v>
      </c>
      <c r="S186" s="330">
        <v>125.49</v>
      </c>
      <c r="T186" s="330">
        <v>202</v>
      </c>
      <c r="U186" s="330">
        <v>103.09</v>
      </c>
      <c r="V186" s="330">
        <v>80</v>
      </c>
      <c r="W186" s="330">
        <v>0</v>
      </c>
      <c r="X186" s="330">
        <v>0</v>
      </c>
      <c r="Y186" s="330">
        <v>0</v>
      </c>
      <c r="Z186" s="330">
        <v>0</v>
      </c>
      <c r="AA186" s="330">
        <v>1</v>
      </c>
      <c r="AB186" s="330">
        <v>0</v>
      </c>
      <c r="AC186" s="330">
        <v>0</v>
      </c>
      <c r="AD186" s="334">
        <v>663</v>
      </c>
      <c r="AE186" s="334">
        <v>16</v>
      </c>
      <c r="AF186" s="334">
        <v>23</v>
      </c>
      <c r="AG186" s="334">
        <v>39</v>
      </c>
    </row>
    <row r="187" spans="1:33" x14ac:dyDescent="0.25">
      <c r="A187" s="329" t="s">
        <v>430</v>
      </c>
      <c r="B187" s="335" t="s">
        <v>431</v>
      </c>
      <c r="C187" s="331">
        <v>7239</v>
      </c>
      <c r="D187" s="331">
        <v>14</v>
      </c>
      <c r="E187" s="331">
        <v>243</v>
      </c>
      <c r="F187" s="331">
        <v>2593</v>
      </c>
      <c r="G187" s="331">
        <v>167</v>
      </c>
      <c r="H187" s="331">
        <v>10256</v>
      </c>
      <c r="I187" s="330">
        <v>10089</v>
      </c>
      <c r="J187" s="330">
        <v>0</v>
      </c>
      <c r="K187" s="332">
        <v>73.23</v>
      </c>
      <c r="L187" s="332">
        <v>83.42</v>
      </c>
      <c r="M187" s="332">
        <v>1.17</v>
      </c>
      <c r="N187" s="332">
        <v>74.319999999999993</v>
      </c>
      <c r="O187" s="333">
        <v>7211</v>
      </c>
      <c r="P187" s="330">
        <v>67.17</v>
      </c>
      <c r="Q187" s="330">
        <v>75.19</v>
      </c>
      <c r="R187" s="330">
        <v>5.22</v>
      </c>
      <c r="S187" s="330">
        <v>71.86</v>
      </c>
      <c r="T187" s="330">
        <v>2719</v>
      </c>
      <c r="U187" s="330">
        <v>85.5</v>
      </c>
      <c r="V187" s="330">
        <v>11</v>
      </c>
      <c r="W187" s="330">
        <v>0</v>
      </c>
      <c r="X187" s="330">
        <v>0</v>
      </c>
      <c r="Y187" s="330">
        <v>0</v>
      </c>
      <c r="Z187" s="330">
        <v>12</v>
      </c>
      <c r="AA187" s="330">
        <v>11</v>
      </c>
      <c r="AB187" s="330">
        <v>1</v>
      </c>
      <c r="AC187" s="330">
        <v>27</v>
      </c>
      <c r="AD187" s="334">
        <v>7229</v>
      </c>
      <c r="AE187" s="334">
        <v>304</v>
      </c>
      <c r="AF187" s="334">
        <v>364</v>
      </c>
      <c r="AG187" s="334">
        <v>668</v>
      </c>
    </row>
    <row r="188" spans="1:33" x14ac:dyDescent="0.25">
      <c r="A188" s="329" t="s">
        <v>432</v>
      </c>
      <c r="B188" s="335" t="s">
        <v>433</v>
      </c>
      <c r="C188" s="331">
        <v>9168</v>
      </c>
      <c r="D188" s="331">
        <v>0</v>
      </c>
      <c r="E188" s="331">
        <v>268</v>
      </c>
      <c r="F188" s="331">
        <v>1006</v>
      </c>
      <c r="G188" s="331">
        <v>448</v>
      </c>
      <c r="H188" s="331">
        <v>10890</v>
      </c>
      <c r="I188" s="330">
        <v>10442</v>
      </c>
      <c r="J188" s="330">
        <v>1</v>
      </c>
      <c r="K188" s="332">
        <v>107.98</v>
      </c>
      <c r="L188" s="332">
        <v>115.91</v>
      </c>
      <c r="M188" s="332">
        <v>3.97</v>
      </c>
      <c r="N188" s="332">
        <v>109.07</v>
      </c>
      <c r="O188" s="333">
        <v>8994</v>
      </c>
      <c r="P188" s="330">
        <v>91.14</v>
      </c>
      <c r="Q188" s="330">
        <v>90.6</v>
      </c>
      <c r="R188" s="330">
        <v>21.68</v>
      </c>
      <c r="S188" s="330">
        <v>111.34</v>
      </c>
      <c r="T188" s="330">
        <v>1243</v>
      </c>
      <c r="U188" s="330">
        <v>132.4</v>
      </c>
      <c r="V188" s="330">
        <v>89</v>
      </c>
      <c r="W188" s="330">
        <v>0</v>
      </c>
      <c r="X188" s="330">
        <v>0</v>
      </c>
      <c r="Y188" s="330">
        <v>0</v>
      </c>
      <c r="Z188" s="330">
        <v>39</v>
      </c>
      <c r="AA188" s="330">
        <v>10</v>
      </c>
      <c r="AB188" s="330">
        <v>10</v>
      </c>
      <c r="AC188" s="330">
        <v>20</v>
      </c>
      <c r="AD188" s="334">
        <v>9128</v>
      </c>
      <c r="AE188" s="334">
        <v>13</v>
      </c>
      <c r="AF188" s="334">
        <v>40</v>
      </c>
      <c r="AG188" s="334">
        <v>53</v>
      </c>
    </row>
    <row r="189" spans="1:33" x14ac:dyDescent="0.25">
      <c r="A189" s="329" t="s">
        <v>434</v>
      </c>
      <c r="B189" s="335" t="s">
        <v>435</v>
      </c>
      <c r="C189" s="331">
        <v>923</v>
      </c>
      <c r="D189" s="331">
        <v>0</v>
      </c>
      <c r="E189" s="331">
        <v>77</v>
      </c>
      <c r="F189" s="331">
        <v>150</v>
      </c>
      <c r="G189" s="331">
        <v>234</v>
      </c>
      <c r="H189" s="331">
        <v>1384</v>
      </c>
      <c r="I189" s="330">
        <v>1150</v>
      </c>
      <c r="J189" s="330">
        <v>0</v>
      </c>
      <c r="K189" s="332">
        <v>87.32</v>
      </c>
      <c r="L189" s="332">
        <v>87.14</v>
      </c>
      <c r="M189" s="332">
        <v>3.49</v>
      </c>
      <c r="N189" s="332">
        <v>90.14</v>
      </c>
      <c r="O189" s="333">
        <v>761</v>
      </c>
      <c r="P189" s="330">
        <v>90.97</v>
      </c>
      <c r="Q189" s="330">
        <v>86.3</v>
      </c>
      <c r="R189" s="330">
        <v>29.25</v>
      </c>
      <c r="S189" s="330">
        <v>116.31</v>
      </c>
      <c r="T189" s="330">
        <v>202</v>
      </c>
      <c r="U189" s="330">
        <v>98.17</v>
      </c>
      <c r="V189" s="330">
        <v>86</v>
      </c>
      <c r="W189" s="330">
        <v>0</v>
      </c>
      <c r="X189" s="330">
        <v>0</v>
      </c>
      <c r="Y189" s="330">
        <v>0</v>
      </c>
      <c r="Z189" s="330">
        <v>3</v>
      </c>
      <c r="AA189" s="330">
        <v>0</v>
      </c>
      <c r="AB189" s="330">
        <v>15</v>
      </c>
      <c r="AC189" s="330">
        <v>1</v>
      </c>
      <c r="AD189" s="334">
        <v>866</v>
      </c>
      <c r="AE189" s="334">
        <v>3</v>
      </c>
      <c r="AF189" s="334">
        <v>0</v>
      </c>
      <c r="AG189" s="334">
        <v>3</v>
      </c>
    </row>
    <row r="190" spans="1:33" x14ac:dyDescent="0.25">
      <c r="A190" s="329" t="s">
        <v>436</v>
      </c>
      <c r="B190" s="335" t="s">
        <v>437</v>
      </c>
      <c r="C190" s="331">
        <v>10426</v>
      </c>
      <c r="D190" s="331">
        <v>0</v>
      </c>
      <c r="E190" s="331">
        <v>164</v>
      </c>
      <c r="F190" s="331">
        <v>829</v>
      </c>
      <c r="G190" s="331">
        <v>49</v>
      </c>
      <c r="H190" s="331">
        <v>11468</v>
      </c>
      <c r="I190" s="330">
        <v>11419</v>
      </c>
      <c r="J190" s="330">
        <v>0</v>
      </c>
      <c r="K190" s="332">
        <v>80.319999999999993</v>
      </c>
      <c r="L190" s="332">
        <v>76.81</v>
      </c>
      <c r="M190" s="332">
        <v>1.76</v>
      </c>
      <c r="N190" s="332">
        <v>80.819999999999993</v>
      </c>
      <c r="O190" s="333">
        <v>10219</v>
      </c>
      <c r="P190" s="330">
        <v>82.11</v>
      </c>
      <c r="Q190" s="330">
        <v>72.459999999999994</v>
      </c>
      <c r="R190" s="330">
        <v>27.92</v>
      </c>
      <c r="S190" s="330">
        <v>102.36</v>
      </c>
      <c r="T190" s="330">
        <v>876</v>
      </c>
      <c r="U190" s="330">
        <v>96.02</v>
      </c>
      <c r="V190" s="330">
        <v>125</v>
      </c>
      <c r="W190" s="330">
        <v>91.25</v>
      </c>
      <c r="X190" s="330">
        <v>40</v>
      </c>
      <c r="Y190" s="330">
        <v>0</v>
      </c>
      <c r="Z190" s="330">
        <v>40</v>
      </c>
      <c r="AA190" s="330">
        <v>112</v>
      </c>
      <c r="AB190" s="330">
        <v>1</v>
      </c>
      <c r="AC190" s="330">
        <v>5</v>
      </c>
      <c r="AD190" s="334">
        <v>10388</v>
      </c>
      <c r="AE190" s="334">
        <v>100</v>
      </c>
      <c r="AF190" s="334">
        <v>25</v>
      </c>
      <c r="AG190" s="334">
        <v>125</v>
      </c>
    </row>
    <row r="191" spans="1:33" x14ac:dyDescent="0.25">
      <c r="A191" s="329" t="s">
        <v>438</v>
      </c>
      <c r="B191" s="335" t="s">
        <v>439</v>
      </c>
      <c r="C191" s="331">
        <v>5533</v>
      </c>
      <c r="D191" s="331">
        <v>0</v>
      </c>
      <c r="E191" s="331">
        <v>154</v>
      </c>
      <c r="F191" s="331">
        <v>655</v>
      </c>
      <c r="G191" s="331">
        <v>136</v>
      </c>
      <c r="H191" s="331">
        <v>6478</v>
      </c>
      <c r="I191" s="330">
        <v>6342</v>
      </c>
      <c r="J191" s="330">
        <v>26</v>
      </c>
      <c r="K191" s="332">
        <v>88.85</v>
      </c>
      <c r="L191" s="332">
        <v>91.07</v>
      </c>
      <c r="M191" s="332">
        <v>2.39</v>
      </c>
      <c r="N191" s="332">
        <v>90.47</v>
      </c>
      <c r="O191" s="333">
        <v>5235</v>
      </c>
      <c r="P191" s="330">
        <v>87.37</v>
      </c>
      <c r="Q191" s="330">
        <v>81.37</v>
      </c>
      <c r="R191" s="330">
        <v>20.58</v>
      </c>
      <c r="S191" s="330">
        <v>107.11</v>
      </c>
      <c r="T191" s="330">
        <v>807</v>
      </c>
      <c r="U191" s="330">
        <v>104.4</v>
      </c>
      <c r="V191" s="330">
        <v>277</v>
      </c>
      <c r="W191" s="330">
        <v>104.34</v>
      </c>
      <c r="X191" s="330">
        <v>11</v>
      </c>
      <c r="Y191" s="330">
        <v>0</v>
      </c>
      <c r="Z191" s="330">
        <v>23</v>
      </c>
      <c r="AA191" s="330">
        <v>40</v>
      </c>
      <c r="AB191" s="330">
        <v>10</v>
      </c>
      <c r="AC191" s="330">
        <v>2</v>
      </c>
      <c r="AD191" s="334">
        <v>5519</v>
      </c>
      <c r="AE191" s="334">
        <v>47</v>
      </c>
      <c r="AF191" s="334">
        <v>38</v>
      </c>
      <c r="AG191" s="334">
        <v>85</v>
      </c>
    </row>
    <row r="192" spans="1:33" ht="14.5" x14ac:dyDescent="0.35">
      <c r="A192" s="336" t="s">
        <v>799</v>
      </c>
      <c r="B192" s="336" t="s">
        <v>797</v>
      </c>
      <c r="C192" s="330">
        <v>12115</v>
      </c>
      <c r="D192" s="330">
        <v>66</v>
      </c>
      <c r="E192" s="330">
        <v>293</v>
      </c>
      <c r="F192" s="330">
        <v>1886</v>
      </c>
      <c r="G192" s="330">
        <v>1074</v>
      </c>
      <c r="H192" s="330">
        <v>15434</v>
      </c>
      <c r="I192" s="330">
        <v>14360</v>
      </c>
      <c r="J192" s="330">
        <v>29</v>
      </c>
      <c r="K192" s="330">
        <v>89.84</v>
      </c>
      <c r="L192" s="330">
        <v>89.57</v>
      </c>
      <c r="M192" s="330">
        <v>5.37</v>
      </c>
      <c r="N192" s="330">
        <v>92.01</v>
      </c>
      <c r="O192" s="330">
        <v>10794</v>
      </c>
      <c r="P192" s="330">
        <v>85.32</v>
      </c>
      <c r="Q192" s="330">
        <v>84.91</v>
      </c>
      <c r="R192" s="330">
        <v>30.01</v>
      </c>
      <c r="S192" s="330">
        <v>105.86</v>
      </c>
      <c r="T192" s="330">
        <v>2035</v>
      </c>
      <c r="U192" s="330">
        <v>106.24</v>
      </c>
      <c r="V192" s="330">
        <v>416</v>
      </c>
      <c r="W192" s="330">
        <v>104.99</v>
      </c>
      <c r="X192" s="330">
        <v>44</v>
      </c>
      <c r="Y192" s="330">
        <v>0</v>
      </c>
      <c r="Z192" s="330">
        <v>35</v>
      </c>
      <c r="AA192" s="330">
        <v>3</v>
      </c>
      <c r="AB192" s="330">
        <v>69</v>
      </c>
      <c r="AC192" s="330">
        <v>36</v>
      </c>
      <c r="AD192" s="330">
        <v>11359</v>
      </c>
      <c r="AE192" s="330">
        <v>94</v>
      </c>
      <c r="AF192" s="330">
        <v>67</v>
      </c>
      <c r="AG192" s="330">
        <v>161</v>
      </c>
    </row>
    <row r="193" spans="1:33" x14ac:dyDescent="0.25">
      <c r="A193" s="329" t="s">
        <v>440</v>
      </c>
      <c r="B193" s="335" t="s">
        <v>441</v>
      </c>
      <c r="C193" s="331">
        <v>7076</v>
      </c>
      <c r="D193" s="331">
        <v>82</v>
      </c>
      <c r="E193" s="331">
        <v>318</v>
      </c>
      <c r="F193" s="331">
        <v>1690</v>
      </c>
      <c r="G193" s="331">
        <v>388</v>
      </c>
      <c r="H193" s="331">
        <v>9554</v>
      </c>
      <c r="I193" s="330">
        <v>9166</v>
      </c>
      <c r="J193" s="330">
        <v>24</v>
      </c>
      <c r="K193" s="332">
        <v>95.39</v>
      </c>
      <c r="L193" s="332">
        <v>95.55</v>
      </c>
      <c r="M193" s="332">
        <v>4.78</v>
      </c>
      <c r="N193" s="332">
        <v>97.58</v>
      </c>
      <c r="O193" s="333">
        <v>6371</v>
      </c>
      <c r="P193" s="330">
        <v>88.84</v>
      </c>
      <c r="Q193" s="330">
        <v>85.9</v>
      </c>
      <c r="R193" s="330">
        <v>25.4</v>
      </c>
      <c r="S193" s="330">
        <v>113.84</v>
      </c>
      <c r="T193" s="330">
        <v>1887</v>
      </c>
      <c r="U193" s="330">
        <v>124.88</v>
      </c>
      <c r="V193" s="330">
        <v>596</v>
      </c>
      <c r="W193" s="330">
        <v>148.33000000000001</v>
      </c>
      <c r="X193" s="330">
        <v>30</v>
      </c>
      <c r="Y193" s="330">
        <v>102</v>
      </c>
      <c r="Z193" s="330">
        <v>24</v>
      </c>
      <c r="AA193" s="330">
        <v>5</v>
      </c>
      <c r="AB193" s="330">
        <v>8</v>
      </c>
      <c r="AC193" s="330">
        <v>8</v>
      </c>
      <c r="AD193" s="334">
        <v>6955</v>
      </c>
      <c r="AE193" s="334">
        <v>60</v>
      </c>
      <c r="AF193" s="334">
        <v>18</v>
      </c>
      <c r="AG193" s="334">
        <v>78</v>
      </c>
    </row>
    <row r="194" spans="1:33" x14ac:dyDescent="0.25">
      <c r="A194" s="329" t="s">
        <v>442</v>
      </c>
      <c r="B194" s="335" t="s">
        <v>443</v>
      </c>
      <c r="C194" s="331">
        <v>3774</v>
      </c>
      <c r="D194" s="331">
        <v>27</v>
      </c>
      <c r="E194" s="331">
        <v>525</v>
      </c>
      <c r="F194" s="331">
        <v>1281</v>
      </c>
      <c r="G194" s="331">
        <v>317</v>
      </c>
      <c r="H194" s="331">
        <v>5924</v>
      </c>
      <c r="I194" s="330">
        <v>5607</v>
      </c>
      <c r="J194" s="330">
        <v>222</v>
      </c>
      <c r="K194" s="332">
        <v>84.73</v>
      </c>
      <c r="L194" s="332">
        <v>79.819999999999993</v>
      </c>
      <c r="M194" s="332">
        <v>6.64</v>
      </c>
      <c r="N194" s="332">
        <v>89.81</v>
      </c>
      <c r="O194" s="333">
        <v>3292</v>
      </c>
      <c r="P194" s="330">
        <v>87.27</v>
      </c>
      <c r="Q194" s="330">
        <v>74.52</v>
      </c>
      <c r="R194" s="330">
        <v>38.42</v>
      </c>
      <c r="S194" s="330">
        <v>125.07</v>
      </c>
      <c r="T194" s="330">
        <v>1624</v>
      </c>
      <c r="U194" s="330">
        <v>98.59</v>
      </c>
      <c r="V194" s="330">
        <v>361</v>
      </c>
      <c r="W194" s="330">
        <v>144.66999999999999</v>
      </c>
      <c r="X194" s="330">
        <v>36</v>
      </c>
      <c r="Y194" s="330">
        <v>0</v>
      </c>
      <c r="Z194" s="330">
        <v>2</v>
      </c>
      <c r="AA194" s="330">
        <v>86</v>
      </c>
      <c r="AB194" s="330">
        <v>12</v>
      </c>
      <c r="AC194" s="330">
        <v>4</v>
      </c>
      <c r="AD194" s="334">
        <v>3626</v>
      </c>
      <c r="AE194" s="334">
        <v>36</v>
      </c>
      <c r="AF194" s="334">
        <v>8</v>
      </c>
      <c r="AG194" s="334">
        <v>44</v>
      </c>
    </row>
    <row r="195" spans="1:33" x14ac:dyDescent="0.25">
      <c r="A195" s="329" t="s">
        <v>444</v>
      </c>
      <c r="B195" s="335" t="s">
        <v>445</v>
      </c>
      <c r="C195" s="331">
        <v>1005</v>
      </c>
      <c r="D195" s="331">
        <v>0</v>
      </c>
      <c r="E195" s="331">
        <v>6</v>
      </c>
      <c r="F195" s="331">
        <v>54</v>
      </c>
      <c r="G195" s="331">
        <v>166</v>
      </c>
      <c r="H195" s="331">
        <v>1231</v>
      </c>
      <c r="I195" s="330">
        <v>1065</v>
      </c>
      <c r="J195" s="330">
        <v>3</v>
      </c>
      <c r="K195" s="332">
        <v>97.89</v>
      </c>
      <c r="L195" s="332">
        <v>97.3</v>
      </c>
      <c r="M195" s="332">
        <v>4.0599999999999996</v>
      </c>
      <c r="N195" s="332">
        <v>100.13</v>
      </c>
      <c r="O195" s="333">
        <v>902</v>
      </c>
      <c r="P195" s="330">
        <v>88.97</v>
      </c>
      <c r="Q195" s="330">
        <v>87.37</v>
      </c>
      <c r="R195" s="330">
        <v>35.6</v>
      </c>
      <c r="S195" s="330">
        <v>122.2</v>
      </c>
      <c r="T195" s="330">
        <v>60</v>
      </c>
      <c r="U195" s="330">
        <v>107.72</v>
      </c>
      <c r="V195" s="330">
        <v>94</v>
      </c>
      <c r="W195" s="330">
        <v>0</v>
      </c>
      <c r="X195" s="330">
        <v>0</v>
      </c>
      <c r="Y195" s="330">
        <v>0</v>
      </c>
      <c r="Z195" s="330">
        <v>1</v>
      </c>
      <c r="AA195" s="330">
        <v>1</v>
      </c>
      <c r="AB195" s="330">
        <v>16</v>
      </c>
      <c r="AC195" s="330">
        <v>1</v>
      </c>
      <c r="AD195" s="334">
        <v>1005</v>
      </c>
      <c r="AE195" s="334">
        <v>5</v>
      </c>
      <c r="AF195" s="334">
        <v>0</v>
      </c>
      <c r="AG195" s="334">
        <v>5</v>
      </c>
    </row>
    <row r="196" spans="1:33" x14ac:dyDescent="0.25">
      <c r="A196" s="329" t="s">
        <v>446</v>
      </c>
      <c r="B196" s="335" t="s">
        <v>447</v>
      </c>
      <c r="C196" s="331">
        <v>1489</v>
      </c>
      <c r="D196" s="331">
        <v>0</v>
      </c>
      <c r="E196" s="331">
        <v>51</v>
      </c>
      <c r="F196" s="331">
        <v>196</v>
      </c>
      <c r="G196" s="331">
        <v>321</v>
      </c>
      <c r="H196" s="331">
        <v>2057</v>
      </c>
      <c r="I196" s="330">
        <v>1736</v>
      </c>
      <c r="J196" s="330">
        <v>0</v>
      </c>
      <c r="K196" s="332">
        <v>87.01</v>
      </c>
      <c r="L196" s="332">
        <v>88.33</v>
      </c>
      <c r="M196" s="332">
        <v>5.58</v>
      </c>
      <c r="N196" s="332">
        <v>91.38</v>
      </c>
      <c r="O196" s="333">
        <v>1388</v>
      </c>
      <c r="P196" s="330">
        <v>85.98</v>
      </c>
      <c r="Q196" s="330">
        <v>87.25</v>
      </c>
      <c r="R196" s="330">
        <v>31.6</v>
      </c>
      <c r="S196" s="330">
        <v>115.9</v>
      </c>
      <c r="T196" s="330">
        <v>243</v>
      </c>
      <c r="U196" s="330">
        <v>99.95</v>
      </c>
      <c r="V196" s="330">
        <v>90</v>
      </c>
      <c r="W196" s="330">
        <v>0</v>
      </c>
      <c r="X196" s="330">
        <v>0</v>
      </c>
      <c r="Y196" s="330">
        <v>0</v>
      </c>
      <c r="Z196" s="330">
        <v>0</v>
      </c>
      <c r="AA196" s="330">
        <v>1</v>
      </c>
      <c r="AB196" s="330">
        <v>34</v>
      </c>
      <c r="AC196" s="330">
        <v>3</v>
      </c>
      <c r="AD196" s="334">
        <v>1479</v>
      </c>
      <c r="AE196" s="334">
        <v>23</v>
      </c>
      <c r="AF196" s="334">
        <v>1</v>
      </c>
      <c r="AG196" s="334">
        <v>24</v>
      </c>
    </row>
    <row r="197" spans="1:33" x14ac:dyDescent="0.25">
      <c r="A197" s="329" t="s">
        <v>448</v>
      </c>
      <c r="B197" s="335" t="s">
        <v>449</v>
      </c>
      <c r="C197" s="331">
        <v>13905</v>
      </c>
      <c r="D197" s="331">
        <v>18</v>
      </c>
      <c r="E197" s="331">
        <v>352</v>
      </c>
      <c r="F197" s="331">
        <v>3231</v>
      </c>
      <c r="G197" s="331">
        <v>623</v>
      </c>
      <c r="H197" s="331">
        <v>18129</v>
      </c>
      <c r="I197" s="330">
        <v>17506</v>
      </c>
      <c r="J197" s="330">
        <v>38</v>
      </c>
      <c r="K197" s="332">
        <v>77</v>
      </c>
      <c r="L197" s="332">
        <v>74.14</v>
      </c>
      <c r="M197" s="332">
        <v>4.41</v>
      </c>
      <c r="N197" s="332">
        <v>79.59</v>
      </c>
      <c r="O197" s="333">
        <v>12967</v>
      </c>
      <c r="P197" s="330">
        <v>71.099999999999994</v>
      </c>
      <c r="Q197" s="330">
        <v>64.39</v>
      </c>
      <c r="R197" s="330">
        <v>16.82</v>
      </c>
      <c r="S197" s="330">
        <v>87.51</v>
      </c>
      <c r="T197" s="330">
        <v>3494</v>
      </c>
      <c r="U197" s="330">
        <v>99.57</v>
      </c>
      <c r="V197" s="330">
        <v>737</v>
      </c>
      <c r="W197" s="330">
        <v>85.28</v>
      </c>
      <c r="X197" s="330">
        <v>30</v>
      </c>
      <c r="Y197" s="330">
        <v>0</v>
      </c>
      <c r="Z197" s="330">
        <v>52</v>
      </c>
      <c r="AA197" s="330">
        <v>9</v>
      </c>
      <c r="AB197" s="330">
        <v>5</v>
      </c>
      <c r="AC197" s="330">
        <v>3</v>
      </c>
      <c r="AD197" s="334">
        <v>13676</v>
      </c>
      <c r="AE197" s="334">
        <v>146</v>
      </c>
      <c r="AF197" s="334">
        <v>64</v>
      </c>
      <c r="AG197" s="334">
        <v>210</v>
      </c>
    </row>
    <row r="198" spans="1:33" x14ac:dyDescent="0.25">
      <c r="A198" s="329" t="s">
        <v>450</v>
      </c>
      <c r="B198" s="335" t="s">
        <v>451</v>
      </c>
      <c r="C198" s="331">
        <v>3818</v>
      </c>
      <c r="D198" s="331">
        <v>0</v>
      </c>
      <c r="E198" s="331">
        <v>538</v>
      </c>
      <c r="F198" s="331">
        <v>1042</v>
      </c>
      <c r="G198" s="331">
        <v>326</v>
      </c>
      <c r="H198" s="331">
        <v>5724</v>
      </c>
      <c r="I198" s="330">
        <v>5398</v>
      </c>
      <c r="J198" s="330">
        <v>22</v>
      </c>
      <c r="K198" s="332">
        <v>88.98</v>
      </c>
      <c r="L198" s="332">
        <v>88.12</v>
      </c>
      <c r="M198" s="332">
        <v>5.76</v>
      </c>
      <c r="N198" s="332">
        <v>93.46</v>
      </c>
      <c r="O198" s="333">
        <v>3537</v>
      </c>
      <c r="P198" s="330">
        <v>81.53</v>
      </c>
      <c r="Q198" s="330">
        <v>78.61</v>
      </c>
      <c r="R198" s="330">
        <v>36.56</v>
      </c>
      <c r="S198" s="330">
        <v>116.62</v>
      </c>
      <c r="T198" s="330">
        <v>865</v>
      </c>
      <c r="U198" s="330">
        <v>108.35</v>
      </c>
      <c r="V198" s="330">
        <v>193</v>
      </c>
      <c r="W198" s="330">
        <v>0</v>
      </c>
      <c r="X198" s="330">
        <v>0</v>
      </c>
      <c r="Y198" s="330">
        <v>0</v>
      </c>
      <c r="Z198" s="330">
        <v>1</v>
      </c>
      <c r="AA198" s="330">
        <v>2</v>
      </c>
      <c r="AB198" s="330">
        <v>2</v>
      </c>
      <c r="AC198" s="330">
        <v>13</v>
      </c>
      <c r="AD198" s="334">
        <v>3796</v>
      </c>
      <c r="AE198" s="334">
        <v>9</v>
      </c>
      <c r="AF198" s="334">
        <v>7</v>
      </c>
      <c r="AG198" s="334">
        <v>16</v>
      </c>
    </row>
    <row r="199" spans="1:33" x14ac:dyDescent="0.25">
      <c r="A199" s="329" t="s">
        <v>452</v>
      </c>
      <c r="B199" s="335" t="s">
        <v>453</v>
      </c>
      <c r="C199" s="331">
        <v>6421</v>
      </c>
      <c r="D199" s="331">
        <v>5</v>
      </c>
      <c r="E199" s="331">
        <v>1098</v>
      </c>
      <c r="F199" s="331">
        <v>2393</v>
      </c>
      <c r="G199" s="331">
        <v>402</v>
      </c>
      <c r="H199" s="331">
        <v>10319</v>
      </c>
      <c r="I199" s="330">
        <v>9917</v>
      </c>
      <c r="J199" s="330">
        <v>35</v>
      </c>
      <c r="K199" s="332">
        <v>84.42</v>
      </c>
      <c r="L199" s="332">
        <v>83.68</v>
      </c>
      <c r="M199" s="332">
        <v>5.94</v>
      </c>
      <c r="N199" s="332">
        <v>87.96</v>
      </c>
      <c r="O199" s="333">
        <v>5811</v>
      </c>
      <c r="P199" s="330">
        <v>81.38</v>
      </c>
      <c r="Q199" s="330">
        <v>76.48</v>
      </c>
      <c r="R199" s="330">
        <v>40.47</v>
      </c>
      <c r="S199" s="330">
        <v>119.14</v>
      </c>
      <c r="T199" s="330">
        <v>2693</v>
      </c>
      <c r="U199" s="330">
        <v>107.38</v>
      </c>
      <c r="V199" s="330">
        <v>126</v>
      </c>
      <c r="W199" s="330">
        <v>96.28</v>
      </c>
      <c r="X199" s="330">
        <v>44</v>
      </c>
      <c r="Y199" s="330">
        <v>0</v>
      </c>
      <c r="Z199" s="330">
        <v>8</v>
      </c>
      <c r="AA199" s="330">
        <v>41</v>
      </c>
      <c r="AB199" s="330">
        <v>2</v>
      </c>
      <c r="AC199" s="330">
        <v>23</v>
      </c>
      <c r="AD199" s="334">
        <v>6365</v>
      </c>
      <c r="AE199" s="334">
        <v>51</v>
      </c>
      <c r="AF199" s="334">
        <v>61</v>
      </c>
      <c r="AG199" s="334">
        <v>112</v>
      </c>
    </row>
    <row r="200" spans="1:33" x14ac:dyDescent="0.25">
      <c r="A200" s="329" t="s">
        <v>454</v>
      </c>
      <c r="B200" s="335" t="s">
        <v>455</v>
      </c>
      <c r="C200" s="331">
        <v>1863</v>
      </c>
      <c r="D200" s="331">
        <v>5</v>
      </c>
      <c r="E200" s="331">
        <v>121</v>
      </c>
      <c r="F200" s="331">
        <v>307</v>
      </c>
      <c r="G200" s="331">
        <v>267</v>
      </c>
      <c r="H200" s="331">
        <v>2563</v>
      </c>
      <c r="I200" s="330">
        <v>2296</v>
      </c>
      <c r="J200" s="330">
        <v>4</v>
      </c>
      <c r="K200" s="332">
        <v>96.27</v>
      </c>
      <c r="L200" s="332">
        <v>92.86</v>
      </c>
      <c r="M200" s="332">
        <v>6.07</v>
      </c>
      <c r="N200" s="332">
        <v>101.26</v>
      </c>
      <c r="O200" s="333">
        <v>1664</v>
      </c>
      <c r="P200" s="330">
        <v>86.07</v>
      </c>
      <c r="Q200" s="330">
        <v>83.84</v>
      </c>
      <c r="R200" s="330">
        <v>38.72</v>
      </c>
      <c r="S200" s="330">
        <v>123.94</v>
      </c>
      <c r="T200" s="330">
        <v>322</v>
      </c>
      <c r="U200" s="330">
        <v>111.85</v>
      </c>
      <c r="V200" s="330">
        <v>149</v>
      </c>
      <c r="W200" s="330">
        <v>185.13</v>
      </c>
      <c r="X200" s="330">
        <v>4</v>
      </c>
      <c r="Y200" s="330">
        <v>0</v>
      </c>
      <c r="Z200" s="330">
        <v>2</v>
      </c>
      <c r="AA200" s="330">
        <v>0</v>
      </c>
      <c r="AB200" s="330">
        <v>8</v>
      </c>
      <c r="AC200" s="330">
        <v>14</v>
      </c>
      <c r="AD200" s="334">
        <v>1856</v>
      </c>
      <c r="AE200" s="334">
        <v>19</v>
      </c>
      <c r="AF200" s="334">
        <v>3</v>
      </c>
      <c r="AG200" s="334">
        <v>22</v>
      </c>
    </row>
    <row r="201" spans="1:33" x14ac:dyDescent="0.25">
      <c r="A201" s="329" t="s">
        <v>456</v>
      </c>
      <c r="B201" s="335" t="s">
        <v>457</v>
      </c>
      <c r="C201" s="331">
        <v>412</v>
      </c>
      <c r="D201" s="331">
        <v>0</v>
      </c>
      <c r="E201" s="331">
        <v>38</v>
      </c>
      <c r="F201" s="331">
        <v>94</v>
      </c>
      <c r="G201" s="331">
        <v>101</v>
      </c>
      <c r="H201" s="331">
        <v>645</v>
      </c>
      <c r="I201" s="330">
        <v>544</v>
      </c>
      <c r="J201" s="330">
        <v>0</v>
      </c>
      <c r="K201" s="332">
        <v>91.81</v>
      </c>
      <c r="L201" s="332">
        <v>91.49</v>
      </c>
      <c r="M201" s="332">
        <v>5.32</v>
      </c>
      <c r="N201" s="332">
        <v>94.48</v>
      </c>
      <c r="O201" s="333">
        <v>311</v>
      </c>
      <c r="P201" s="330">
        <v>99.81</v>
      </c>
      <c r="Q201" s="330">
        <v>73.8</v>
      </c>
      <c r="R201" s="330">
        <v>30.11</v>
      </c>
      <c r="S201" s="330">
        <v>129.91</v>
      </c>
      <c r="T201" s="330">
        <v>132</v>
      </c>
      <c r="U201" s="330">
        <v>96.98</v>
      </c>
      <c r="V201" s="330">
        <v>34</v>
      </c>
      <c r="W201" s="330">
        <v>0</v>
      </c>
      <c r="X201" s="330">
        <v>0</v>
      </c>
      <c r="Y201" s="330">
        <v>0</v>
      </c>
      <c r="Z201" s="330">
        <v>0</v>
      </c>
      <c r="AA201" s="330">
        <v>0</v>
      </c>
      <c r="AB201" s="330">
        <v>0</v>
      </c>
      <c r="AC201" s="330">
        <v>5</v>
      </c>
      <c r="AD201" s="334">
        <v>377</v>
      </c>
      <c r="AE201" s="334">
        <v>1</v>
      </c>
      <c r="AF201" s="334">
        <v>0</v>
      </c>
      <c r="AG201" s="334">
        <v>1</v>
      </c>
    </row>
    <row r="202" spans="1:33" x14ac:dyDescent="0.25">
      <c r="A202" s="329" t="s">
        <v>458</v>
      </c>
      <c r="B202" s="335" t="s">
        <v>459</v>
      </c>
      <c r="C202" s="331">
        <v>17275</v>
      </c>
      <c r="D202" s="331">
        <v>0</v>
      </c>
      <c r="E202" s="331">
        <v>416</v>
      </c>
      <c r="F202" s="331">
        <v>1144</v>
      </c>
      <c r="G202" s="331">
        <v>105</v>
      </c>
      <c r="H202" s="331">
        <v>18940</v>
      </c>
      <c r="I202" s="330">
        <v>18835</v>
      </c>
      <c r="J202" s="330">
        <v>353</v>
      </c>
      <c r="K202" s="332">
        <v>83.28</v>
      </c>
      <c r="L202" s="332">
        <v>82.96</v>
      </c>
      <c r="M202" s="332">
        <v>1.78</v>
      </c>
      <c r="N202" s="332">
        <v>84.11</v>
      </c>
      <c r="O202" s="333">
        <v>15589</v>
      </c>
      <c r="P202" s="330">
        <v>77.14</v>
      </c>
      <c r="Q202" s="330">
        <v>73.73</v>
      </c>
      <c r="R202" s="330">
        <v>26.06</v>
      </c>
      <c r="S202" s="330">
        <v>100.76</v>
      </c>
      <c r="T202" s="330">
        <v>1519</v>
      </c>
      <c r="U202" s="330">
        <v>102.98</v>
      </c>
      <c r="V202" s="330">
        <v>1226</v>
      </c>
      <c r="W202" s="330">
        <v>86.38</v>
      </c>
      <c r="X202" s="330">
        <v>16</v>
      </c>
      <c r="Y202" s="330">
        <v>23</v>
      </c>
      <c r="Z202" s="330">
        <v>74</v>
      </c>
      <c r="AA202" s="330">
        <v>30</v>
      </c>
      <c r="AB202" s="330">
        <v>5</v>
      </c>
      <c r="AC202" s="330">
        <v>3</v>
      </c>
      <c r="AD202" s="334">
        <v>16677</v>
      </c>
      <c r="AE202" s="334">
        <v>72</v>
      </c>
      <c r="AF202" s="334">
        <v>109</v>
      </c>
      <c r="AG202" s="334">
        <v>181</v>
      </c>
    </row>
    <row r="203" spans="1:33" x14ac:dyDescent="0.25">
      <c r="A203" s="329" t="s">
        <v>460</v>
      </c>
      <c r="B203" s="335" t="s">
        <v>461</v>
      </c>
      <c r="C203" s="331">
        <v>3143</v>
      </c>
      <c r="D203" s="331">
        <v>597</v>
      </c>
      <c r="E203" s="331">
        <v>536</v>
      </c>
      <c r="F203" s="331">
        <v>862</v>
      </c>
      <c r="G203" s="331">
        <v>696</v>
      </c>
      <c r="H203" s="331">
        <v>5834</v>
      </c>
      <c r="I203" s="330">
        <v>5138</v>
      </c>
      <c r="J203" s="330">
        <v>9</v>
      </c>
      <c r="K203" s="332">
        <v>112.5</v>
      </c>
      <c r="L203" s="332">
        <v>109.11</v>
      </c>
      <c r="M203" s="332">
        <v>8.17</v>
      </c>
      <c r="N203" s="332">
        <v>118.76</v>
      </c>
      <c r="O203" s="333">
        <v>2900</v>
      </c>
      <c r="P203" s="330">
        <v>101.31</v>
      </c>
      <c r="Q203" s="330">
        <v>98.44</v>
      </c>
      <c r="R203" s="330">
        <v>44.5</v>
      </c>
      <c r="S203" s="330">
        <v>144.66</v>
      </c>
      <c r="T203" s="330">
        <v>1346</v>
      </c>
      <c r="U203" s="330">
        <v>160.25</v>
      </c>
      <c r="V203" s="330">
        <v>32</v>
      </c>
      <c r="W203" s="330">
        <v>0</v>
      </c>
      <c r="X203" s="330">
        <v>0</v>
      </c>
      <c r="Y203" s="330">
        <v>0</v>
      </c>
      <c r="Z203" s="330">
        <v>1</v>
      </c>
      <c r="AA203" s="330">
        <v>0</v>
      </c>
      <c r="AB203" s="330">
        <v>8</v>
      </c>
      <c r="AC203" s="330">
        <v>28</v>
      </c>
      <c r="AD203" s="334">
        <v>3142</v>
      </c>
      <c r="AE203" s="334">
        <v>14</v>
      </c>
      <c r="AF203" s="334">
        <v>11</v>
      </c>
      <c r="AG203" s="334">
        <v>25</v>
      </c>
    </row>
    <row r="204" spans="1:33" x14ac:dyDescent="0.25">
      <c r="A204" s="329" t="s">
        <v>462</v>
      </c>
      <c r="B204" s="335" t="s">
        <v>463</v>
      </c>
      <c r="C204" s="331">
        <v>3010</v>
      </c>
      <c r="D204" s="331">
        <v>0</v>
      </c>
      <c r="E204" s="331">
        <v>166</v>
      </c>
      <c r="F204" s="331">
        <v>1370</v>
      </c>
      <c r="G204" s="331">
        <v>5</v>
      </c>
      <c r="H204" s="331">
        <v>4551</v>
      </c>
      <c r="I204" s="330">
        <v>4546</v>
      </c>
      <c r="J204" s="330">
        <v>4</v>
      </c>
      <c r="K204" s="332">
        <v>76.489999999999995</v>
      </c>
      <c r="L204" s="332">
        <v>76.489999999999995</v>
      </c>
      <c r="M204" s="332">
        <v>1.94</v>
      </c>
      <c r="N204" s="332">
        <v>78.13</v>
      </c>
      <c r="O204" s="333">
        <v>2850</v>
      </c>
      <c r="P204" s="330">
        <v>71.83</v>
      </c>
      <c r="Q204" s="330">
        <v>67.989999999999995</v>
      </c>
      <c r="R204" s="330">
        <v>7.86</v>
      </c>
      <c r="S204" s="330">
        <v>79.66</v>
      </c>
      <c r="T204" s="330">
        <v>1448</v>
      </c>
      <c r="U204" s="330">
        <v>93.56</v>
      </c>
      <c r="V204" s="330">
        <v>158</v>
      </c>
      <c r="W204" s="330">
        <v>0</v>
      </c>
      <c r="X204" s="330">
        <v>0</v>
      </c>
      <c r="Y204" s="330">
        <v>0</v>
      </c>
      <c r="Z204" s="330">
        <v>33</v>
      </c>
      <c r="AA204" s="330">
        <v>2</v>
      </c>
      <c r="AB204" s="330">
        <v>0</v>
      </c>
      <c r="AC204" s="330">
        <v>0</v>
      </c>
      <c r="AD204" s="334">
        <v>3009</v>
      </c>
      <c r="AE204" s="334">
        <v>29</v>
      </c>
      <c r="AF204" s="334">
        <v>6</v>
      </c>
      <c r="AG204" s="334">
        <v>35</v>
      </c>
    </row>
    <row r="205" spans="1:33" x14ac:dyDescent="0.25">
      <c r="A205" s="329" t="s">
        <v>464</v>
      </c>
      <c r="B205" s="335" t="s">
        <v>465</v>
      </c>
      <c r="C205" s="331">
        <v>12839</v>
      </c>
      <c r="D205" s="331">
        <v>40</v>
      </c>
      <c r="E205" s="331">
        <v>736</v>
      </c>
      <c r="F205" s="331">
        <v>2096</v>
      </c>
      <c r="G205" s="331">
        <v>872</v>
      </c>
      <c r="H205" s="331">
        <v>16583</v>
      </c>
      <c r="I205" s="330">
        <v>15711</v>
      </c>
      <c r="J205" s="330">
        <v>23</v>
      </c>
      <c r="K205" s="332">
        <v>86.54</v>
      </c>
      <c r="L205" s="332">
        <v>86.88</v>
      </c>
      <c r="M205" s="332">
        <v>4.2300000000000004</v>
      </c>
      <c r="N205" s="332">
        <v>88.56</v>
      </c>
      <c r="O205" s="333">
        <v>11388</v>
      </c>
      <c r="P205" s="330">
        <v>84.8</v>
      </c>
      <c r="Q205" s="330">
        <v>83.04</v>
      </c>
      <c r="R205" s="330">
        <v>29.31</v>
      </c>
      <c r="S205" s="330">
        <v>112.45</v>
      </c>
      <c r="T205" s="330">
        <v>2578</v>
      </c>
      <c r="U205" s="330">
        <v>102.79</v>
      </c>
      <c r="V205" s="330">
        <v>1193</v>
      </c>
      <c r="W205" s="330">
        <v>191.97</v>
      </c>
      <c r="X205" s="330">
        <v>100</v>
      </c>
      <c r="Y205" s="330">
        <v>0</v>
      </c>
      <c r="Z205" s="330">
        <v>51</v>
      </c>
      <c r="AA205" s="330">
        <v>10</v>
      </c>
      <c r="AB205" s="330">
        <v>59</v>
      </c>
      <c r="AC205" s="330">
        <v>18</v>
      </c>
      <c r="AD205" s="334">
        <v>12839</v>
      </c>
      <c r="AE205" s="334">
        <v>122</v>
      </c>
      <c r="AF205" s="334">
        <v>12</v>
      </c>
      <c r="AG205" s="334">
        <v>134</v>
      </c>
    </row>
    <row r="206" spans="1:33" x14ac:dyDescent="0.25">
      <c r="A206" s="329" t="s">
        <v>466</v>
      </c>
      <c r="B206" s="335" t="s">
        <v>467</v>
      </c>
      <c r="C206" s="331">
        <v>20225</v>
      </c>
      <c r="D206" s="331">
        <v>0</v>
      </c>
      <c r="E206" s="331">
        <v>470</v>
      </c>
      <c r="F206" s="331">
        <v>1545</v>
      </c>
      <c r="G206" s="331">
        <v>901</v>
      </c>
      <c r="H206" s="331">
        <v>23141</v>
      </c>
      <c r="I206" s="330">
        <v>22240</v>
      </c>
      <c r="J206" s="330">
        <v>5</v>
      </c>
      <c r="K206" s="332">
        <v>73.959999999999994</v>
      </c>
      <c r="L206" s="332">
        <v>76.94</v>
      </c>
      <c r="M206" s="332">
        <v>5.66</v>
      </c>
      <c r="N206" s="332">
        <v>77.44</v>
      </c>
      <c r="O206" s="333">
        <v>18537</v>
      </c>
      <c r="P206" s="330">
        <v>68.41</v>
      </c>
      <c r="Q206" s="330">
        <v>69.5</v>
      </c>
      <c r="R206" s="330">
        <v>33.659999999999997</v>
      </c>
      <c r="S206" s="330">
        <v>101.36</v>
      </c>
      <c r="T206" s="330">
        <v>1909</v>
      </c>
      <c r="U206" s="330">
        <v>104.13</v>
      </c>
      <c r="V206" s="330">
        <v>1267</v>
      </c>
      <c r="W206" s="330">
        <v>0</v>
      </c>
      <c r="X206" s="330">
        <v>0</v>
      </c>
      <c r="Y206" s="330">
        <v>111</v>
      </c>
      <c r="Z206" s="330">
        <v>87</v>
      </c>
      <c r="AA206" s="330">
        <v>48</v>
      </c>
      <c r="AB206" s="330">
        <v>42</v>
      </c>
      <c r="AC206" s="330">
        <v>23</v>
      </c>
      <c r="AD206" s="334">
        <v>19808</v>
      </c>
      <c r="AE206" s="334">
        <v>70</v>
      </c>
      <c r="AF206" s="334">
        <v>239</v>
      </c>
      <c r="AG206" s="334">
        <v>309</v>
      </c>
    </row>
    <row r="207" spans="1:33" x14ac:dyDescent="0.25">
      <c r="A207" s="329" t="s">
        <v>468</v>
      </c>
      <c r="B207" s="335" t="s">
        <v>469</v>
      </c>
      <c r="C207" s="331">
        <v>4737</v>
      </c>
      <c r="D207" s="331">
        <v>6</v>
      </c>
      <c r="E207" s="331">
        <v>482</v>
      </c>
      <c r="F207" s="331">
        <v>832</v>
      </c>
      <c r="G207" s="331">
        <v>774</v>
      </c>
      <c r="H207" s="331">
        <v>6831</v>
      </c>
      <c r="I207" s="330">
        <v>6057</v>
      </c>
      <c r="J207" s="330">
        <v>3</v>
      </c>
      <c r="K207" s="332">
        <v>99.17</v>
      </c>
      <c r="L207" s="332">
        <v>99.34</v>
      </c>
      <c r="M207" s="332">
        <v>8.18</v>
      </c>
      <c r="N207" s="332">
        <v>105.76</v>
      </c>
      <c r="O207" s="333">
        <v>3754</v>
      </c>
      <c r="P207" s="330">
        <v>84.29</v>
      </c>
      <c r="Q207" s="330">
        <v>81.849999999999994</v>
      </c>
      <c r="R207" s="330">
        <v>28.31</v>
      </c>
      <c r="S207" s="330">
        <v>110.14</v>
      </c>
      <c r="T207" s="330">
        <v>633</v>
      </c>
      <c r="U207" s="330">
        <v>123.51</v>
      </c>
      <c r="V207" s="330">
        <v>529</v>
      </c>
      <c r="W207" s="330">
        <v>169.32</v>
      </c>
      <c r="X207" s="330">
        <v>154</v>
      </c>
      <c r="Y207" s="330">
        <v>0</v>
      </c>
      <c r="Z207" s="330">
        <v>1</v>
      </c>
      <c r="AA207" s="330">
        <v>5</v>
      </c>
      <c r="AB207" s="330">
        <v>17</v>
      </c>
      <c r="AC207" s="330">
        <v>8</v>
      </c>
      <c r="AD207" s="334">
        <v>4564</v>
      </c>
      <c r="AE207" s="334">
        <v>42</v>
      </c>
      <c r="AF207" s="334">
        <v>14</v>
      </c>
      <c r="AG207" s="334">
        <v>56</v>
      </c>
    </row>
    <row r="208" spans="1:33" x14ac:dyDescent="0.25">
      <c r="A208" s="329" t="s">
        <v>470</v>
      </c>
      <c r="B208" s="335" t="s">
        <v>471</v>
      </c>
      <c r="C208" s="331">
        <v>9755</v>
      </c>
      <c r="D208" s="331">
        <v>7</v>
      </c>
      <c r="E208" s="331">
        <v>370</v>
      </c>
      <c r="F208" s="331">
        <v>1176</v>
      </c>
      <c r="G208" s="331">
        <v>364</v>
      </c>
      <c r="H208" s="331">
        <v>11672</v>
      </c>
      <c r="I208" s="330">
        <v>11308</v>
      </c>
      <c r="J208" s="330">
        <v>9</v>
      </c>
      <c r="K208" s="332">
        <v>78.739999999999995</v>
      </c>
      <c r="L208" s="332">
        <v>76.680000000000007</v>
      </c>
      <c r="M208" s="332">
        <v>5.96</v>
      </c>
      <c r="N208" s="332">
        <v>81.2</v>
      </c>
      <c r="O208" s="333">
        <v>9344</v>
      </c>
      <c r="P208" s="330">
        <v>76.55</v>
      </c>
      <c r="Q208" s="330">
        <v>69.02</v>
      </c>
      <c r="R208" s="330">
        <v>31.59</v>
      </c>
      <c r="S208" s="330">
        <v>102.51</v>
      </c>
      <c r="T208" s="330">
        <v>1503</v>
      </c>
      <c r="U208" s="330">
        <v>99.78</v>
      </c>
      <c r="V208" s="330">
        <v>392</v>
      </c>
      <c r="W208" s="330">
        <v>0</v>
      </c>
      <c r="X208" s="330">
        <v>0</v>
      </c>
      <c r="Y208" s="330">
        <v>1</v>
      </c>
      <c r="Z208" s="330">
        <v>40</v>
      </c>
      <c r="AA208" s="330">
        <v>15</v>
      </c>
      <c r="AB208" s="330">
        <v>0</v>
      </c>
      <c r="AC208" s="330">
        <v>6</v>
      </c>
      <c r="AD208" s="334">
        <v>9735</v>
      </c>
      <c r="AE208" s="334">
        <v>33</v>
      </c>
      <c r="AF208" s="334">
        <v>58</v>
      </c>
      <c r="AG208" s="334">
        <v>91</v>
      </c>
    </row>
    <row r="209" spans="1:33" x14ac:dyDescent="0.25">
      <c r="A209" s="329" t="s">
        <v>472</v>
      </c>
      <c r="B209" s="335" t="s">
        <v>473</v>
      </c>
      <c r="C209" s="331">
        <v>3457</v>
      </c>
      <c r="D209" s="331">
        <v>48</v>
      </c>
      <c r="E209" s="331">
        <v>318</v>
      </c>
      <c r="F209" s="331">
        <v>512</v>
      </c>
      <c r="G209" s="331">
        <v>936</v>
      </c>
      <c r="H209" s="331">
        <v>5271</v>
      </c>
      <c r="I209" s="330">
        <v>4335</v>
      </c>
      <c r="J209" s="330">
        <v>27</v>
      </c>
      <c r="K209" s="332">
        <v>118.87</v>
      </c>
      <c r="L209" s="332">
        <v>117.66</v>
      </c>
      <c r="M209" s="332">
        <v>8.44</v>
      </c>
      <c r="N209" s="332">
        <v>126.78</v>
      </c>
      <c r="O209" s="333">
        <v>2823</v>
      </c>
      <c r="P209" s="330">
        <v>109.51</v>
      </c>
      <c r="Q209" s="330">
        <v>105.3</v>
      </c>
      <c r="R209" s="330">
        <v>63.38</v>
      </c>
      <c r="S209" s="330">
        <v>169.18</v>
      </c>
      <c r="T209" s="330">
        <v>701</v>
      </c>
      <c r="U209" s="330">
        <v>150.61000000000001</v>
      </c>
      <c r="V209" s="330">
        <v>178</v>
      </c>
      <c r="W209" s="330">
        <v>152.84</v>
      </c>
      <c r="X209" s="330">
        <v>43</v>
      </c>
      <c r="Y209" s="330">
        <v>23</v>
      </c>
      <c r="Z209" s="330">
        <v>6</v>
      </c>
      <c r="AA209" s="330">
        <v>0</v>
      </c>
      <c r="AB209" s="330">
        <v>15</v>
      </c>
      <c r="AC209" s="330">
        <v>56</v>
      </c>
      <c r="AD209" s="334">
        <v>3308</v>
      </c>
      <c r="AE209" s="334">
        <v>10</v>
      </c>
      <c r="AF209" s="334">
        <v>6</v>
      </c>
      <c r="AG209" s="334">
        <v>16</v>
      </c>
    </row>
    <row r="210" spans="1:33" x14ac:dyDescent="0.25">
      <c r="A210" s="329" t="s">
        <v>474</v>
      </c>
      <c r="B210" s="335" t="s">
        <v>475</v>
      </c>
      <c r="C210" s="331">
        <v>3334</v>
      </c>
      <c r="D210" s="331">
        <v>0</v>
      </c>
      <c r="E210" s="331">
        <v>549</v>
      </c>
      <c r="F210" s="331">
        <v>926</v>
      </c>
      <c r="G210" s="331">
        <v>583</v>
      </c>
      <c r="H210" s="331">
        <v>5392</v>
      </c>
      <c r="I210" s="330">
        <v>4809</v>
      </c>
      <c r="J210" s="330">
        <v>15</v>
      </c>
      <c r="K210" s="332">
        <v>129.59</v>
      </c>
      <c r="L210" s="332">
        <v>123.62</v>
      </c>
      <c r="M210" s="332">
        <v>10.73</v>
      </c>
      <c r="N210" s="332">
        <v>135.5</v>
      </c>
      <c r="O210" s="333">
        <v>2966</v>
      </c>
      <c r="P210" s="330">
        <v>101.23</v>
      </c>
      <c r="Q210" s="330">
        <v>99</v>
      </c>
      <c r="R210" s="330">
        <v>43.45</v>
      </c>
      <c r="S210" s="330">
        <v>143.91</v>
      </c>
      <c r="T210" s="330">
        <v>1293</v>
      </c>
      <c r="U210" s="330">
        <v>157.41999999999999</v>
      </c>
      <c r="V210" s="330">
        <v>104</v>
      </c>
      <c r="W210" s="330">
        <v>131.80000000000001</v>
      </c>
      <c r="X210" s="330">
        <v>55</v>
      </c>
      <c r="Y210" s="330">
        <v>0</v>
      </c>
      <c r="Z210" s="330">
        <v>6</v>
      </c>
      <c r="AA210" s="330">
        <v>0</v>
      </c>
      <c r="AB210" s="330">
        <v>7</v>
      </c>
      <c r="AC210" s="330">
        <v>39</v>
      </c>
      <c r="AD210" s="334">
        <v>3214</v>
      </c>
      <c r="AE210" s="334">
        <v>8</v>
      </c>
      <c r="AF210" s="334">
        <v>10</v>
      </c>
      <c r="AG210" s="334">
        <v>18</v>
      </c>
    </row>
    <row r="211" spans="1:33" x14ac:dyDescent="0.25">
      <c r="A211" s="329" t="s">
        <v>476</v>
      </c>
      <c r="B211" s="335" t="s">
        <v>477</v>
      </c>
      <c r="C211" s="331">
        <v>11420</v>
      </c>
      <c r="D211" s="331">
        <v>4</v>
      </c>
      <c r="E211" s="331">
        <v>181</v>
      </c>
      <c r="F211" s="331">
        <v>554</v>
      </c>
      <c r="G211" s="331">
        <v>225</v>
      </c>
      <c r="H211" s="331">
        <v>12384</v>
      </c>
      <c r="I211" s="330">
        <v>12159</v>
      </c>
      <c r="J211" s="330">
        <v>266</v>
      </c>
      <c r="K211" s="332">
        <v>87.33</v>
      </c>
      <c r="L211" s="332">
        <v>87.63</v>
      </c>
      <c r="M211" s="332">
        <v>5.92</v>
      </c>
      <c r="N211" s="332">
        <v>90.28</v>
      </c>
      <c r="O211" s="333">
        <v>11109</v>
      </c>
      <c r="P211" s="330">
        <v>81.03</v>
      </c>
      <c r="Q211" s="330">
        <v>76.55</v>
      </c>
      <c r="R211" s="330">
        <v>37.28</v>
      </c>
      <c r="S211" s="330">
        <v>117.6</v>
      </c>
      <c r="T211" s="330">
        <v>680</v>
      </c>
      <c r="U211" s="330">
        <v>106.79</v>
      </c>
      <c r="V211" s="330">
        <v>183</v>
      </c>
      <c r="W211" s="330">
        <v>0</v>
      </c>
      <c r="X211" s="330">
        <v>0</v>
      </c>
      <c r="Y211" s="330">
        <v>0</v>
      </c>
      <c r="Z211" s="330">
        <v>31</v>
      </c>
      <c r="AA211" s="330">
        <v>0</v>
      </c>
      <c r="AB211" s="330">
        <v>33</v>
      </c>
      <c r="AC211" s="330">
        <v>8</v>
      </c>
      <c r="AD211" s="334">
        <v>11420</v>
      </c>
      <c r="AE211" s="334">
        <v>155</v>
      </c>
      <c r="AF211" s="334">
        <v>228</v>
      </c>
      <c r="AG211" s="334">
        <v>383</v>
      </c>
    </row>
    <row r="212" spans="1:33" x14ac:dyDescent="0.25">
      <c r="A212" s="329" t="s">
        <v>478</v>
      </c>
      <c r="B212" s="335" t="s">
        <v>479</v>
      </c>
      <c r="C212" s="331">
        <v>1664</v>
      </c>
      <c r="D212" s="331">
        <v>0</v>
      </c>
      <c r="E212" s="331">
        <v>132</v>
      </c>
      <c r="F212" s="331">
        <v>137</v>
      </c>
      <c r="G212" s="331">
        <v>149</v>
      </c>
      <c r="H212" s="331">
        <v>2082</v>
      </c>
      <c r="I212" s="330">
        <v>1933</v>
      </c>
      <c r="J212" s="330">
        <v>0</v>
      </c>
      <c r="K212" s="332">
        <v>87.16</v>
      </c>
      <c r="L212" s="332">
        <v>85.37</v>
      </c>
      <c r="M212" s="332">
        <v>4.49</v>
      </c>
      <c r="N212" s="332">
        <v>91.06</v>
      </c>
      <c r="O212" s="333">
        <v>1077</v>
      </c>
      <c r="P212" s="330">
        <v>94.43</v>
      </c>
      <c r="Q212" s="330">
        <v>85.04</v>
      </c>
      <c r="R212" s="330">
        <v>44.05</v>
      </c>
      <c r="S212" s="330">
        <v>134.76</v>
      </c>
      <c r="T212" s="330">
        <v>213</v>
      </c>
      <c r="U212" s="330">
        <v>109.9</v>
      </c>
      <c r="V212" s="330">
        <v>156</v>
      </c>
      <c r="W212" s="330">
        <v>142.18</v>
      </c>
      <c r="X212" s="330">
        <v>1</v>
      </c>
      <c r="Y212" s="330">
        <v>44</v>
      </c>
      <c r="Z212" s="330">
        <v>0</v>
      </c>
      <c r="AA212" s="330">
        <v>0</v>
      </c>
      <c r="AB212" s="330">
        <v>6</v>
      </c>
      <c r="AC212" s="330">
        <v>5</v>
      </c>
      <c r="AD212" s="334">
        <v>1304</v>
      </c>
      <c r="AE212" s="334">
        <v>5</v>
      </c>
      <c r="AF212" s="334">
        <v>0</v>
      </c>
      <c r="AG212" s="334">
        <v>5</v>
      </c>
    </row>
    <row r="213" spans="1:33" x14ac:dyDescent="0.25">
      <c r="A213" s="329" t="s">
        <v>480</v>
      </c>
      <c r="B213" s="335" t="s">
        <v>481</v>
      </c>
      <c r="C213" s="331">
        <v>6021</v>
      </c>
      <c r="D213" s="331">
        <v>240</v>
      </c>
      <c r="E213" s="331">
        <v>397</v>
      </c>
      <c r="F213" s="331">
        <v>626</v>
      </c>
      <c r="G213" s="331">
        <v>694</v>
      </c>
      <c r="H213" s="331">
        <v>7978</v>
      </c>
      <c r="I213" s="330">
        <v>7284</v>
      </c>
      <c r="J213" s="330">
        <v>10</v>
      </c>
      <c r="K213" s="332">
        <v>118.17</v>
      </c>
      <c r="L213" s="332">
        <v>118.6</v>
      </c>
      <c r="M213" s="332">
        <v>3.79</v>
      </c>
      <c r="N213" s="332">
        <v>121.78</v>
      </c>
      <c r="O213" s="333">
        <v>5295</v>
      </c>
      <c r="P213" s="330">
        <v>104.96</v>
      </c>
      <c r="Q213" s="330">
        <v>99.48</v>
      </c>
      <c r="R213" s="330">
        <v>20.190000000000001</v>
      </c>
      <c r="S213" s="330">
        <v>123.3</v>
      </c>
      <c r="T213" s="330">
        <v>656</v>
      </c>
      <c r="U213" s="330">
        <v>138.63999999999999</v>
      </c>
      <c r="V213" s="330">
        <v>591</v>
      </c>
      <c r="W213" s="330">
        <v>185.34</v>
      </c>
      <c r="X213" s="330">
        <v>89</v>
      </c>
      <c r="Y213" s="330">
        <v>0</v>
      </c>
      <c r="Z213" s="330">
        <v>32</v>
      </c>
      <c r="AA213" s="330">
        <v>0</v>
      </c>
      <c r="AB213" s="330">
        <v>32</v>
      </c>
      <c r="AC213" s="330">
        <v>22</v>
      </c>
      <c r="AD213" s="334">
        <v>6021</v>
      </c>
      <c r="AE213" s="334">
        <v>27</v>
      </c>
      <c r="AF213" s="334">
        <v>14</v>
      </c>
      <c r="AG213" s="334">
        <v>41</v>
      </c>
    </row>
    <row r="214" spans="1:33" x14ac:dyDescent="0.25">
      <c r="A214" s="329" t="s">
        <v>482</v>
      </c>
      <c r="B214" s="335" t="s">
        <v>483</v>
      </c>
      <c r="C214" s="331">
        <v>1154</v>
      </c>
      <c r="D214" s="331">
        <v>0</v>
      </c>
      <c r="E214" s="331">
        <v>89</v>
      </c>
      <c r="F214" s="331">
        <v>715</v>
      </c>
      <c r="G214" s="331">
        <v>186</v>
      </c>
      <c r="H214" s="331">
        <v>2144</v>
      </c>
      <c r="I214" s="330">
        <v>1958</v>
      </c>
      <c r="J214" s="330">
        <v>5</v>
      </c>
      <c r="K214" s="332">
        <v>88.56</v>
      </c>
      <c r="L214" s="332">
        <v>88.42</v>
      </c>
      <c r="M214" s="332">
        <v>3.24</v>
      </c>
      <c r="N214" s="332">
        <v>90.79</v>
      </c>
      <c r="O214" s="333">
        <v>969</v>
      </c>
      <c r="P214" s="330">
        <v>77.510000000000005</v>
      </c>
      <c r="Q214" s="330">
        <v>74.84</v>
      </c>
      <c r="R214" s="330">
        <v>13.32</v>
      </c>
      <c r="S214" s="330">
        <v>89.81</v>
      </c>
      <c r="T214" s="330">
        <v>781</v>
      </c>
      <c r="U214" s="330">
        <v>110.58</v>
      </c>
      <c r="V214" s="330">
        <v>169</v>
      </c>
      <c r="W214" s="330">
        <v>104.31</v>
      </c>
      <c r="X214" s="330">
        <v>6</v>
      </c>
      <c r="Y214" s="330">
        <v>0</v>
      </c>
      <c r="Z214" s="330">
        <v>6</v>
      </c>
      <c r="AA214" s="330">
        <v>0</v>
      </c>
      <c r="AB214" s="330">
        <v>11</v>
      </c>
      <c r="AC214" s="330">
        <v>4</v>
      </c>
      <c r="AD214" s="334">
        <v>1154</v>
      </c>
      <c r="AE214" s="334">
        <v>6</v>
      </c>
      <c r="AF214" s="334">
        <v>8</v>
      </c>
      <c r="AG214" s="334">
        <v>14</v>
      </c>
    </row>
    <row r="215" spans="1:33" x14ac:dyDescent="0.25">
      <c r="A215" s="329" t="s">
        <v>484</v>
      </c>
      <c r="B215" s="335" t="s">
        <v>485</v>
      </c>
      <c r="C215" s="331">
        <v>8694</v>
      </c>
      <c r="D215" s="331">
        <v>9</v>
      </c>
      <c r="E215" s="331">
        <v>306</v>
      </c>
      <c r="F215" s="331">
        <v>840</v>
      </c>
      <c r="G215" s="331">
        <v>562</v>
      </c>
      <c r="H215" s="331">
        <v>10411</v>
      </c>
      <c r="I215" s="330">
        <v>9849</v>
      </c>
      <c r="J215" s="330">
        <v>29</v>
      </c>
      <c r="K215" s="332">
        <v>119.1</v>
      </c>
      <c r="L215" s="332">
        <v>134.96</v>
      </c>
      <c r="M215" s="332">
        <v>9.33</v>
      </c>
      <c r="N215" s="332">
        <v>125.28</v>
      </c>
      <c r="O215" s="333">
        <v>8175</v>
      </c>
      <c r="P215" s="330">
        <v>114.81</v>
      </c>
      <c r="Q215" s="330">
        <v>114.54</v>
      </c>
      <c r="R215" s="330">
        <v>28.5</v>
      </c>
      <c r="S215" s="330">
        <v>141.4</v>
      </c>
      <c r="T215" s="330">
        <v>1091</v>
      </c>
      <c r="U215" s="330">
        <v>189.93</v>
      </c>
      <c r="V215" s="330">
        <v>422</v>
      </c>
      <c r="W215" s="330">
        <v>202.32</v>
      </c>
      <c r="X215" s="330">
        <v>7</v>
      </c>
      <c r="Y215" s="330">
        <v>0</v>
      </c>
      <c r="Z215" s="330">
        <v>23</v>
      </c>
      <c r="AA215" s="330">
        <v>50</v>
      </c>
      <c r="AB215" s="330">
        <v>6</v>
      </c>
      <c r="AC215" s="330">
        <v>20</v>
      </c>
      <c r="AD215" s="334">
        <v>8604</v>
      </c>
      <c r="AE215" s="334">
        <v>12</v>
      </c>
      <c r="AF215" s="334">
        <v>39</v>
      </c>
      <c r="AG215" s="334">
        <v>51</v>
      </c>
    </row>
    <row r="216" spans="1:33" x14ac:dyDescent="0.25">
      <c r="A216" s="329" t="s">
        <v>486</v>
      </c>
      <c r="B216" s="335" t="s">
        <v>487</v>
      </c>
      <c r="C216" s="331">
        <v>583</v>
      </c>
      <c r="D216" s="331">
        <v>4</v>
      </c>
      <c r="E216" s="331">
        <v>84</v>
      </c>
      <c r="F216" s="331">
        <v>97</v>
      </c>
      <c r="G216" s="331">
        <v>51</v>
      </c>
      <c r="H216" s="331">
        <v>819</v>
      </c>
      <c r="I216" s="330">
        <v>768</v>
      </c>
      <c r="J216" s="330">
        <v>0</v>
      </c>
      <c r="K216" s="332">
        <v>91.66</v>
      </c>
      <c r="L216" s="332">
        <v>91.36</v>
      </c>
      <c r="M216" s="332">
        <v>3.48</v>
      </c>
      <c r="N216" s="332">
        <v>94.11</v>
      </c>
      <c r="O216" s="333">
        <v>503</v>
      </c>
      <c r="P216" s="330">
        <v>108.88</v>
      </c>
      <c r="Q216" s="330">
        <v>99.65</v>
      </c>
      <c r="R216" s="330">
        <v>50.59</v>
      </c>
      <c r="S216" s="330">
        <v>159.47</v>
      </c>
      <c r="T216" s="330">
        <v>131</v>
      </c>
      <c r="U216" s="330">
        <v>104.47</v>
      </c>
      <c r="V216" s="330">
        <v>56</v>
      </c>
      <c r="W216" s="330">
        <v>166.78</v>
      </c>
      <c r="X216" s="330">
        <v>40</v>
      </c>
      <c r="Y216" s="330">
        <v>0</v>
      </c>
      <c r="Z216" s="330">
        <v>0</v>
      </c>
      <c r="AA216" s="330">
        <v>0</v>
      </c>
      <c r="AB216" s="330">
        <v>0</v>
      </c>
      <c r="AC216" s="330">
        <v>0</v>
      </c>
      <c r="AD216" s="334">
        <v>583</v>
      </c>
      <c r="AE216" s="334">
        <v>4</v>
      </c>
      <c r="AF216" s="334">
        <v>5</v>
      </c>
      <c r="AG216" s="334">
        <v>9</v>
      </c>
    </row>
    <row r="217" spans="1:33" x14ac:dyDescent="0.25">
      <c r="A217" s="329" t="s">
        <v>488</v>
      </c>
      <c r="B217" s="335" t="s">
        <v>489</v>
      </c>
      <c r="C217" s="331">
        <v>18868</v>
      </c>
      <c r="D217" s="331">
        <v>0</v>
      </c>
      <c r="E217" s="331">
        <v>525</v>
      </c>
      <c r="F217" s="331">
        <v>1979</v>
      </c>
      <c r="G217" s="331">
        <v>141</v>
      </c>
      <c r="H217" s="331">
        <v>21513</v>
      </c>
      <c r="I217" s="330">
        <v>21372</v>
      </c>
      <c r="J217" s="330">
        <v>26</v>
      </c>
      <c r="K217" s="332">
        <v>75.599999999999994</v>
      </c>
      <c r="L217" s="332">
        <v>78.540000000000006</v>
      </c>
      <c r="M217" s="332">
        <v>4.1900000000000004</v>
      </c>
      <c r="N217" s="332">
        <v>79.25</v>
      </c>
      <c r="O217" s="333">
        <v>17919</v>
      </c>
      <c r="P217" s="330">
        <v>73.5</v>
      </c>
      <c r="Q217" s="330">
        <v>70.459999999999994</v>
      </c>
      <c r="R217" s="330">
        <v>29.3</v>
      </c>
      <c r="S217" s="330">
        <v>101.31</v>
      </c>
      <c r="T217" s="330">
        <v>2437</v>
      </c>
      <c r="U217" s="330">
        <v>95.74</v>
      </c>
      <c r="V217" s="330">
        <v>858</v>
      </c>
      <c r="W217" s="330">
        <v>0</v>
      </c>
      <c r="X217" s="330">
        <v>0</v>
      </c>
      <c r="Y217" s="330">
        <v>0</v>
      </c>
      <c r="Z217" s="330">
        <v>112</v>
      </c>
      <c r="AA217" s="330">
        <v>3</v>
      </c>
      <c r="AB217" s="330">
        <v>0</v>
      </c>
      <c r="AC217" s="330">
        <v>9</v>
      </c>
      <c r="AD217" s="334">
        <v>18801</v>
      </c>
      <c r="AE217" s="334">
        <v>290</v>
      </c>
      <c r="AF217" s="334">
        <v>55</v>
      </c>
      <c r="AG217" s="334">
        <v>345</v>
      </c>
    </row>
    <row r="218" spans="1:33" x14ac:dyDescent="0.25">
      <c r="A218" s="329" t="s">
        <v>490</v>
      </c>
      <c r="B218" s="335" t="s">
        <v>491</v>
      </c>
      <c r="C218" s="331">
        <v>2053</v>
      </c>
      <c r="D218" s="331">
        <v>0</v>
      </c>
      <c r="E218" s="331">
        <v>44</v>
      </c>
      <c r="F218" s="331">
        <v>717</v>
      </c>
      <c r="G218" s="331">
        <v>209</v>
      </c>
      <c r="H218" s="331">
        <v>3023</v>
      </c>
      <c r="I218" s="330">
        <v>2814</v>
      </c>
      <c r="J218" s="330">
        <v>7</v>
      </c>
      <c r="K218" s="332">
        <v>99.85</v>
      </c>
      <c r="L218" s="332">
        <v>101.66</v>
      </c>
      <c r="M218" s="332">
        <v>7.19</v>
      </c>
      <c r="N218" s="332">
        <v>102</v>
      </c>
      <c r="O218" s="333">
        <v>1799</v>
      </c>
      <c r="P218" s="330">
        <v>85.29</v>
      </c>
      <c r="Q218" s="330">
        <v>86.26</v>
      </c>
      <c r="R218" s="330">
        <v>35.69</v>
      </c>
      <c r="S218" s="330">
        <v>120.83</v>
      </c>
      <c r="T218" s="330">
        <v>757</v>
      </c>
      <c r="U218" s="330">
        <v>138.35</v>
      </c>
      <c r="V218" s="330">
        <v>253</v>
      </c>
      <c r="W218" s="330">
        <v>0</v>
      </c>
      <c r="X218" s="330">
        <v>0</v>
      </c>
      <c r="Y218" s="330">
        <v>0</v>
      </c>
      <c r="Z218" s="330">
        <v>3</v>
      </c>
      <c r="AA218" s="330">
        <v>1</v>
      </c>
      <c r="AB218" s="330">
        <v>14</v>
      </c>
      <c r="AC218" s="330">
        <v>0</v>
      </c>
      <c r="AD218" s="334">
        <v>2053</v>
      </c>
      <c r="AE218" s="334">
        <v>3</v>
      </c>
      <c r="AF218" s="334">
        <v>3</v>
      </c>
      <c r="AG218" s="334">
        <v>6</v>
      </c>
    </row>
    <row r="219" spans="1:33" x14ac:dyDescent="0.25">
      <c r="A219" s="329" t="s">
        <v>492</v>
      </c>
      <c r="B219" s="335" t="s">
        <v>493</v>
      </c>
      <c r="C219" s="331">
        <v>4198</v>
      </c>
      <c r="D219" s="331">
        <v>0</v>
      </c>
      <c r="E219" s="331">
        <v>64</v>
      </c>
      <c r="F219" s="331">
        <v>400</v>
      </c>
      <c r="G219" s="331">
        <v>30</v>
      </c>
      <c r="H219" s="331">
        <v>4692</v>
      </c>
      <c r="I219" s="330">
        <v>4662</v>
      </c>
      <c r="J219" s="330">
        <v>15</v>
      </c>
      <c r="K219" s="332">
        <v>75.260000000000005</v>
      </c>
      <c r="L219" s="332">
        <v>75.290000000000006</v>
      </c>
      <c r="M219" s="332">
        <v>5.48</v>
      </c>
      <c r="N219" s="332">
        <v>75.8</v>
      </c>
      <c r="O219" s="333">
        <v>3919</v>
      </c>
      <c r="P219" s="330">
        <v>81.98</v>
      </c>
      <c r="Q219" s="330">
        <v>79.11</v>
      </c>
      <c r="R219" s="330">
        <v>29.9</v>
      </c>
      <c r="S219" s="330">
        <v>107.94</v>
      </c>
      <c r="T219" s="330">
        <v>433</v>
      </c>
      <c r="U219" s="330">
        <v>92.85</v>
      </c>
      <c r="V219" s="330">
        <v>276</v>
      </c>
      <c r="W219" s="330">
        <v>0</v>
      </c>
      <c r="X219" s="330">
        <v>0</v>
      </c>
      <c r="Y219" s="330">
        <v>0</v>
      </c>
      <c r="Z219" s="330">
        <v>17</v>
      </c>
      <c r="AA219" s="330">
        <v>2</v>
      </c>
      <c r="AB219" s="330">
        <v>1</v>
      </c>
      <c r="AC219" s="330">
        <v>0</v>
      </c>
      <c r="AD219" s="334">
        <v>4198</v>
      </c>
      <c r="AE219" s="334">
        <v>22</v>
      </c>
      <c r="AF219" s="334">
        <v>9</v>
      </c>
      <c r="AG219" s="334">
        <v>31</v>
      </c>
    </row>
    <row r="220" spans="1:33" x14ac:dyDescent="0.25">
      <c r="A220" s="329" t="s">
        <v>494</v>
      </c>
      <c r="B220" s="335" t="s">
        <v>495</v>
      </c>
      <c r="C220" s="331">
        <v>3559</v>
      </c>
      <c r="D220" s="331">
        <v>0</v>
      </c>
      <c r="E220" s="331">
        <v>120</v>
      </c>
      <c r="F220" s="331">
        <v>684</v>
      </c>
      <c r="G220" s="331">
        <v>169</v>
      </c>
      <c r="H220" s="331">
        <v>4532</v>
      </c>
      <c r="I220" s="330">
        <v>4363</v>
      </c>
      <c r="J220" s="330">
        <v>29</v>
      </c>
      <c r="K220" s="332">
        <v>97.53</v>
      </c>
      <c r="L220" s="332">
        <v>95.32</v>
      </c>
      <c r="M220" s="332">
        <v>2.94</v>
      </c>
      <c r="N220" s="332">
        <v>99.94</v>
      </c>
      <c r="O220" s="333">
        <v>3284</v>
      </c>
      <c r="P220" s="330">
        <v>85.72</v>
      </c>
      <c r="Q220" s="330">
        <v>79.239999999999995</v>
      </c>
      <c r="R220" s="330">
        <v>32.54</v>
      </c>
      <c r="S220" s="330">
        <v>114.33</v>
      </c>
      <c r="T220" s="330">
        <v>653</v>
      </c>
      <c r="U220" s="330">
        <v>121.84</v>
      </c>
      <c r="V220" s="330">
        <v>258</v>
      </c>
      <c r="W220" s="330">
        <v>0</v>
      </c>
      <c r="X220" s="330">
        <v>0</v>
      </c>
      <c r="Y220" s="330">
        <v>13</v>
      </c>
      <c r="Z220" s="330">
        <v>5</v>
      </c>
      <c r="AA220" s="330">
        <v>11</v>
      </c>
      <c r="AB220" s="330">
        <v>12</v>
      </c>
      <c r="AC220" s="330">
        <v>0</v>
      </c>
      <c r="AD220" s="334">
        <v>3542</v>
      </c>
      <c r="AE220" s="334">
        <v>46</v>
      </c>
      <c r="AF220" s="334">
        <v>3</v>
      </c>
      <c r="AG220" s="334">
        <v>49</v>
      </c>
    </row>
    <row r="221" spans="1:33" x14ac:dyDescent="0.25">
      <c r="A221" s="329" t="s">
        <v>496</v>
      </c>
      <c r="B221" s="335" t="s">
        <v>497</v>
      </c>
      <c r="C221" s="331">
        <v>3317</v>
      </c>
      <c r="D221" s="331">
        <v>0</v>
      </c>
      <c r="E221" s="331">
        <v>349</v>
      </c>
      <c r="F221" s="331">
        <v>915</v>
      </c>
      <c r="G221" s="331">
        <v>258</v>
      </c>
      <c r="H221" s="331">
        <v>4839</v>
      </c>
      <c r="I221" s="330">
        <v>4581</v>
      </c>
      <c r="J221" s="330">
        <v>4</v>
      </c>
      <c r="K221" s="332">
        <v>81.53</v>
      </c>
      <c r="L221" s="332">
        <v>80.790000000000006</v>
      </c>
      <c r="M221" s="332">
        <v>7.75</v>
      </c>
      <c r="N221" s="332">
        <v>85.55</v>
      </c>
      <c r="O221" s="333">
        <v>2958</v>
      </c>
      <c r="P221" s="330">
        <v>81.099999999999994</v>
      </c>
      <c r="Q221" s="330">
        <v>73.84</v>
      </c>
      <c r="R221" s="330">
        <v>30.5</v>
      </c>
      <c r="S221" s="330">
        <v>109.32</v>
      </c>
      <c r="T221" s="330">
        <v>1229</v>
      </c>
      <c r="U221" s="330">
        <v>97.38</v>
      </c>
      <c r="V221" s="330">
        <v>244</v>
      </c>
      <c r="W221" s="330">
        <v>90.3</v>
      </c>
      <c r="X221" s="330">
        <v>5</v>
      </c>
      <c r="Y221" s="330">
        <v>0</v>
      </c>
      <c r="Z221" s="330">
        <v>0</v>
      </c>
      <c r="AA221" s="330">
        <v>12</v>
      </c>
      <c r="AB221" s="330">
        <v>23</v>
      </c>
      <c r="AC221" s="330">
        <v>4</v>
      </c>
      <c r="AD221" s="334">
        <v>3290</v>
      </c>
      <c r="AE221" s="334">
        <v>31</v>
      </c>
      <c r="AF221" s="334">
        <v>15</v>
      </c>
      <c r="AG221" s="334">
        <v>46</v>
      </c>
    </row>
    <row r="222" spans="1:33" x14ac:dyDescent="0.25">
      <c r="A222" s="329" t="s">
        <v>498</v>
      </c>
      <c r="B222" s="335" t="s">
        <v>499</v>
      </c>
      <c r="C222" s="331">
        <v>2218</v>
      </c>
      <c r="D222" s="331">
        <v>4</v>
      </c>
      <c r="E222" s="331">
        <v>52</v>
      </c>
      <c r="F222" s="331">
        <v>241</v>
      </c>
      <c r="G222" s="331">
        <v>469</v>
      </c>
      <c r="H222" s="331">
        <v>2984</v>
      </c>
      <c r="I222" s="330">
        <v>2515</v>
      </c>
      <c r="J222" s="330">
        <v>11</v>
      </c>
      <c r="K222" s="332">
        <v>98.78</v>
      </c>
      <c r="L222" s="332">
        <v>97.67</v>
      </c>
      <c r="M222" s="332">
        <v>4.8600000000000003</v>
      </c>
      <c r="N222" s="332">
        <v>102.32</v>
      </c>
      <c r="O222" s="333">
        <v>2056</v>
      </c>
      <c r="P222" s="330">
        <v>82.65</v>
      </c>
      <c r="Q222" s="330">
        <v>84.89</v>
      </c>
      <c r="R222" s="330">
        <v>32.909999999999997</v>
      </c>
      <c r="S222" s="330">
        <v>113.48</v>
      </c>
      <c r="T222" s="330">
        <v>205</v>
      </c>
      <c r="U222" s="330">
        <v>114.71</v>
      </c>
      <c r="V222" s="330">
        <v>111</v>
      </c>
      <c r="W222" s="330">
        <v>184.68</v>
      </c>
      <c r="X222" s="330">
        <v>62</v>
      </c>
      <c r="Y222" s="330">
        <v>0</v>
      </c>
      <c r="Z222" s="330">
        <v>3</v>
      </c>
      <c r="AA222" s="330">
        <v>4</v>
      </c>
      <c r="AB222" s="330">
        <v>57</v>
      </c>
      <c r="AC222" s="330">
        <v>10</v>
      </c>
      <c r="AD222" s="334">
        <v>2181</v>
      </c>
      <c r="AE222" s="334">
        <v>16</v>
      </c>
      <c r="AF222" s="334">
        <v>8</v>
      </c>
      <c r="AG222" s="334">
        <v>24</v>
      </c>
    </row>
    <row r="223" spans="1:33" x14ac:dyDescent="0.25">
      <c r="A223" s="329" t="s">
        <v>500</v>
      </c>
      <c r="B223" s="335" t="s">
        <v>501</v>
      </c>
      <c r="C223" s="331">
        <v>1109</v>
      </c>
      <c r="D223" s="331">
        <v>23</v>
      </c>
      <c r="E223" s="331">
        <v>67</v>
      </c>
      <c r="F223" s="331">
        <v>278</v>
      </c>
      <c r="G223" s="331">
        <v>256</v>
      </c>
      <c r="H223" s="331">
        <v>1733</v>
      </c>
      <c r="I223" s="330">
        <v>1477</v>
      </c>
      <c r="J223" s="330">
        <v>23</v>
      </c>
      <c r="K223" s="332">
        <v>121.19</v>
      </c>
      <c r="L223" s="332">
        <v>119.17</v>
      </c>
      <c r="M223" s="332">
        <v>7.39</v>
      </c>
      <c r="N223" s="332">
        <v>126.84</v>
      </c>
      <c r="O223" s="333">
        <v>885</v>
      </c>
      <c r="P223" s="330">
        <v>111.44</v>
      </c>
      <c r="Q223" s="330">
        <v>106.79</v>
      </c>
      <c r="R223" s="330">
        <v>28.43</v>
      </c>
      <c r="S223" s="330">
        <v>138.22</v>
      </c>
      <c r="T223" s="330">
        <v>326</v>
      </c>
      <c r="U223" s="330">
        <v>204.48</v>
      </c>
      <c r="V223" s="330">
        <v>46</v>
      </c>
      <c r="W223" s="330">
        <v>131.06</v>
      </c>
      <c r="X223" s="330">
        <v>20</v>
      </c>
      <c r="Y223" s="330">
        <v>0</v>
      </c>
      <c r="Z223" s="330">
        <v>0</v>
      </c>
      <c r="AA223" s="330">
        <v>1</v>
      </c>
      <c r="AB223" s="330">
        <v>77</v>
      </c>
      <c r="AC223" s="330">
        <v>7</v>
      </c>
      <c r="AD223" s="334">
        <v>1025</v>
      </c>
      <c r="AE223" s="334">
        <v>2</v>
      </c>
      <c r="AF223" s="334">
        <v>2</v>
      </c>
      <c r="AG223" s="334">
        <v>4</v>
      </c>
    </row>
    <row r="224" spans="1:33" x14ac:dyDescent="0.25">
      <c r="A224" s="329" t="s">
        <v>502</v>
      </c>
      <c r="B224" s="335" t="s">
        <v>503</v>
      </c>
      <c r="C224" s="331">
        <v>2654</v>
      </c>
      <c r="D224" s="331">
        <v>0</v>
      </c>
      <c r="E224" s="331">
        <v>59</v>
      </c>
      <c r="F224" s="331">
        <v>1380</v>
      </c>
      <c r="G224" s="331">
        <v>248</v>
      </c>
      <c r="H224" s="331">
        <v>4341</v>
      </c>
      <c r="I224" s="330">
        <v>4093</v>
      </c>
      <c r="J224" s="330">
        <v>12</v>
      </c>
      <c r="K224" s="332">
        <v>95.69</v>
      </c>
      <c r="L224" s="332">
        <v>101.36</v>
      </c>
      <c r="M224" s="332">
        <v>3.98</v>
      </c>
      <c r="N224" s="332">
        <v>96.93</v>
      </c>
      <c r="O224" s="333">
        <v>2517</v>
      </c>
      <c r="P224" s="330">
        <v>90.61</v>
      </c>
      <c r="Q224" s="330">
        <v>90.73</v>
      </c>
      <c r="R224" s="330">
        <v>11.08</v>
      </c>
      <c r="S224" s="330">
        <v>99.13</v>
      </c>
      <c r="T224" s="330">
        <v>1426</v>
      </c>
      <c r="U224" s="330">
        <v>105.72</v>
      </c>
      <c r="V224" s="330">
        <v>77</v>
      </c>
      <c r="W224" s="330">
        <v>0</v>
      </c>
      <c r="X224" s="330">
        <v>0</v>
      </c>
      <c r="Y224" s="330">
        <v>0</v>
      </c>
      <c r="Z224" s="330">
        <v>18</v>
      </c>
      <c r="AA224" s="330">
        <v>1</v>
      </c>
      <c r="AB224" s="330">
        <v>2</v>
      </c>
      <c r="AC224" s="330">
        <v>12</v>
      </c>
      <c r="AD224" s="334">
        <v>2642</v>
      </c>
      <c r="AE224" s="334">
        <v>13</v>
      </c>
      <c r="AF224" s="334">
        <v>3</v>
      </c>
      <c r="AG224" s="334">
        <v>16</v>
      </c>
    </row>
    <row r="225" spans="1:33" x14ac:dyDescent="0.25">
      <c r="A225" s="329" t="s">
        <v>504</v>
      </c>
      <c r="B225" s="335" t="s">
        <v>505</v>
      </c>
      <c r="C225" s="331">
        <v>5189</v>
      </c>
      <c r="D225" s="331">
        <v>0</v>
      </c>
      <c r="E225" s="331">
        <v>184</v>
      </c>
      <c r="F225" s="331">
        <v>720</v>
      </c>
      <c r="G225" s="331">
        <v>565</v>
      </c>
      <c r="H225" s="331">
        <v>6658</v>
      </c>
      <c r="I225" s="330">
        <v>6093</v>
      </c>
      <c r="J225" s="330">
        <v>24</v>
      </c>
      <c r="K225" s="332">
        <v>112</v>
      </c>
      <c r="L225" s="332">
        <v>111.17</v>
      </c>
      <c r="M225" s="332">
        <v>8.14</v>
      </c>
      <c r="N225" s="332">
        <v>116.68</v>
      </c>
      <c r="O225" s="333">
        <v>4600</v>
      </c>
      <c r="P225" s="330">
        <v>89.75</v>
      </c>
      <c r="Q225" s="330">
        <v>91.38</v>
      </c>
      <c r="R225" s="330">
        <v>32.68</v>
      </c>
      <c r="S225" s="330">
        <v>119.62</v>
      </c>
      <c r="T225" s="330">
        <v>895</v>
      </c>
      <c r="U225" s="330">
        <v>142.88999999999999</v>
      </c>
      <c r="V225" s="330">
        <v>471</v>
      </c>
      <c r="W225" s="330">
        <v>132.19999999999999</v>
      </c>
      <c r="X225" s="330">
        <v>9</v>
      </c>
      <c r="Y225" s="330">
        <v>10</v>
      </c>
      <c r="Z225" s="330">
        <v>8</v>
      </c>
      <c r="AA225" s="330">
        <v>0</v>
      </c>
      <c r="AB225" s="330">
        <v>24</v>
      </c>
      <c r="AC225" s="330">
        <v>37</v>
      </c>
      <c r="AD225" s="334">
        <v>5168</v>
      </c>
      <c r="AE225" s="334">
        <v>16</v>
      </c>
      <c r="AF225" s="334">
        <v>43</v>
      </c>
      <c r="AG225" s="334">
        <v>59</v>
      </c>
    </row>
    <row r="226" spans="1:33" x14ac:dyDescent="0.25">
      <c r="A226" s="329" t="s">
        <v>506</v>
      </c>
      <c r="B226" s="335" t="s">
        <v>507</v>
      </c>
      <c r="C226" s="331">
        <v>1260</v>
      </c>
      <c r="D226" s="331">
        <v>0</v>
      </c>
      <c r="E226" s="331">
        <v>34</v>
      </c>
      <c r="F226" s="331">
        <v>520</v>
      </c>
      <c r="G226" s="331">
        <v>148</v>
      </c>
      <c r="H226" s="331">
        <v>1962</v>
      </c>
      <c r="I226" s="330">
        <v>1814</v>
      </c>
      <c r="J226" s="330">
        <v>5</v>
      </c>
      <c r="K226" s="332">
        <v>91.4</v>
      </c>
      <c r="L226" s="332">
        <v>100.21</v>
      </c>
      <c r="M226" s="332">
        <v>5.1100000000000003</v>
      </c>
      <c r="N226" s="332">
        <v>93.14</v>
      </c>
      <c r="O226" s="333">
        <v>1133</v>
      </c>
      <c r="P226" s="330">
        <v>80.959999999999994</v>
      </c>
      <c r="Q226" s="330">
        <v>89.13</v>
      </c>
      <c r="R226" s="330">
        <v>22.56</v>
      </c>
      <c r="S226" s="330">
        <v>90.17</v>
      </c>
      <c r="T226" s="330">
        <v>495</v>
      </c>
      <c r="U226" s="330">
        <v>104.47</v>
      </c>
      <c r="V226" s="330">
        <v>58</v>
      </c>
      <c r="W226" s="330">
        <v>0</v>
      </c>
      <c r="X226" s="330">
        <v>0</v>
      </c>
      <c r="Y226" s="330">
        <v>0</v>
      </c>
      <c r="Z226" s="330">
        <v>5</v>
      </c>
      <c r="AA226" s="330">
        <v>0</v>
      </c>
      <c r="AB226" s="330">
        <v>12</v>
      </c>
      <c r="AC226" s="330">
        <v>10</v>
      </c>
      <c r="AD226" s="334">
        <v>1203</v>
      </c>
      <c r="AE226" s="334">
        <v>9</v>
      </c>
      <c r="AF226" s="334">
        <v>3</v>
      </c>
      <c r="AG226" s="334">
        <v>12</v>
      </c>
    </row>
    <row r="227" spans="1:33" x14ac:dyDescent="0.25">
      <c r="A227" s="329" t="s">
        <v>508</v>
      </c>
      <c r="B227" s="335" t="s">
        <v>509</v>
      </c>
      <c r="C227" s="331">
        <v>2013</v>
      </c>
      <c r="D227" s="331">
        <v>18</v>
      </c>
      <c r="E227" s="331">
        <v>39</v>
      </c>
      <c r="F227" s="331">
        <v>1058</v>
      </c>
      <c r="G227" s="331">
        <v>46</v>
      </c>
      <c r="H227" s="331">
        <v>3174</v>
      </c>
      <c r="I227" s="330">
        <v>3128</v>
      </c>
      <c r="J227" s="330">
        <v>6</v>
      </c>
      <c r="K227" s="332">
        <v>91.93</v>
      </c>
      <c r="L227" s="332">
        <v>88.43</v>
      </c>
      <c r="M227" s="332">
        <v>4.76</v>
      </c>
      <c r="N227" s="332">
        <v>93.22</v>
      </c>
      <c r="O227" s="333">
        <v>1600</v>
      </c>
      <c r="P227" s="330">
        <v>82.43</v>
      </c>
      <c r="Q227" s="330">
        <v>78.180000000000007</v>
      </c>
      <c r="R227" s="330">
        <v>9.6</v>
      </c>
      <c r="S227" s="330">
        <v>89.49</v>
      </c>
      <c r="T227" s="330">
        <v>826</v>
      </c>
      <c r="U227" s="330">
        <v>100.09</v>
      </c>
      <c r="V227" s="330">
        <v>374</v>
      </c>
      <c r="W227" s="330">
        <v>92.43</v>
      </c>
      <c r="X227" s="330">
        <v>247</v>
      </c>
      <c r="Y227" s="330">
        <v>0</v>
      </c>
      <c r="Z227" s="330">
        <v>7</v>
      </c>
      <c r="AA227" s="330">
        <v>4</v>
      </c>
      <c r="AB227" s="330">
        <v>1</v>
      </c>
      <c r="AC227" s="330">
        <v>0</v>
      </c>
      <c r="AD227" s="334">
        <v>2007</v>
      </c>
      <c r="AE227" s="334">
        <v>12</v>
      </c>
      <c r="AF227" s="334">
        <v>4</v>
      </c>
      <c r="AG227" s="334">
        <v>16</v>
      </c>
    </row>
    <row r="228" spans="1:33" x14ac:dyDescent="0.25">
      <c r="A228" s="329" t="s">
        <v>510</v>
      </c>
      <c r="B228" s="335" t="s">
        <v>511</v>
      </c>
      <c r="C228" s="331">
        <v>27400</v>
      </c>
      <c r="D228" s="331">
        <v>0</v>
      </c>
      <c r="E228" s="331">
        <v>520</v>
      </c>
      <c r="F228" s="331">
        <v>2292</v>
      </c>
      <c r="G228" s="331">
        <v>196</v>
      </c>
      <c r="H228" s="331">
        <v>30408</v>
      </c>
      <c r="I228" s="330">
        <v>30212</v>
      </c>
      <c r="J228" s="330">
        <v>1863</v>
      </c>
      <c r="K228" s="332">
        <v>78.36</v>
      </c>
      <c r="L228" s="332">
        <v>79.2</v>
      </c>
      <c r="M228" s="332">
        <v>7.28</v>
      </c>
      <c r="N228" s="332">
        <v>81.7</v>
      </c>
      <c r="O228" s="333">
        <v>26085</v>
      </c>
      <c r="P228" s="330">
        <v>78.290000000000006</v>
      </c>
      <c r="Q228" s="330">
        <v>72.849999999999994</v>
      </c>
      <c r="R228" s="330">
        <v>27.1</v>
      </c>
      <c r="S228" s="330">
        <v>105.12</v>
      </c>
      <c r="T228" s="330">
        <v>2512</v>
      </c>
      <c r="U228" s="330">
        <v>104.7</v>
      </c>
      <c r="V228" s="330">
        <v>1109</v>
      </c>
      <c r="W228" s="330">
        <v>164.61</v>
      </c>
      <c r="X228" s="330">
        <v>75</v>
      </c>
      <c r="Y228" s="330">
        <v>2</v>
      </c>
      <c r="Z228" s="330">
        <v>64</v>
      </c>
      <c r="AA228" s="330">
        <v>16</v>
      </c>
      <c r="AB228" s="330">
        <v>15</v>
      </c>
      <c r="AC228" s="330">
        <v>6</v>
      </c>
      <c r="AD228" s="334">
        <v>27292</v>
      </c>
      <c r="AE228" s="334">
        <v>151</v>
      </c>
      <c r="AF228" s="334">
        <v>311</v>
      </c>
      <c r="AG228" s="334">
        <v>462</v>
      </c>
    </row>
    <row r="229" spans="1:33" x14ac:dyDescent="0.25">
      <c r="A229" s="329" t="s">
        <v>512</v>
      </c>
      <c r="B229" s="335" t="s">
        <v>513</v>
      </c>
      <c r="C229" s="331">
        <v>5465</v>
      </c>
      <c r="D229" s="331">
        <v>2</v>
      </c>
      <c r="E229" s="331">
        <v>444</v>
      </c>
      <c r="F229" s="331">
        <v>1043</v>
      </c>
      <c r="G229" s="331">
        <v>599</v>
      </c>
      <c r="H229" s="331">
        <v>7553</v>
      </c>
      <c r="I229" s="330">
        <v>6954</v>
      </c>
      <c r="J229" s="330">
        <v>1</v>
      </c>
      <c r="K229" s="332">
        <v>89.2</v>
      </c>
      <c r="L229" s="332">
        <v>89.4</v>
      </c>
      <c r="M229" s="332">
        <v>6.82</v>
      </c>
      <c r="N229" s="332">
        <v>94.42</v>
      </c>
      <c r="O229" s="333">
        <v>4404</v>
      </c>
      <c r="P229" s="330">
        <v>83.43</v>
      </c>
      <c r="Q229" s="330">
        <v>82.78</v>
      </c>
      <c r="R229" s="330">
        <v>39.659999999999997</v>
      </c>
      <c r="S229" s="330">
        <v>122.78</v>
      </c>
      <c r="T229" s="330">
        <v>1180</v>
      </c>
      <c r="U229" s="330">
        <v>116.09</v>
      </c>
      <c r="V229" s="330">
        <v>547</v>
      </c>
      <c r="W229" s="330">
        <v>144.29</v>
      </c>
      <c r="X229" s="330">
        <v>92</v>
      </c>
      <c r="Y229" s="330">
        <v>0</v>
      </c>
      <c r="Z229" s="330">
        <v>4</v>
      </c>
      <c r="AA229" s="330">
        <v>0</v>
      </c>
      <c r="AB229" s="330">
        <v>3</v>
      </c>
      <c r="AC229" s="330">
        <v>30</v>
      </c>
      <c r="AD229" s="334">
        <v>5199</v>
      </c>
      <c r="AE229" s="334">
        <v>40</v>
      </c>
      <c r="AF229" s="334">
        <v>19</v>
      </c>
      <c r="AG229" s="334">
        <v>59</v>
      </c>
    </row>
    <row r="230" spans="1:33" x14ac:dyDescent="0.25">
      <c r="A230" s="329" t="s">
        <v>514</v>
      </c>
      <c r="B230" s="335" t="s">
        <v>515</v>
      </c>
      <c r="C230" s="331">
        <v>5848</v>
      </c>
      <c r="D230" s="331">
        <v>12</v>
      </c>
      <c r="E230" s="331">
        <v>152</v>
      </c>
      <c r="F230" s="331">
        <v>592</v>
      </c>
      <c r="G230" s="331">
        <v>253</v>
      </c>
      <c r="H230" s="331">
        <v>6857</v>
      </c>
      <c r="I230" s="330">
        <v>6604</v>
      </c>
      <c r="J230" s="330">
        <v>83</v>
      </c>
      <c r="K230" s="332">
        <v>84.65</v>
      </c>
      <c r="L230" s="332">
        <v>84.48</v>
      </c>
      <c r="M230" s="332">
        <v>2.83</v>
      </c>
      <c r="N230" s="332">
        <v>85.73</v>
      </c>
      <c r="O230" s="333">
        <v>5666</v>
      </c>
      <c r="P230" s="330">
        <v>84.93</v>
      </c>
      <c r="Q230" s="330">
        <v>82.41</v>
      </c>
      <c r="R230" s="330">
        <v>26.21</v>
      </c>
      <c r="S230" s="330">
        <v>110.62</v>
      </c>
      <c r="T230" s="330">
        <v>615</v>
      </c>
      <c r="U230" s="330">
        <v>106.67</v>
      </c>
      <c r="V230" s="330">
        <v>186</v>
      </c>
      <c r="W230" s="330">
        <v>158.77000000000001</v>
      </c>
      <c r="X230" s="330">
        <v>64</v>
      </c>
      <c r="Y230" s="330">
        <v>0</v>
      </c>
      <c r="Z230" s="330">
        <v>13</v>
      </c>
      <c r="AA230" s="330">
        <v>0</v>
      </c>
      <c r="AB230" s="330">
        <v>11</v>
      </c>
      <c r="AC230" s="330">
        <v>3</v>
      </c>
      <c r="AD230" s="334">
        <v>5845</v>
      </c>
      <c r="AE230" s="334">
        <v>35</v>
      </c>
      <c r="AF230" s="334">
        <v>63</v>
      </c>
      <c r="AG230" s="334">
        <v>98</v>
      </c>
    </row>
    <row r="231" spans="1:33" x14ac:dyDescent="0.25">
      <c r="A231" s="329" t="s">
        <v>516</v>
      </c>
      <c r="B231" s="335" t="s">
        <v>517</v>
      </c>
      <c r="C231" s="331">
        <v>2677</v>
      </c>
      <c r="D231" s="331">
        <v>32</v>
      </c>
      <c r="E231" s="331">
        <v>241</v>
      </c>
      <c r="F231" s="331">
        <v>102</v>
      </c>
      <c r="G231" s="331">
        <v>213</v>
      </c>
      <c r="H231" s="331">
        <v>3265</v>
      </c>
      <c r="I231" s="330">
        <v>3052</v>
      </c>
      <c r="J231" s="330">
        <v>0</v>
      </c>
      <c r="K231" s="332">
        <v>92.42</v>
      </c>
      <c r="L231" s="332">
        <v>89.6</v>
      </c>
      <c r="M231" s="332">
        <v>3.79</v>
      </c>
      <c r="N231" s="332">
        <v>95.58</v>
      </c>
      <c r="O231" s="333">
        <v>1617</v>
      </c>
      <c r="P231" s="330">
        <v>72.959999999999994</v>
      </c>
      <c r="Q231" s="330">
        <v>69.47</v>
      </c>
      <c r="R231" s="330">
        <v>36.869999999999997</v>
      </c>
      <c r="S231" s="330">
        <v>107.44</v>
      </c>
      <c r="T231" s="330">
        <v>200</v>
      </c>
      <c r="U231" s="330">
        <v>110.76</v>
      </c>
      <c r="V231" s="330">
        <v>326</v>
      </c>
      <c r="W231" s="330">
        <v>0</v>
      </c>
      <c r="X231" s="330">
        <v>0</v>
      </c>
      <c r="Y231" s="330">
        <v>88</v>
      </c>
      <c r="Z231" s="330">
        <v>0</v>
      </c>
      <c r="AA231" s="330">
        <v>0</v>
      </c>
      <c r="AB231" s="330">
        <v>3</v>
      </c>
      <c r="AC231" s="330">
        <v>2</v>
      </c>
      <c r="AD231" s="334">
        <v>1867</v>
      </c>
      <c r="AE231" s="334">
        <v>72</v>
      </c>
      <c r="AF231" s="334">
        <v>1</v>
      </c>
      <c r="AG231" s="334">
        <v>73</v>
      </c>
    </row>
    <row r="232" spans="1:33" x14ac:dyDescent="0.25">
      <c r="A232" s="329" t="s">
        <v>518</v>
      </c>
      <c r="B232" s="335" t="s">
        <v>519</v>
      </c>
      <c r="C232" s="331">
        <v>15914</v>
      </c>
      <c r="D232" s="331">
        <v>0</v>
      </c>
      <c r="E232" s="331">
        <v>1514</v>
      </c>
      <c r="F232" s="331">
        <v>1586</v>
      </c>
      <c r="G232" s="331">
        <v>580</v>
      </c>
      <c r="H232" s="331">
        <v>19594</v>
      </c>
      <c r="I232" s="330">
        <v>19014</v>
      </c>
      <c r="J232" s="330">
        <v>103</v>
      </c>
      <c r="K232" s="332">
        <v>86.64</v>
      </c>
      <c r="L232" s="332">
        <v>92.19</v>
      </c>
      <c r="M232" s="332">
        <v>9.39</v>
      </c>
      <c r="N232" s="332">
        <v>89.98</v>
      </c>
      <c r="O232" s="333">
        <v>14954</v>
      </c>
      <c r="P232" s="330">
        <v>78.53</v>
      </c>
      <c r="Q232" s="330">
        <v>79.8</v>
      </c>
      <c r="R232" s="330">
        <v>28.63</v>
      </c>
      <c r="S232" s="330">
        <v>106.43</v>
      </c>
      <c r="T232" s="330">
        <v>2906</v>
      </c>
      <c r="U232" s="330">
        <v>98.87</v>
      </c>
      <c r="V232" s="330">
        <v>522</v>
      </c>
      <c r="W232" s="330">
        <v>0</v>
      </c>
      <c r="X232" s="330">
        <v>0</v>
      </c>
      <c r="Y232" s="330">
        <v>0</v>
      </c>
      <c r="Z232" s="330">
        <v>3</v>
      </c>
      <c r="AA232" s="330">
        <v>33</v>
      </c>
      <c r="AB232" s="330">
        <v>8</v>
      </c>
      <c r="AC232" s="330">
        <v>7</v>
      </c>
      <c r="AD232" s="334">
        <v>15552</v>
      </c>
      <c r="AE232" s="334">
        <v>154</v>
      </c>
      <c r="AF232" s="334">
        <v>389</v>
      </c>
      <c r="AG232" s="334">
        <v>543</v>
      </c>
    </row>
    <row r="233" spans="1:33" x14ac:dyDescent="0.25">
      <c r="A233" s="329" t="s">
        <v>520</v>
      </c>
      <c r="B233" s="335" t="s">
        <v>521</v>
      </c>
      <c r="C233" s="331">
        <v>1282</v>
      </c>
      <c r="D233" s="331">
        <v>0</v>
      </c>
      <c r="E233" s="331">
        <v>41</v>
      </c>
      <c r="F233" s="331">
        <v>194</v>
      </c>
      <c r="G233" s="331">
        <v>202</v>
      </c>
      <c r="H233" s="331">
        <v>1719</v>
      </c>
      <c r="I233" s="330">
        <v>1517</v>
      </c>
      <c r="J233" s="330">
        <v>0</v>
      </c>
      <c r="K233" s="332">
        <v>90.16</v>
      </c>
      <c r="L233" s="332">
        <v>89.66</v>
      </c>
      <c r="M233" s="332">
        <v>6.02</v>
      </c>
      <c r="N233" s="332">
        <v>94.31</v>
      </c>
      <c r="O233" s="333">
        <v>1112</v>
      </c>
      <c r="P233" s="330">
        <v>101.16</v>
      </c>
      <c r="Q233" s="330">
        <v>91.65</v>
      </c>
      <c r="R233" s="330">
        <v>36.21</v>
      </c>
      <c r="S233" s="330">
        <v>134.91</v>
      </c>
      <c r="T233" s="330">
        <v>235</v>
      </c>
      <c r="U233" s="330">
        <v>97.76</v>
      </c>
      <c r="V233" s="330">
        <v>85</v>
      </c>
      <c r="W233" s="330">
        <v>0</v>
      </c>
      <c r="X233" s="330">
        <v>0</v>
      </c>
      <c r="Y233" s="330">
        <v>0</v>
      </c>
      <c r="Z233" s="330">
        <v>1</v>
      </c>
      <c r="AA233" s="330">
        <v>5</v>
      </c>
      <c r="AB233" s="330">
        <v>3</v>
      </c>
      <c r="AC233" s="330">
        <v>4</v>
      </c>
      <c r="AD233" s="334">
        <v>1262</v>
      </c>
      <c r="AE233" s="334">
        <v>21</v>
      </c>
      <c r="AF233" s="334">
        <v>2</v>
      </c>
      <c r="AG233" s="334">
        <v>23</v>
      </c>
    </row>
    <row r="234" spans="1:33" x14ac:dyDescent="0.25">
      <c r="A234" s="329" t="s">
        <v>522</v>
      </c>
      <c r="B234" s="335" t="s">
        <v>523</v>
      </c>
      <c r="C234" s="331">
        <v>5280</v>
      </c>
      <c r="D234" s="331">
        <v>3</v>
      </c>
      <c r="E234" s="331">
        <v>91</v>
      </c>
      <c r="F234" s="331">
        <v>1125</v>
      </c>
      <c r="G234" s="331">
        <v>682</v>
      </c>
      <c r="H234" s="331">
        <v>7181</v>
      </c>
      <c r="I234" s="330">
        <v>6499</v>
      </c>
      <c r="J234" s="330">
        <v>121</v>
      </c>
      <c r="K234" s="332">
        <v>109.64</v>
      </c>
      <c r="L234" s="332">
        <v>104.49</v>
      </c>
      <c r="M234" s="332">
        <v>3.7</v>
      </c>
      <c r="N234" s="332">
        <v>112</v>
      </c>
      <c r="O234" s="333">
        <v>5109</v>
      </c>
      <c r="P234" s="330">
        <v>91.02</v>
      </c>
      <c r="Q234" s="330">
        <v>86.19</v>
      </c>
      <c r="R234" s="330">
        <v>20.28</v>
      </c>
      <c r="S234" s="330">
        <v>110.75</v>
      </c>
      <c r="T234" s="330">
        <v>1017</v>
      </c>
      <c r="U234" s="330">
        <v>148.43</v>
      </c>
      <c r="V234" s="330">
        <v>131</v>
      </c>
      <c r="W234" s="330">
        <v>126.74</v>
      </c>
      <c r="X234" s="330">
        <v>41</v>
      </c>
      <c r="Y234" s="330">
        <v>0</v>
      </c>
      <c r="Z234" s="330">
        <v>9</v>
      </c>
      <c r="AA234" s="330">
        <v>11</v>
      </c>
      <c r="AB234" s="330">
        <v>8</v>
      </c>
      <c r="AC234" s="330">
        <v>20</v>
      </c>
      <c r="AD234" s="334">
        <v>5265</v>
      </c>
      <c r="AE234" s="334">
        <v>15</v>
      </c>
      <c r="AF234" s="334">
        <v>26</v>
      </c>
      <c r="AG234" s="334">
        <v>41</v>
      </c>
    </row>
    <row r="235" spans="1:33" x14ac:dyDescent="0.25">
      <c r="A235" s="329" t="s">
        <v>524</v>
      </c>
      <c r="B235" s="335" t="s">
        <v>525</v>
      </c>
      <c r="C235" s="331">
        <v>15172</v>
      </c>
      <c r="D235" s="331">
        <v>59</v>
      </c>
      <c r="E235" s="331">
        <v>1089</v>
      </c>
      <c r="F235" s="331">
        <v>1248</v>
      </c>
      <c r="G235" s="331">
        <v>399</v>
      </c>
      <c r="H235" s="331">
        <v>17967</v>
      </c>
      <c r="I235" s="330">
        <v>17568</v>
      </c>
      <c r="J235" s="330">
        <v>20</v>
      </c>
      <c r="K235" s="332">
        <v>79.430000000000007</v>
      </c>
      <c r="L235" s="332">
        <v>79.959999999999994</v>
      </c>
      <c r="M235" s="332">
        <v>7.56</v>
      </c>
      <c r="N235" s="332">
        <v>81.78</v>
      </c>
      <c r="O235" s="333">
        <v>13819</v>
      </c>
      <c r="P235" s="330">
        <v>82.43</v>
      </c>
      <c r="Q235" s="330">
        <v>77.94</v>
      </c>
      <c r="R235" s="330">
        <v>47.24</v>
      </c>
      <c r="S235" s="330">
        <v>128.38</v>
      </c>
      <c r="T235" s="330">
        <v>2057</v>
      </c>
      <c r="U235" s="330">
        <v>95.94</v>
      </c>
      <c r="V235" s="330">
        <v>1075</v>
      </c>
      <c r="W235" s="330">
        <v>103.68</v>
      </c>
      <c r="X235" s="330">
        <v>19</v>
      </c>
      <c r="Y235" s="330">
        <v>219</v>
      </c>
      <c r="Z235" s="330">
        <v>37</v>
      </c>
      <c r="AA235" s="330">
        <v>26</v>
      </c>
      <c r="AB235" s="330">
        <v>0</v>
      </c>
      <c r="AC235" s="330">
        <v>16</v>
      </c>
      <c r="AD235" s="334">
        <v>15059</v>
      </c>
      <c r="AE235" s="334">
        <v>105</v>
      </c>
      <c r="AF235" s="334">
        <v>134</v>
      </c>
      <c r="AG235" s="334">
        <v>239</v>
      </c>
    </row>
    <row r="236" spans="1:33" x14ac:dyDescent="0.25">
      <c r="A236" s="329" t="s">
        <v>526</v>
      </c>
      <c r="B236" s="335" t="s">
        <v>527</v>
      </c>
      <c r="C236" s="331">
        <v>11325</v>
      </c>
      <c r="D236" s="331">
        <v>43</v>
      </c>
      <c r="E236" s="331">
        <v>186</v>
      </c>
      <c r="F236" s="331">
        <v>2224</v>
      </c>
      <c r="G236" s="331">
        <v>509</v>
      </c>
      <c r="H236" s="331">
        <v>14287</v>
      </c>
      <c r="I236" s="330">
        <v>13778</v>
      </c>
      <c r="J236" s="330">
        <v>8</v>
      </c>
      <c r="K236" s="332">
        <v>88.37</v>
      </c>
      <c r="L236" s="332">
        <v>92.54</v>
      </c>
      <c r="M236" s="332">
        <v>3.1</v>
      </c>
      <c r="N236" s="332">
        <v>90.04</v>
      </c>
      <c r="O236" s="333">
        <v>10103</v>
      </c>
      <c r="P236" s="330">
        <v>80.91</v>
      </c>
      <c r="Q236" s="330">
        <v>82.73</v>
      </c>
      <c r="R236" s="330">
        <v>22.31</v>
      </c>
      <c r="S236" s="330">
        <v>97.67</v>
      </c>
      <c r="T236" s="330">
        <v>2329</v>
      </c>
      <c r="U236" s="330">
        <v>107.56</v>
      </c>
      <c r="V236" s="330">
        <v>658</v>
      </c>
      <c r="W236" s="330">
        <v>103.5</v>
      </c>
      <c r="X236" s="330">
        <v>11</v>
      </c>
      <c r="Y236" s="330">
        <v>339</v>
      </c>
      <c r="Z236" s="330">
        <v>23</v>
      </c>
      <c r="AA236" s="330">
        <v>8</v>
      </c>
      <c r="AB236" s="330">
        <v>13</v>
      </c>
      <c r="AC236" s="330">
        <v>9</v>
      </c>
      <c r="AD236" s="334">
        <v>10880</v>
      </c>
      <c r="AE236" s="334">
        <v>77</v>
      </c>
      <c r="AF236" s="334">
        <v>60</v>
      </c>
      <c r="AG236" s="334">
        <v>137</v>
      </c>
    </row>
    <row r="237" spans="1:33" x14ac:dyDescent="0.25">
      <c r="A237" s="329" t="s">
        <v>528</v>
      </c>
      <c r="B237" s="335" t="s">
        <v>529</v>
      </c>
      <c r="C237" s="331">
        <v>3467</v>
      </c>
      <c r="D237" s="331">
        <v>30</v>
      </c>
      <c r="E237" s="331">
        <v>334</v>
      </c>
      <c r="F237" s="331">
        <v>228</v>
      </c>
      <c r="G237" s="331">
        <v>463</v>
      </c>
      <c r="H237" s="331">
        <v>4522</v>
      </c>
      <c r="I237" s="330">
        <v>4059</v>
      </c>
      <c r="J237" s="330">
        <v>63</v>
      </c>
      <c r="K237" s="332">
        <v>120.36</v>
      </c>
      <c r="L237" s="332">
        <v>118.79</v>
      </c>
      <c r="M237" s="332">
        <v>6.68</v>
      </c>
      <c r="N237" s="332">
        <v>126.07</v>
      </c>
      <c r="O237" s="333">
        <v>3110</v>
      </c>
      <c r="P237" s="330">
        <v>97.9</v>
      </c>
      <c r="Q237" s="330">
        <v>97.85</v>
      </c>
      <c r="R237" s="330">
        <v>47.02</v>
      </c>
      <c r="S237" s="330">
        <v>141.79</v>
      </c>
      <c r="T237" s="330">
        <v>495</v>
      </c>
      <c r="U237" s="330">
        <v>144.99</v>
      </c>
      <c r="V237" s="330">
        <v>125</v>
      </c>
      <c r="W237" s="330">
        <v>0</v>
      </c>
      <c r="X237" s="330">
        <v>0</v>
      </c>
      <c r="Y237" s="330">
        <v>10</v>
      </c>
      <c r="Z237" s="330">
        <v>6</v>
      </c>
      <c r="AA237" s="330">
        <v>0</v>
      </c>
      <c r="AB237" s="330">
        <v>10</v>
      </c>
      <c r="AC237" s="330">
        <v>25</v>
      </c>
      <c r="AD237" s="334">
        <v>3299</v>
      </c>
      <c r="AE237" s="334">
        <v>14</v>
      </c>
      <c r="AF237" s="334">
        <v>4</v>
      </c>
      <c r="AG237" s="334">
        <v>18</v>
      </c>
    </row>
    <row r="238" spans="1:33" x14ac:dyDescent="0.25">
      <c r="A238" s="329" t="s">
        <v>530</v>
      </c>
      <c r="B238" s="335" t="s">
        <v>531</v>
      </c>
      <c r="C238" s="331">
        <v>2026</v>
      </c>
      <c r="D238" s="331">
        <v>0</v>
      </c>
      <c r="E238" s="331">
        <v>238</v>
      </c>
      <c r="F238" s="331">
        <v>563</v>
      </c>
      <c r="G238" s="331">
        <v>475</v>
      </c>
      <c r="H238" s="331">
        <v>3302</v>
      </c>
      <c r="I238" s="330">
        <v>2827</v>
      </c>
      <c r="J238" s="330">
        <v>0</v>
      </c>
      <c r="K238" s="332">
        <v>99.26</v>
      </c>
      <c r="L238" s="332">
        <v>98.38</v>
      </c>
      <c r="M238" s="332">
        <v>5</v>
      </c>
      <c r="N238" s="332">
        <v>103.13</v>
      </c>
      <c r="O238" s="333">
        <v>1743</v>
      </c>
      <c r="P238" s="330">
        <v>88.78</v>
      </c>
      <c r="Q238" s="330">
        <v>86.97</v>
      </c>
      <c r="R238" s="330">
        <v>49.93</v>
      </c>
      <c r="S238" s="330">
        <v>134.55000000000001</v>
      </c>
      <c r="T238" s="330">
        <v>481</v>
      </c>
      <c r="U238" s="330">
        <v>110.7</v>
      </c>
      <c r="V238" s="330">
        <v>247</v>
      </c>
      <c r="W238" s="330">
        <v>0</v>
      </c>
      <c r="X238" s="330">
        <v>0</v>
      </c>
      <c r="Y238" s="330">
        <v>0</v>
      </c>
      <c r="Z238" s="330">
        <v>2</v>
      </c>
      <c r="AA238" s="330">
        <v>1</v>
      </c>
      <c r="AB238" s="330">
        <v>14</v>
      </c>
      <c r="AC238" s="330">
        <v>11</v>
      </c>
      <c r="AD238" s="334">
        <v>2008</v>
      </c>
      <c r="AE238" s="334">
        <v>10</v>
      </c>
      <c r="AF238" s="334">
        <v>9</v>
      </c>
      <c r="AG238" s="334">
        <v>19</v>
      </c>
    </row>
    <row r="239" spans="1:33" x14ac:dyDescent="0.25">
      <c r="A239" s="329" t="s">
        <v>532</v>
      </c>
      <c r="B239" s="335" t="s">
        <v>533</v>
      </c>
      <c r="C239" s="330">
        <v>3772</v>
      </c>
      <c r="D239" s="330">
        <v>8</v>
      </c>
      <c r="E239" s="330">
        <v>367</v>
      </c>
      <c r="F239" s="330">
        <v>801</v>
      </c>
      <c r="G239" s="330">
        <v>348</v>
      </c>
      <c r="H239" s="330">
        <v>5296</v>
      </c>
      <c r="I239" s="330">
        <v>4948</v>
      </c>
      <c r="J239" s="330">
        <v>1</v>
      </c>
      <c r="K239" s="330">
        <v>96.21</v>
      </c>
      <c r="L239" s="332">
        <v>95.03</v>
      </c>
      <c r="M239" s="332">
        <v>3.75</v>
      </c>
      <c r="N239" s="332">
        <v>99.16</v>
      </c>
      <c r="O239" s="333">
        <v>3210</v>
      </c>
      <c r="P239" s="330">
        <v>86.46</v>
      </c>
      <c r="Q239" s="330">
        <v>85.25</v>
      </c>
      <c r="R239" s="330">
        <v>29.68</v>
      </c>
      <c r="S239" s="330">
        <v>115.16</v>
      </c>
      <c r="T239" s="330">
        <v>1030</v>
      </c>
      <c r="U239" s="330">
        <v>113.31</v>
      </c>
      <c r="V239" s="330">
        <v>189</v>
      </c>
      <c r="W239" s="330">
        <v>92.22</v>
      </c>
      <c r="X239" s="330">
        <v>1</v>
      </c>
      <c r="Y239" s="330">
        <v>51</v>
      </c>
      <c r="Z239" s="330">
        <v>5</v>
      </c>
      <c r="AA239" s="330">
        <v>11</v>
      </c>
      <c r="AB239" s="330">
        <v>11</v>
      </c>
      <c r="AC239" s="330">
        <v>3</v>
      </c>
      <c r="AD239" s="330">
        <v>3434</v>
      </c>
      <c r="AE239" s="330">
        <v>53</v>
      </c>
      <c r="AF239" s="330">
        <v>24</v>
      </c>
      <c r="AG239" s="330">
        <v>77</v>
      </c>
    </row>
    <row r="240" spans="1:33" x14ac:dyDescent="0.25">
      <c r="A240" s="329" t="s">
        <v>534</v>
      </c>
      <c r="B240" s="335" t="s">
        <v>535</v>
      </c>
      <c r="C240" s="331">
        <v>3001</v>
      </c>
      <c r="D240" s="331">
        <v>0</v>
      </c>
      <c r="E240" s="331">
        <v>332</v>
      </c>
      <c r="F240" s="331">
        <v>198</v>
      </c>
      <c r="G240" s="331">
        <v>1118</v>
      </c>
      <c r="H240" s="331">
        <v>4649</v>
      </c>
      <c r="I240" s="330">
        <v>3531</v>
      </c>
      <c r="J240" s="330">
        <v>13</v>
      </c>
      <c r="K240" s="332">
        <v>111.68</v>
      </c>
      <c r="L240" s="332">
        <v>112.71</v>
      </c>
      <c r="M240" s="332">
        <v>3.6</v>
      </c>
      <c r="N240" s="332">
        <v>114.35</v>
      </c>
      <c r="O240" s="333">
        <v>2285</v>
      </c>
      <c r="P240" s="330">
        <v>90.92</v>
      </c>
      <c r="Q240" s="330">
        <v>95.29</v>
      </c>
      <c r="R240" s="330">
        <v>65.31</v>
      </c>
      <c r="S240" s="330">
        <v>152.13999999999999</v>
      </c>
      <c r="T240" s="330">
        <v>287</v>
      </c>
      <c r="U240" s="330">
        <v>144.61000000000001</v>
      </c>
      <c r="V240" s="330">
        <v>305</v>
      </c>
      <c r="W240" s="330">
        <v>146.34</v>
      </c>
      <c r="X240" s="330">
        <v>17</v>
      </c>
      <c r="Y240" s="330">
        <v>10</v>
      </c>
      <c r="Z240" s="330">
        <v>4</v>
      </c>
      <c r="AA240" s="330">
        <v>5</v>
      </c>
      <c r="AB240" s="330">
        <v>96</v>
      </c>
      <c r="AC240" s="330">
        <v>38</v>
      </c>
      <c r="AD240" s="334">
        <v>2726</v>
      </c>
      <c r="AE240" s="334">
        <v>11</v>
      </c>
      <c r="AF240" s="334">
        <v>0</v>
      </c>
      <c r="AG240" s="334">
        <v>11</v>
      </c>
    </row>
    <row r="241" spans="1:33" x14ac:dyDescent="0.25">
      <c r="A241" s="329" t="s">
        <v>536</v>
      </c>
      <c r="B241" s="335" t="s">
        <v>537</v>
      </c>
      <c r="C241" s="331">
        <v>801</v>
      </c>
      <c r="D241" s="331">
        <v>0</v>
      </c>
      <c r="E241" s="331">
        <v>141</v>
      </c>
      <c r="F241" s="331">
        <v>37</v>
      </c>
      <c r="G241" s="331">
        <v>146</v>
      </c>
      <c r="H241" s="331">
        <v>1125</v>
      </c>
      <c r="I241" s="330">
        <v>979</v>
      </c>
      <c r="J241" s="330">
        <v>0</v>
      </c>
      <c r="K241" s="332">
        <v>93.23</v>
      </c>
      <c r="L241" s="332">
        <v>92.58</v>
      </c>
      <c r="M241" s="332">
        <v>4.16</v>
      </c>
      <c r="N241" s="332">
        <v>95.92</v>
      </c>
      <c r="O241" s="333">
        <v>765</v>
      </c>
      <c r="P241" s="330">
        <v>96.33</v>
      </c>
      <c r="Q241" s="330">
        <v>86.9</v>
      </c>
      <c r="R241" s="330">
        <v>45.88</v>
      </c>
      <c r="S241" s="330">
        <v>140.72999999999999</v>
      </c>
      <c r="T241" s="330">
        <v>155</v>
      </c>
      <c r="U241" s="330">
        <v>94.35</v>
      </c>
      <c r="V241" s="330">
        <v>68</v>
      </c>
      <c r="W241" s="330">
        <v>190.65</v>
      </c>
      <c r="X241" s="330">
        <v>16</v>
      </c>
      <c r="Y241" s="330">
        <v>0</v>
      </c>
      <c r="Z241" s="330">
        <v>1</v>
      </c>
      <c r="AA241" s="330">
        <v>6</v>
      </c>
      <c r="AB241" s="330">
        <v>18</v>
      </c>
      <c r="AC241" s="330">
        <v>1</v>
      </c>
      <c r="AD241" s="334">
        <v>792</v>
      </c>
      <c r="AE241" s="334">
        <v>9</v>
      </c>
      <c r="AF241" s="334">
        <v>3</v>
      </c>
      <c r="AG241" s="334">
        <v>12</v>
      </c>
    </row>
    <row r="242" spans="1:33" x14ac:dyDescent="0.25">
      <c r="A242" s="329" t="s">
        <v>538</v>
      </c>
      <c r="B242" s="335" t="s">
        <v>539</v>
      </c>
      <c r="C242" s="331">
        <v>9752</v>
      </c>
      <c r="D242" s="331">
        <v>8</v>
      </c>
      <c r="E242" s="331">
        <v>244</v>
      </c>
      <c r="F242" s="331">
        <v>1787</v>
      </c>
      <c r="G242" s="331">
        <v>472</v>
      </c>
      <c r="H242" s="331">
        <v>12263</v>
      </c>
      <c r="I242" s="330">
        <v>11791</v>
      </c>
      <c r="J242" s="330">
        <v>0</v>
      </c>
      <c r="K242" s="332">
        <v>101.34</v>
      </c>
      <c r="L242" s="332">
        <v>113.56</v>
      </c>
      <c r="M242" s="332">
        <v>4.21</v>
      </c>
      <c r="N242" s="332">
        <v>103.54</v>
      </c>
      <c r="O242" s="333">
        <v>8998</v>
      </c>
      <c r="P242" s="330">
        <v>88.27</v>
      </c>
      <c r="Q242" s="330">
        <v>100.65</v>
      </c>
      <c r="R242" s="330">
        <v>19.3</v>
      </c>
      <c r="S242" s="330">
        <v>107.46</v>
      </c>
      <c r="T242" s="330">
        <v>1856</v>
      </c>
      <c r="U242" s="330">
        <v>121.42</v>
      </c>
      <c r="V242" s="330">
        <v>265</v>
      </c>
      <c r="W242" s="330">
        <v>173.75</v>
      </c>
      <c r="X242" s="330">
        <v>73</v>
      </c>
      <c r="Y242" s="330">
        <v>0</v>
      </c>
      <c r="Z242" s="330">
        <v>51</v>
      </c>
      <c r="AA242" s="330">
        <v>2</v>
      </c>
      <c r="AB242" s="330">
        <v>76</v>
      </c>
      <c r="AC242" s="330">
        <v>10</v>
      </c>
      <c r="AD242" s="334">
        <v>9317</v>
      </c>
      <c r="AE242" s="334">
        <v>107</v>
      </c>
      <c r="AF242" s="334">
        <v>21</v>
      </c>
      <c r="AG242" s="334">
        <v>128</v>
      </c>
    </row>
    <row r="243" spans="1:33" x14ac:dyDescent="0.25">
      <c r="A243" s="329" t="s">
        <v>540</v>
      </c>
      <c r="B243" s="335" t="s">
        <v>541</v>
      </c>
      <c r="C243" s="331">
        <v>3526</v>
      </c>
      <c r="D243" s="331">
        <v>0</v>
      </c>
      <c r="E243" s="331">
        <v>76</v>
      </c>
      <c r="F243" s="331">
        <v>778</v>
      </c>
      <c r="G243" s="331">
        <v>394</v>
      </c>
      <c r="H243" s="331">
        <v>4774</v>
      </c>
      <c r="I243" s="330">
        <v>4380</v>
      </c>
      <c r="J243" s="330">
        <v>1</v>
      </c>
      <c r="K243" s="332">
        <v>94.25</v>
      </c>
      <c r="L243" s="332">
        <v>91.16</v>
      </c>
      <c r="M243" s="332">
        <v>1.96</v>
      </c>
      <c r="N243" s="332">
        <v>96.11</v>
      </c>
      <c r="O243" s="333">
        <v>3135</v>
      </c>
      <c r="P243" s="330">
        <v>81.17</v>
      </c>
      <c r="Q243" s="330">
        <v>75.84</v>
      </c>
      <c r="R243" s="330">
        <v>20.420000000000002</v>
      </c>
      <c r="S243" s="330">
        <v>101.32</v>
      </c>
      <c r="T243" s="330">
        <v>781</v>
      </c>
      <c r="U243" s="330">
        <v>123.57</v>
      </c>
      <c r="V243" s="330">
        <v>152</v>
      </c>
      <c r="W243" s="330">
        <v>0</v>
      </c>
      <c r="X243" s="330">
        <v>0</v>
      </c>
      <c r="Y243" s="330">
        <v>0</v>
      </c>
      <c r="Z243" s="330">
        <v>10</v>
      </c>
      <c r="AA243" s="330">
        <v>1</v>
      </c>
      <c r="AB243" s="330">
        <v>19</v>
      </c>
      <c r="AC243" s="330">
        <v>10</v>
      </c>
      <c r="AD243" s="334">
        <v>3279</v>
      </c>
      <c r="AE243" s="334">
        <v>6</v>
      </c>
      <c r="AF243" s="334">
        <v>8</v>
      </c>
      <c r="AG243" s="334">
        <v>14</v>
      </c>
    </row>
    <row r="244" spans="1:33" x14ac:dyDescent="0.25">
      <c r="A244" s="329" t="s">
        <v>542</v>
      </c>
      <c r="B244" s="335" t="s">
        <v>543</v>
      </c>
      <c r="C244" s="331">
        <v>925</v>
      </c>
      <c r="D244" s="331">
        <v>0</v>
      </c>
      <c r="E244" s="331">
        <v>70</v>
      </c>
      <c r="F244" s="331">
        <v>0</v>
      </c>
      <c r="G244" s="331">
        <v>193</v>
      </c>
      <c r="H244" s="331">
        <v>1188</v>
      </c>
      <c r="I244" s="330">
        <v>995</v>
      </c>
      <c r="J244" s="330">
        <v>0</v>
      </c>
      <c r="K244" s="332">
        <v>85.43</v>
      </c>
      <c r="L244" s="332">
        <v>86.78</v>
      </c>
      <c r="M244" s="332">
        <v>3.64</v>
      </c>
      <c r="N244" s="332">
        <v>88.33</v>
      </c>
      <c r="O244" s="333">
        <v>760</v>
      </c>
      <c r="P244" s="330">
        <v>91.47</v>
      </c>
      <c r="Q244" s="330">
        <v>65.3</v>
      </c>
      <c r="R244" s="330">
        <v>48.43</v>
      </c>
      <c r="S244" s="330">
        <v>139.9</v>
      </c>
      <c r="T244" s="330">
        <v>62</v>
      </c>
      <c r="U244" s="330">
        <v>107.05</v>
      </c>
      <c r="V244" s="330">
        <v>95</v>
      </c>
      <c r="W244" s="330">
        <v>0</v>
      </c>
      <c r="X244" s="330">
        <v>0</v>
      </c>
      <c r="Y244" s="330">
        <v>0</v>
      </c>
      <c r="Z244" s="330">
        <v>0</v>
      </c>
      <c r="AA244" s="330">
        <v>1</v>
      </c>
      <c r="AB244" s="330">
        <v>16</v>
      </c>
      <c r="AC244" s="330">
        <v>7</v>
      </c>
      <c r="AD244" s="334">
        <v>860</v>
      </c>
      <c r="AE244" s="334">
        <v>7</v>
      </c>
      <c r="AF244" s="334">
        <v>1</v>
      </c>
      <c r="AG244" s="334">
        <v>8</v>
      </c>
    </row>
    <row r="245" spans="1:33" x14ac:dyDescent="0.25">
      <c r="A245" s="329" t="s">
        <v>544</v>
      </c>
      <c r="B245" s="335" t="s">
        <v>545</v>
      </c>
      <c r="C245" s="331">
        <v>1474</v>
      </c>
      <c r="D245" s="331">
        <v>0</v>
      </c>
      <c r="E245" s="331">
        <v>198</v>
      </c>
      <c r="F245" s="331">
        <v>331</v>
      </c>
      <c r="G245" s="331">
        <v>417</v>
      </c>
      <c r="H245" s="331">
        <v>2420</v>
      </c>
      <c r="I245" s="330">
        <v>2003</v>
      </c>
      <c r="J245" s="330">
        <v>4</v>
      </c>
      <c r="K245" s="332">
        <v>88.16</v>
      </c>
      <c r="L245" s="332">
        <v>88.51</v>
      </c>
      <c r="M245" s="332">
        <v>4.33</v>
      </c>
      <c r="N245" s="332">
        <v>91.83</v>
      </c>
      <c r="O245" s="333">
        <v>1264</v>
      </c>
      <c r="P245" s="330">
        <v>86.36</v>
      </c>
      <c r="Q245" s="330">
        <v>73.47</v>
      </c>
      <c r="R245" s="330">
        <v>32.200000000000003</v>
      </c>
      <c r="S245" s="330">
        <v>116.03</v>
      </c>
      <c r="T245" s="330">
        <v>381</v>
      </c>
      <c r="U245" s="330">
        <v>107.56</v>
      </c>
      <c r="V245" s="330">
        <v>55</v>
      </c>
      <c r="W245" s="330">
        <v>0</v>
      </c>
      <c r="X245" s="330">
        <v>0</v>
      </c>
      <c r="Y245" s="330">
        <v>0</v>
      </c>
      <c r="Z245" s="330">
        <v>1</v>
      </c>
      <c r="AA245" s="330">
        <v>1</v>
      </c>
      <c r="AB245" s="330">
        <v>24</v>
      </c>
      <c r="AC245" s="330">
        <v>9</v>
      </c>
      <c r="AD245" s="334">
        <v>1419</v>
      </c>
      <c r="AE245" s="334">
        <v>9</v>
      </c>
      <c r="AF245" s="334">
        <v>1</v>
      </c>
      <c r="AG245" s="334">
        <v>10</v>
      </c>
    </row>
    <row r="246" spans="1:33" x14ac:dyDescent="0.25">
      <c r="A246" s="329" t="s">
        <v>546</v>
      </c>
      <c r="B246" s="335" t="s">
        <v>547</v>
      </c>
      <c r="C246" s="331">
        <v>3718</v>
      </c>
      <c r="D246" s="331">
        <v>66</v>
      </c>
      <c r="E246" s="331">
        <v>181</v>
      </c>
      <c r="F246" s="331">
        <v>624</v>
      </c>
      <c r="G246" s="331">
        <v>103</v>
      </c>
      <c r="H246" s="331">
        <v>4692</v>
      </c>
      <c r="I246" s="330">
        <v>4589</v>
      </c>
      <c r="J246" s="330">
        <v>168</v>
      </c>
      <c r="K246" s="332">
        <v>92.01</v>
      </c>
      <c r="L246" s="332">
        <v>92.63</v>
      </c>
      <c r="M246" s="332">
        <v>4.84</v>
      </c>
      <c r="N246" s="332">
        <v>93.17</v>
      </c>
      <c r="O246" s="333">
        <v>3582</v>
      </c>
      <c r="P246" s="330">
        <v>78.5</v>
      </c>
      <c r="Q246" s="330">
        <v>78.150000000000006</v>
      </c>
      <c r="R246" s="330">
        <v>44.54</v>
      </c>
      <c r="S246" s="330">
        <v>122.47</v>
      </c>
      <c r="T246" s="330">
        <v>704</v>
      </c>
      <c r="U246" s="330">
        <v>114.81</v>
      </c>
      <c r="V246" s="330">
        <v>165</v>
      </c>
      <c r="W246" s="330">
        <v>192.12</v>
      </c>
      <c r="X246" s="330">
        <v>8</v>
      </c>
      <c r="Y246" s="330">
        <v>0</v>
      </c>
      <c r="Z246" s="330">
        <v>27</v>
      </c>
      <c r="AA246" s="330">
        <v>0</v>
      </c>
      <c r="AB246" s="330">
        <v>2</v>
      </c>
      <c r="AC246" s="330">
        <v>1</v>
      </c>
      <c r="AD246" s="334">
        <v>3683</v>
      </c>
      <c r="AE246" s="334">
        <v>32</v>
      </c>
      <c r="AF246" s="334">
        <v>9</v>
      </c>
      <c r="AG246" s="334">
        <v>41</v>
      </c>
    </row>
    <row r="247" spans="1:33" x14ac:dyDescent="0.25">
      <c r="A247" s="329" t="s">
        <v>548</v>
      </c>
      <c r="B247" s="335" t="s">
        <v>549</v>
      </c>
      <c r="C247" s="331">
        <v>5576</v>
      </c>
      <c r="D247" s="331">
        <v>0</v>
      </c>
      <c r="E247" s="331">
        <v>211</v>
      </c>
      <c r="F247" s="331">
        <v>929</v>
      </c>
      <c r="G247" s="331">
        <v>495</v>
      </c>
      <c r="H247" s="331">
        <v>7211</v>
      </c>
      <c r="I247" s="330">
        <v>6716</v>
      </c>
      <c r="J247" s="330">
        <v>8</v>
      </c>
      <c r="K247" s="332">
        <v>88.28</v>
      </c>
      <c r="L247" s="332">
        <v>90.12</v>
      </c>
      <c r="M247" s="332">
        <v>4.5599999999999996</v>
      </c>
      <c r="N247" s="332">
        <v>89.4</v>
      </c>
      <c r="O247" s="333">
        <v>4778</v>
      </c>
      <c r="P247" s="330">
        <v>85.51</v>
      </c>
      <c r="Q247" s="330">
        <v>80.47</v>
      </c>
      <c r="R247" s="330">
        <v>28.22</v>
      </c>
      <c r="S247" s="330">
        <v>113.68</v>
      </c>
      <c r="T247" s="330">
        <v>1107</v>
      </c>
      <c r="U247" s="330">
        <v>112.23</v>
      </c>
      <c r="V247" s="330">
        <v>712</v>
      </c>
      <c r="W247" s="330">
        <v>0</v>
      </c>
      <c r="X247" s="330">
        <v>0</v>
      </c>
      <c r="Y247" s="330">
        <v>0</v>
      </c>
      <c r="Z247" s="330">
        <v>21</v>
      </c>
      <c r="AA247" s="330">
        <v>5</v>
      </c>
      <c r="AB247" s="330">
        <v>11</v>
      </c>
      <c r="AC247" s="330">
        <v>8</v>
      </c>
      <c r="AD247" s="334">
        <v>5576</v>
      </c>
      <c r="AE247" s="334">
        <v>8</v>
      </c>
      <c r="AF247" s="334">
        <v>22</v>
      </c>
      <c r="AG247" s="334">
        <v>30</v>
      </c>
    </row>
    <row r="248" spans="1:33" x14ac:dyDescent="0.25">
      <c r="A248" s="329" t="s">
        <v>550</v>
      </c>
      <c r="B248" s="335" t="s">
        <v>551</v>
      </c>
      <c r="C248" s="331">
        <v>5587</v>
      </c>
      <c r="D248" s="331">
        <v>0</v>
      </c>
      <c r="E248" s="331">
        <v>181</v>
      </c>
      <c r="F248" s="331">
        <v>870</v>
      </c>
      <c r="G248" s="331">
        <v>533</v>
      </c>
      <c r="H248" s="331">
        <v>7171</v>
      </c>
      <c r="I248" s="330">
        <v>6638</v>
      </c>
      <c r="J248" s="330">
        <v>5</v>
      </c>
      <c r="K248" s="332">
        <v>111.17</v>
      </c>
      <c r="L248" s="332">
        <v>111.69</v>
      </c>
      <c r="M248" s="332">
        <v>4.3499999999999996</v>
      </c>
      <c r="N248" s="332">
        <v>112.51</v>
      </c>
      <c r="O248" s="333">
        <v>5216</v>
      </c>
      <c r="P248" s="330">
        <v>92.44</v>
      </c>
      <c r="Q248" s="330">
        <v>90.35</v>
      </c>
      <c r="R248" s="330">
        <v>20.05</v>
      </c>
      <c r="S248" s="330">
        <v>111.93</v>
      </c>
      <c r="T248" s="330">
        <v>930</v>
      </c>
      <c r="U248" s="330">
        <v>153.79</v>
      </c>
      <c r="V248" s="330">
        <v>146</v>
      </c>
      <c r="W248" s="330">
        <v>0</v>
      </c>
      <c r="X248" s="330">
        <v>0</v>
      </c>
      <c r="Y248" s="330">
        <v>0</v>
      </c>
      <c r="Z248" s="330">
        <v>6</v>
      </c>
      <c r="AA248" s="330">
        <v>1</v>
      </c>
      <c r="AB248" s="330">
        <v>50</v>
      </c>
      <c r="AC248" s="330">
        <v>14</v>
      </c>
      <c r="AD248" s="334">
        <v>5404</v>
      </c>
      <c r="AE248" s="334">
        <v>14</v>
      </c>
      <c r="AF248" s="334">
        <v>16</v>
      </c>
      <c r="AG248" s="334">
        <v>30</v>
      </c>
    </row>
    <row r="249" spans="1:33" x14ac:dyDescent="0.25">
      <c r="A249" s="329" t="s">
        <v>552</v>
      </c>
      <c r="B249" s="335" t="s">
        <v>553</v>
      </c>
      <c r="C249" s="331">
        <v>3748</v>
      </c>
      <c r="D249" s="331">
        <v>3</v>
      </c>
      <c r="E249" s="331">
        <v>196</v>
      </c>
      <c r="F249" s="331">
        <v>1123</v>
      </c>
      <c r="G249" s="331">
        <v>230</v>
      </c>
      <c r="H249" s="331">
        <v>5300</v>
      </c>
      <c r="I249" s="330">
        <v>5070</v>
      </c>
      <c r="J249" s="330">
        <v>39</v>
      </c>
      <c r="K249" s="332">
        <v>87.7</v>
      </c>
      <c r="L249" s="332">
        <v>87.98</v>
      </c>
      <c r="M249" s="332">
        <v>2.78</v>
      </c>
      <c r="N249" s="332">
        <v>90.37</v>
      </c>
      <c r="O249" s="333">
        <v>3558</v>
      </c>
      <c r="P249" s="330">
        <v>85.91</v>
      </c>
      <c r="Q249" s="330">
        <v>79.41</v>
      </c>
      <c r="R249" s="330">
        <v>22.56</v>
      </c>
      <c r="S249" s="330">
        <v>108.25</v>
      </c>
      <c r="T249" s="330">
        <v>1292</v>
      </c>
      <c r="U249" s="330">
        <v>104.26</v>
      </c>
      <c r="V249" s="330">
        <v>181</v>
      </c>
      <c r="W249" s="330">
        <v>0</v>
      </c>
      <c r="X249" s="330">
        <v>0</v>
      </c>
      <c r="Y249" s="330">
        <v>0</v>
      </c>
      <c r="Z249" s="330">
        <v>5</v>
      </c>
      <c r="AA249" s="330">
        <v>1</v>
      </c>
      <c r="AB249" s="330">
        <v>13</v>
      </c>
      <c r="AC249" s="330">
        <v>4</v>
      </c>
      <c r="AD249" s="334">
        <v>3748</v>
      </c>
      <c r="AE249" s="334">
        <v>26</v>
      </c>
      <c r="AF249" s="334">
        <v>3</v>
      </c>
      <c r="AG249" s="334">
        <v>29</v>
      </c>
    </row>
    <row r="250" spans="1:33" x14ac:dyDescent="0.25">
      <c r="A250" s="329" t="s">
        <v>554</v>
      </c>
      <c r="B250" s="335" t="s">
        <v>555</v>
      </c>
      <c r="C250" s="331">
        <v>8975</v>
      </c>
      <c r="D250" s="331">
        <v>22</v>
      </c>
      <c r="E250" s="331">
        <v>336</v>
      </c>
      <c r="F250" s="331">
        <v>1698</v>
      </c>
      <c r="G250" s="331">
        <v>544</v>
      </c>
      <c r="H250" s="331">
        <v>11575</v>
      </c>
      <c r="I250" s="330">
        <v>11031</v>
      </c>
      <c r="J250" s="330">
        <v>1</v>
      </c>
      <c r="K250" s="332">
        <v>92.48</v>
      </c>
      <c r="L250" s="332">
        <v>88.34</v>
      </c>
      <c r="M250" s="332">
        <v>4.2</v>
      </c>
      <c r="N250" s="332">
        <v>93.68</v>
      </c>
      <c r="O250" s="333">
        <v>8383</v>
      </c>
      <c r="P250" s="330">
        <v>84.4</v>
      </c>
      <c r="Q250" s="330">
        <v>76.930000000000007</v>
      </c>
      <c r="R250" s="330">
        <v>26.39</v>
      </c>
      <c r="S250" s="330">
        <v>110.35</v>
      </c>
      <c r="T250" s="330">
        <v>2010</v>
      </c>
      <c r="U250" s="330">
        <v>113.54</v>
      </c>
      <c r="V250" s="330">
        <v>303</v>
      </c>
      <c r="W250" s="330">
        <v>109.7</v>
      </c>
      <c r="X250" s="330">
        <v>15</v>
      </c>
      <c r="Y250" s="330">
        <v>12</v>
      </c>
      <c r="Z250" s="330">
        <v>26</v>
      </c>
      <c r="AA250" s="330">
        <v>3</v>
      </c>
      <c r="AB250" s="330">
        <v>16</v>
      </c>
      <c r="AC250" s="330">
        <v>15</v>
      </c>
      <c r="AD250" s="334">
        <v>8882</v>
      </c>
      <c r="AE250" s="334">
        <v>63</v>
      </c>
      <c r="AF250" s="334">
        <v>22</v>
      </c>
      <c r="AG250" s="334">
        <v>85</v>
      </c>
    </row>
    <row r="251" spans="1:33" x14ac:dyDescent="0.25">
      <c r="A251" s="329" t="s">
        <v>556</v>
      </c>
      <c r="B251" s="335" t="s">
        <v>557</v>
      </c>
      <c r="C251" s="331">
        <v>4306</v>
      </c>
      <c r="D251" s="331">
        <v>0</v>
      </c>
      <c r="E251" s="331">
        <v>717</v>
      </c>
      <c r="F251" s="331">
        <v>1502</v>
      </c>
      <c r="G251" s="331">
        <v>219</v>
      </c>
      <c r="H251" s="331">
        <v>6744</v>
      </c>
      <c r="I251" s="330">
        <v>6525</v>
      </c>
      <c r="J251" s="330">
        <v>0</v>
      </c>
      <c r="K251" s="332">
        <v>90.19</v>
      </c>
      <c r="L251" s="332">
        <v>89.45</v>
      </c>
      <c r="M251" s="332">
        <v>3.3</v>
      </c>
      <c r="N251" s="332">
        <v>91.28</v>
      </c>
      <c r="O251" s="333">
        <v>4257</v>
      </c>
      <c r="P251" s="330">
        <v>83.45</v>
      </c>
      <c r="Q251" s="330">
        <v>85.39</v>
      </c>
      <c r="R251" s="330">
        <v>11.42</v>
      </c>
      <c r="S251" s="330">
        <v>87.89</v>
      </c>
      <c r="T251" s="330">
        <v>2113</v>
      </c>
      <c r="U251" s="330">
        <v>107.76</v>
      </c>
      <c r="V251" s="330">
        <v>36</v>
      </c>
      <c r="W251" s="330">
        <v>130.15</v>
      </c>
      <c r="X251" s="330">
        <v>102</v>
      </c>
      <c r="Y251" s="330">
        <v>0</v>
      </c>
      <c r="Z251" s="330">
        <v>47</v>
      </c>
      <c r="AA251" s="330">
        <v>0</v>
      </c>
      <c r="AB251" s="330">
        <v>30</v>
      </c>
      <c r="AC251" s="330">
        <v>5</v>
      </c>
      <c r="AD251" s="334">
        <v>4306</v>
      </c>
      <c r="AE251" s="334">
        <v>32</v>
      </c>
      <c r="AF251" s="334">
        <v>12</v>
      </c>
      <c r="AG251" s="334">
        <v>44</v>
      </c>
    </row>
    <row r="252" spans="1:33" x14ac:dyDescent="0.25">
      <c r="A252" s="329" t="s">
        <v>558</v>
      </c>
      <c r="B252" s="335" t="s">
        <v>559</v>
      </c>
      <c r="C252" s="331">
        <v>3626</v>
      </c>
      <c r="D252" s="331">
        <v>5</v>
      </c>
      <c r="E252" s="331">
        <v>371</v>
      </c>
      <c r="F252" s="331">
        <v>705</v>
      </c>
      <c r="G252" s="331">
        <v>235</v>
      </c>
      <c r="H252" s="331">
        <v>4942</v>
      </c>
      <c r="I252" s="330">
        <v>4707</v>
      </c>
      <c r="J252" s="330">
        <v>167</v>
      </c>
      <c r="K252" s="332">
        <v>81.08</v>
      </c>
      <c r="L252" s="332">
        <v>78.7</v>
      </c>
      <c r="M252" s="332">
        <v>2.8</v>
      </c>
      <c r="N252" s="332">
        <v>82.96</v>
      </c>
      <c r="O252" s="333">
        <v>3206</v>
      </c>
      <c r="P252" s="330">
        <v>84.29</v>
      </c>
      <c r="Q252" s="330">
        <v>74.69</v>
      </c>
      <c r="R252" s="330">
        <v>39.42</v>
      </c>
      <c r="S252" s="330">
        <v>123.71</v>
      </c>
      <c r="T252" s="330">
        <v>976</v>
      </c>
      <c r="U252" s="330">
        <v>102.34</v>
      </c>
      <c r="V252" s="330">
        <v>336</v>
      </c>
      <c r="W252" s="330">
        <v>98.29</v>
      </c>
      <c r="X252" s="330">
        <v>25</v>
      </c>
      <c r="Y252" s="330">
        <v>1</v>
      </c>
      <c r="Z252" s="330">
        <v>2</v>
      </c>
      <c r="AA252" s="330">
        <v>8</v>
      </c>
      <c r="AB252" s="330">
        <v>1</v>
      </c>
      <c r="AC252" s="330">
        <v>0</v>
      </c>
      <c r="AD252" s="334">
        <v>3534</v>
      </c>
      <c r="AE252" s="334">
        <v>72</v>
      </c>
      <c r="AF252" s="334">
        <v>9</v>
      </c>
      <c r="AG252" s="334">
        <v>81</v>
      </c>
    </row>
    <row r="253" spans="1:33" x14ac:dyDescent="0.25">
      <c r="A253" s="329" t="s">
        <v>560</v>
      </c>
      <c r="B253" s="335" t="s">
        <v>561</v>
      </c>
      <c r="C253" s="331">
        <v>5490</v>
      </c>
      <c r="D253" s="331">
        <v>58</v>
      </c>
      <c r="E253" s="331">
        <v>929</v>
      </c>
      <c r="F253" s="331">
        <v>1020</v>
      </c>
      <c r="G253" s="331">
        <v>945</v>
      </c>
      <c r="H253" s="331">
        <v>8442</v>
      </c>
      <c r="I253" s="330">
        <v>7497</v>
      </c>
      <c r="J253" s="330">
        <v>3</v>
      </c>
      <c r="K253" s="332">
        <v>105.66</v>
      </c>
      <c r="L253" s="332">
        <v>106.37</v>
      </c>
      <c r="M253" s="332">
        <v>6.31</v>
      </c>
      <c r="N253" s="332">
        <v>111.17</v>
      </c>
      <c r="O253" s="333">
        <v>4548</v>
      </c>
      <c r="P253" s="330">
        <v>87.85</v>
      </c>
      <c r="Q253" s="330">
        <v>86.61</v>
      </c>
      <c r="R253" s="330">
        <v>36.82</v>
      </c>
      <c r="S253" s="330">
        <v>122.18</v>
      </c>
      <c r="T253" s="330">
        <v>1707</v>
      </c>
      <c r="U253" s="330">
        <v>142.27000000000001</v>
      </c>
      <c r="V253" s="330">
        <v>481</v>
      </c>
      <c r="W253" s="330">
        <v>0</v>
      </c>
      <c r="X253" s="330">
        <v>0</v>
      </c>
      <c r="Y253" s="330">
        <v>210</v>
      </c>
      <c r="Z253" s="330">
        <v>0</v>
      </c>
      <c r="AA253" s="330">
        <v>20</v>
      </c>
      <c r="AB253" s="330">
        <v>53</v>
      </c>
      <c r="AC253" s="330">
        <v>31</v>
      </c>
      <c r="AD253" s="334">
        <v>5371</v>
      </c>
      <c r="AE253" s="334">
        <v>56</v>
      </c>
      <c r="AF253" s="334">
        <v>28</v>
      </c>
      <c r="AG253" s="334">
        <v>84</v>
      </c>
    </row>
    <row r="254" spans="1:33" x14ac:dyDescent="0.25">
      <c r="A254" s="329" t="s">
        <v>562</v>
      </c>
      <c r="B254" s="335" t="s">
        <v>563</v>
      </c>
      <c r="C254" s="331">
        <v>2653</v>
      </c>
      <c r="D254" s="331">
        <v>1</v>
      </c>
      <c r="E254" s="331">
        <v>351</v>
      </c>
      <c r="F254" s="331">
        <v>325</v>
      </c>
      <c r="G254" s="331">
        <v>268</v>
      </c>
      <c r="H254" s="331">
        <v>3598</v>
      </c>
      <c r="I254" s="330">
        <v>3330</v>
      </c>
      <c r="J254" s="330">
        <v>40</v>
      </c>
      <c r="K254" s="332">
        <v>97.28</v>
      </c>
      <c r="L254" s="332">
        <v>97.29</v>
      </c>
      <c r="M254" s="332">
        <v>11.13</v>
      </c>
      <c r="N254" s="332">
        <v>106.27</v>
      </c>
      <c r="O254" s="333">
        <v>2501</v>
      </c>
      <c r="P254" s="330">
        <v>88.47</v>
      </c>
      <c r="Q254" s="330">
        <v>86.37</v>
      </c>
      <c r="R254" s="330">
        <v>50.86</v>
      </c>
      <c r="S254" s="330">
        <v>137.96</v>
      </c>
      <c r="T254" s="330">
        <v>487</v>
      </c>
      <c r="U254" s="330">
        <v>144.71</v>
      </c>
      <c r="V254" s="330">
        <v>136</v>
      </c>
      <c r="W254" s="330">
        <v>0</v>
      </c>
      <c r="X254" s="330">
        <v>0</v>
      </c>
      <c r="Y254" s="330">
        <v>0</v>
      </c>
      <c r="Z254" s="330">
        <v>1</v>
      </c>
      <c r="AA254" s="330">
        <v>2</v>
      </c>
      <c r="AB254" s="330">
        <v>7</v>
      </c>
      <c r="AC254" s="330">
        <v>6</v>
      </c>
      <c r="AD254" s="334">
        <v>2653</v>
      </c>
      <c r="AE254" s="334">
        <v>8</v>
      </c>
      <c r="AF254" s="334">
        <v>1</v>
      </c>
      <c r="AG254" s="334">
        <v>9</v>
      </c>
    </row>
    <row r="255" spans="1:33" x14ac:dyDescent="0.25">
      <c r="A255" s="329" t="s">
        <v>564</v>
      </c>
      <c r="B255" s="335" t="s">
        <v>565</v>
      </c>
      <c r="C255" s="331">
        <v>14411</v>
      </c>
      <c r="D255" s="331">
        <v>107</v>
      </c>
      <c r="E255" s="331">
        <v>1583</v>
      </c>
      <c r="F255" s="331">
        <v>665</v>
      </c>
      <c r="G255" s="331">
        <v>2578</v>
      </c>
      <c r="H255" s="331">
        <v>19344</v>
      </c>
      <c r="I255" s="330">
        <v>16766</v>
      </c>
      <c r="J255" s="330">
        <v>53</v>
      </c>
      <c r="K255" s="332">
        <v>120.92</v>
      </c>
      <c r="L255" s="332">
        <v>123.53</v>
      </c>
      <c r="M255" s="332">
        <v>10.27</v>
      </c>
      <c r="N255" s="332">
        <v>128.61000000000001</v>
      </c>
      <c r="O255" s="333">
        <v>11882</v>
      </c>
      <c r="P255" s="330">
        <v>104.22</v>
      </c>
      <c r="Q255" s="330">
        <v>103.55</v>
      </c>
      <c r="R255" s="330">
        <v>50.38</v>
      </c>
      <c r="S255" s="330">
        <v>150.9</v>
      </c>
      <c r="T255" s="330">
        <v>1970</v>
      </c>
      <c r="U255" s="330">
        <v>203.89</v>
      </c>
      <c r="V255" s="330">
        <v>659</v>
      </c>
      <c r="W255" s="330">
        <v>193.54</v>
      </c>
      <c r="X255" s="330">
        <v>23</v>
      </c>
      <c r="Y255" s="330">
        <v>0</v>
      </c>
      <c r="Z255" s="330">
        <v>7</v>
      </c>
      <c r="AA255" s="330">
        <v>26</v>
      </c>
      <c r="AB255" s="330">
        <v>253</v>
      </c>
      <c r="AC255" s="330">
        <v>127</v>
      </c>
      <c r="AD255" s="334">
        <v>13528</v>
      </c>
      <c r="AE255" s="334">
        <v>91</v>
      </c>
      <c r="AF255" s="334">
        <v>176</v>
      </c>
      <c r="AG255" s="334">
        <v>267</v>
      </c>
    </row>
    <row r="256" spans="1:33" x14ac:dyDescent="0.25">
      <c r="A256" s="329" t="s">
        <v>566</v>
      </c>
      <c r="B256" s="335" t="s">
        <v>567</v>
      </c>
      <c r="C256" s="331">
        <v>4834</v>
      </c>
      <c r="D256" s="331">
        <v>178</v>
      </c>
      <c r="E256" s="331">
        <v>153</v>
      </c>
      <c r="F256" s="331">
        <v>338</v>
      </c>
      <c r="G256" s="331">
        <v>397</v>
      </c>
      <c r="H256" s="331">
        <v>5900</v>
      </c>
      <c r="I256" s="330">
        <v>5503</v>
      </c>
      <c r="J256" s="330">
        <v>42</v>
      </c>
      <c r="K256" s="332">
        <v>116.65</v>
      </c>
      <c r="L256" s="332">
        <v>112.03</v>
      </c>
      <c r="M256" s="332">
        <v>4.91</v>
      </c>
      <c r="N256" s="332">
        <v>120.98</v>
      </c>
      <c r="O256" s="333">
        <v>4774</v>
      </c>
      <c r="P256" s="330">
        <v>107.73</v>
      </c>
      <c r="Q256" s="330">
        <v>102.3</v>
      </c>
      <c r="R256" s="330">
        <v>61.21</v>
      </c>
      <c r="S256" s="330">
        <v>164.08</v>
      </c>
      <c r="T256" s="330">
        <v>390</v>
      </c>
      <c r="U256" s="330">
        <v>159.96</v>
      </c>
      <c r="V256" s="330">
        <v>21</v>
      </c>
      <c r="W256" s="330">
        <v>126.96</v>
      </c>
      <c r="X256" s="330">
        <v>8</v>
      </c>
      <c r="Y256" s="330">
        <v>0</v>
      </c>
      <c r="Z256" s="330">
        <v>5</v>
      </c>
      <c r="AA256" s="330">
        <v>0</v>
      </c>
      <c r="AB256" s="330">
        <v>5</v>
      </c>
      <c r="AC256" s="330">
        <v>9</v>
      </c>
      <c r="AD256" s="334">
        <v>4812</v>
      </c>
      <c r="AE256" s="334">
        <v>22</v>
      </c>
      <c r="AF256" s="334">
        <v>20</v>
      </c>
      <c r="AG256" s="334">
        <v>42</v>
      </c>
    </row>
    <row r="257" spans="1:33" x14ac:dyDescent="0.25">
      <c r="A257" s="329" t="s">
        <v>568</v>
      </c>
      <c r="B257" s="335" t="s">
        <v>569</v>
      </c>
      <c r="C257" s="331">
        <v>1909</v>
      </c>
      <c r="D257" s="331">
        <v>8</v>
      </c>
      <c r="E257" s="331">
        <v>239</v>
      </c>
      <c r="F257" s="331">
        <v>143</v>
      </c>
      <c r="G257" s="331">
        <v>214</v>
      </c>
      <c r="H257" s="331">
        <v>2513</v>
      </c>
      <c r="I257" s="330">
        <v>2299</v>
      </c>
      <c r="J257" s="330">
        <v>0</v>
      </c>
      <c r="K257" s="332">
        <v>121.4</v>
      </c>
      <c r="L257" s="332">
        <v>118.26</v>
      </c>
      <c r="M257" s="332">
        <v>7.02</v>
      </c>
      <c r="N257" s="332">
        <v>127.69</v>
      </c>
      <c r="O257" s="333">
        <v>1612</v>
      </c>
      <c r="P257" s="330">
        <v>99.02</v>
      </c>
      <c r="Q257" s="330">
        <v>95.14</v>
      </c>
      <c r="R257" s="330">
        <v>36.909999999999997</v>
      </c>
      <c r="S257" s="330">
        <v>132.72999999999999</v>
      </c>
      <c r="T257" s="330">
        <v>312</v>
      </c>
      <c r="U257" s="330">
        <v>183.13</v>
      </c>
      <c r="V257" s="330">
        <v>94</v>
      </c>
      <c r="W257" s="330">
        <v>196.33</v>
      </c>
      <c r="X257" s="330">
        <v>36</v>
      </c>
      <c r="Y257" s="330">
        <v>0</v>
      </c>
      <c r="Z257" s="330">
        <v>1</v>
      </c>
      <c r="AA257" s="330">
        <v>0</v>
      </c>
      <c r="AB257" s="330">
        <v>20</v>
      </c>
      <c r="AC257" s="330">
        <v>29</v>
      </c>
      <c r="AD257" s="334">
        <v>1904</v>
      </c>
      <c r="AE257" s="334">
        <v>29</v>
      </c>
      <c r="AF257" s="334">
        <v>1</v>
      </c>
      <c r="AG257" s="334">
        <v>30</v>
      </c>
    </row>
    <row r="258" spans="1:33" x14ac:dyDescent="0.25">
      <c r="A258" s="329" t="s">
        <v>570</v>
      </c>
      <c r="B258" s="335" t="s">
        <v>571</v>
      </c>
      <c r="C258" s="331">
        <v>14708</v>
      </c>
      <c r="D258" s="331">
        <v>2</v>
      </c>
      <c r="E258" s="331">
        <v>605</v>
      </c>
      <c r="F258" s="331">
        <v>2070</v>
      </c>
      <c r="G258" s="331">
        <v>477</v>
      </c>
      <c r="H258" s="331">
        <v>17862</v>
      </c>
      <c r="I258" s="330">
        <v>17385</v>
      </c>
      <c r="J258" s="330">
        <v>2</v>
      </c>
      <c r="K258" s="332">
        <v>88.95</v>
      </c>
      <c r="L258" s="332">
        <v>86.57</v>
      </c>
      <c r="M258" s="332">
        <v>1.77</v>
      </c>
      <c r="N258" s="332">
        <v>90.55</v>
      </c>
      <c r="O258" s="333">
        <v>13930</v>
      </c>
      <c r="P258" s="330">
        <v>84.99</v>
      </c>
      <c r="Q258" s="330">
        <v>80.98</v>
      </c>
      <c r="R258" s="330">
        <v>25.17</v>
      </c>
      <c r="S258" s="330">
        <v>109.28</v>
      </c>
      <c r="T258" s="330">
        <v>2473</v>
      </c>
      <c r="U258" s="330">
        <v>101.49</v>
      </c>
      <c r="V258" s="330">
        <v>708</v>
      </c>
      <c r="W258" s="330">
        <v>97.49</v>
      </c>
      <c r="X258" s="330">
        <v>4</v>
      </c>
      <c r="Y258" s="330">
        <v>0</v>
      </c>
      <c r="Z258" s="330">
        <v>57</v>
      </c>
      <c r="AA258" s="330">
        <v>20</v>
      </c>
      <c r="AB258" s="330">
        <v>26</v>
      </c>
      <c r="AC258" s="330">
        <v>11</v>
      </c>
      <c r="AD258" s="334">
        <v>14664</v>
      </c>
      <c r="AE258" s="334">
        <v>155</v>
      </c>
      <c r="AF258" s="334">
        <v>147</v>
      </c>
      <c r="AG258" s="334">
        <v>302</v>
      </c>
    </row>
    <row r="259" spans="1:33" x14ac:dyDescent="0.25">
      <c r="A259" s="329" t="s">
        <v>572</v>
      </c>
      <c r="B259" s="335" t="s">
        <v>573</v>
      </c>
      <c r="C259" s="331">
        <v>5696</v>
      </c>
      <c r="D259" s="331">
        <v>0</v>
      </c>
      <c r="E259" s="331">
        <v>248</v>
      </c>
      <c r="F259" s="331">
        <v>1727</v>
      </c>
      <c r="G259" s="331">
        <v>248</v>
      </c>
      <c r="H259" s="331">
        <v>7919</v>
      </c>
      <c r="I259" s="330">
        <v>7671</v>
      </c>
      <c r="J259" s="330">
        <v>0</v>
      </c>
      <c r="K259" s="332">
        <v>82.95</v>
      </c>
      <c r="L259" s="332">
        <v>83.59</v>
      </c>
      <c r="M259" s="332">
        <v>3.93</v>
      </c>
      <c r="N259" s="332">
        <v>85.13</v>
      </c>
      <c r="O259" s="333">
        <v>5487</v>
      </c>
      <c r="P259" s="330">
        <v>74.709999999999994</v>
      </c>
      <c r="Q259" s="330">
        <v>74.760000000000005</v>
      </c>
      <c r="R259" s="330">
        <v>17.399999999999999</v>
      </c>
      <c r="S259" s="330">
        <v>91.12</v>
      </c>
      <c r="T259" s="330">
        <v>1826</v>
      </c>
      <c r="U259" s="330">
        <v>100.04</v>
      </c>
      <c r="V259" s="330">
        <v>202</v>
      </c>
      <c r="W259" s="330">
        <v>160.94999999999999</v>
      </c>
      <c r="X259" s="330">
        <v>116</v>
      </c>
      <c r="Y259" s="330">
        <v>46</v>
      </c>
      <c r="Z259" s="330">
        <v>20</v>
      </c>
      <c r="AA259" s="330">
        <v>0</v>
      </c>
      <c r="AB259" s="330">
        <v>0</v>
      </c>
      <c r="AC259" s="330">
        <v>19</v>
      </c>
      <c r="AD259" s="334">
        <v>5696</v>
      </c>
      <c r="AE259" s="334">
        <v>53</v>
      </c>
      <c r="AF259" s="334">
        <v>16</v>
      </c>
      <c r="AG259" s="334">
        <v>69</v>
      </c>
    </row>
    <row r="260" spans="1:33" x14ac:dyDescent="0.25">
      <c r="A260" s="329" t="s">
        <v>574</v>
      </c>
      <c r="B260" s="335" t="s">
        <v>575</v>
      </c>
      <c r="C260" s="331">
        <v>2645</v>
      </c>
      <c r="D260" s="331">
        <v>1</v>
      </c>
      <c r="E260" s="331">
        <v>114</v>
      </c>
      <c r="F260" s="331">
        <v>984</v>
      </c>
      <c r="G260" s="331">
        <v>62</v>
      </c>
      <c r="H260" s="331">
        <v>3806</v>
      </c>
      <c r="I260" s="330">
        <v>3744</v>
      </c>
      <c r="J260" s="330">
        <v>16</v>
      </c>
      <c r="K260" s="332">
        <v>86.02</v>
      </c>
      <c r="L260" s="332">
        <v>87.02</v>
      </c>
      <c r="M260" s="332">
        <v>5.6</v>
      </c>
      <c r="N260" s="332">
        <v>87.27</v>
      </c>
      <c r="O260" s="333">
        <v>2410</v>
      </c>
      <c r="P260" s="330">
        <v>80.430000000000007</v>
      </c>
      <c r="Q260" s="330">
        <v>80.86</v>
      </c>
      <c r="R260" s="330">
        <v>15.42</v>
      </c>
      <c r="S260" s="330">
        <v>95.34</v>
      </c>
      <c r="T260" s="330">
        <v>1052</v>
      </c>
      <c r="U260" s="330">
        <v>93.91</v>
      </c>
      <c r="V260" s="330">
        <v>107</v>
      </c>
      <c r="W260" s="330">
        <v>120.64</v>
      </c>
      <c r="X260" s="330">
        <v>63</v>
      </c>
      <c r="Y260" s="330">
        <v>0</v>
      </c>
      <c r="Z260" s="330">
        <v>9</v>
      </c>
      <c r="AA260" s="330">
        <v>1</v>
      </c>
      <c r="AB260" s="330">
        <v>4</v>
      </c>
      <c r="AC260" s="330">
        <v>4</v>
      </c>
      <c r="AD260" s="334">
        <v>2495</v>
      </c>
      <c r="AE260" s="334">
        <v>19</v>
      </c>
      <c r="AF260" s="334">
        <v>9</v>
      </c>
      <c r="AG260" s="334">
        <v>28</v>
      </c>
    </row>
    <row r="261" spans="1:33" x14ac:dyDescent="0.25">
      <c r="A261" s="329" t="s">
        <v>576</v>
      </c>
      <c r="B261" s="335" t="s">
        <v>577</v>
      </c>
      <c r="C261" s="331">
        <v>1624</v>
      </c>
      <c r="D261" s="331">
        <v>0</v>
      </c>
      <c r="E261" s="331">
        <v>98</v>
      </c>
      <c r="F261" s="331">
        <v>312</v>
      </c>
      <c r="G261" s="331">
        <v>327</v>
      </c>
      <c r="H261" s="331">
        <v>2361</v>
      </c>
      <c r="I261" s="330">
        <v>2034</v>
      </c>
      <c r="J261" s="330">
        <v>6</v>
      </c>
      <c r="K261" s="332">
        <v>113.45</v>
      </c>
      <c r="L261" s="332">
        <v>112.36</v>
      </c>
      <c r="M261" s="332">
        <v>5.62</v>
      </c>
      <c r="N261" s="332">
        <v>118.67</v>
      </c>
      <c r="O261" s="333">
        <v>1391</v>
      </c>
      <c r="P261" s="330">
        <v>92.34</v>
      </c>
      <c r="Q261" s="330">
        <v>88.99</v>
      </c>
      <c r="R261" s="330">
        <v>31.25</v>
      </c>
      <c r="S261" s="330">
        <v>123.59</v>
      </c>
      <c r="T261" s="330">
        <v>385</v>
      </c>
      <c r="U261" s="330">
        <v>129.08000000000001</v>
      </c>
      <c r="V261" s="330">
        <v>81</v>
      </c>
      <c r="W261" s="330">
        <v>0</v>
      </c>
      <c r="X261" s="330">
        <v>0</v>
      </c>
      <c r="Y261" s="330">
        <v>14</v>
      </c>
      <c r="Z261" s="330">
        <v>0</v>
      </c>
      <c r="AA261" s="330">
        <v>0</v>
      </c>
      <c r="AB261" s="330">
        <v>1</v>
      </c>
      <c r="AC261" s="330">
        <v>11</v>
      </c>
      <c r="AD261" s="334">
        <v>1520</v>
      </c>
      <c r="AE261" s="334">
        <v>16</v>
      </c>
      <c r="AF261" s="334">
        <v>2</v>
      </c>
      <c r="AG261" s="334">
        <v>18</v>
      </c>
    </row>
    <row r="262" spans="1:33" x14ac:dyDescent="0.25">
      <c r="A262" s="329" t="s">
        <v>578</v>
      </c>
      <c r="B262" s="335" t="s">
        <v>579</v>
      </c>
      <c r="C262" s="331">
        <v>4230</v>
      </c>
      <c r="D262" s="331">
        <v>4</v>
      </c>
      <c r="E262" s="331">
        <v>388</v>
      </c>
      <c r="F262" s="331">
        <v>1479</v>
      </c>
      <c r="G262" s="331">
        <v>867</v>
      </c>
      <c r="H262" s="331">
        <v>6968</v>
      </c>
      <c r="I262" s="330">
        <v>6101</v>
      </c>
      <c r="J262" s="330">
        <v>10</v>
      </c>
      <c r="K262" s="332">
        <v>84.02</v>
      </c>
      <c r="L262" s="332">
        <v>83.81</v>
      </c>
      <c r="M262" s="332">
        <v>7.01</v>
      </c>
      <c r="N262" s="332">
        <v>87.9</v>
      </c>
      <c r="O262" s="333">
        <v>3724</v>
      </c>
      <c r="P262" s="330">
        <v>81.55</v>
      </c>
      <c r="Q262" s="330">
        <v>77.77</v>
      </c>
      <c r="R262" s="330">
        <v>26.88</v>
      </c>
      <c r="S262" s="330">
        <v>107.74</v>
      </c>
      <c r="T262" s="330">
        <v>1802</v>
      </c>
      <c r="U262" s="330">
        <v>112.46</v>
      </c>
      <c r="V262" s="330">
        <v>356</v>
      </c>
      <c r="W262" s="330">
        <v>149.47</v>
      </c>
      <c r="X262" s="330">
        <v>39</v>
      </c>
      <c r="Y262" s="330">
        <v>43</v>
      </c>
      <c r="Z262" s="330">
        <v>5</v>
      </c>
      <c r="AA262" s="330">
        <v>1</v>
      </c>
      <c r="AB262" s="330">
        <v>41</v>
      </c>
      <c r="AC262" s="330">
        <v>8</v>
      </c>
      <c r="AD262" s="334">
        <v>4027</v>
      </c>
      <c r="AE262" s="334">
        <v>9</v>
      </c>
      <c r="AF262" s="334">
        <v>4</v>
      </c>
      <c r="AG262" s="334">
        <v>13</v>
      </c>
    </row>
    <row r="263" spans="1:33" x14ac:dyDescent="0.25">
      <c r="A263" s="329" t="s">
        <v>580</v>
      </c>
      <c r="B263" s="335" t="s">
        <v>581</v>
      </c>
      <c r="C263" s="331">
        <v>12893</v>
      </c>
      <c r="D263" s="331">
        <v>5</v>
      </c>
      <c r="E263" s="331">
        <v>221</v>
      </c>
      <c r="F263" s="331">
        <v>811</v>
      </c>
      <c r="G263" s="331">
        <v>154</v>
      </c>
      <c r="H263" s="331">
        <v>14084</v>
      </c>
      <c r="I263" s="330">
        <v>13930</v>
      </c>
      <c r="J263" s="330">
        <v>13</v>
      </c>
      <c r="K263" s="332">
        <v>81.05</v>
      </c>
      <c r="L263" s="332">
        <v>86.68</v>
      </c>
      <c r="M263" s="332">
        <v>8.35</v>
      </c>
      <c r="N263" s="332">
        <v>83.54</v>
      </c>
      <c r="O263" s="333">
        <v>11708</v>
      </c>
      <c r="P263" s="330">
        <v>84.3</v>
      </c>
      <c r="Q263" s="330">
        <v>78.63</v>
      </c>
      <c r="R263" s="330">
        <v>39.36</v>
      </c>
      <c r="S263" s="330">
        <v>123.31</v>
      </c>
      <c r="T263" s="330">
        <v>1000</v>
      </c>
      <c r="U263" s="330">
        <v>97.58</v>
      </c>
      <c r="V263" s="330">
        <v>1131</v>
      </c>
      <c r="W263" s="330">
        <v>106.16</v>
      </c>
      <c r="X263" s="330">
        <v>4</v>
      </c>
      <c r="Y263" s="330">
        <v>11</v>
      </c>
      <c r="Z263" s="330">
        <v>47</v>
      </c>
      <c r="AA263" s="330">
        <v>3</v>
      </c>
      <c r="AB263" s="330">
        <v>3</v>
      </c>
      <c r="AC263" s="330">
        <v>2</v>
      </c>
      <c r="AD263" s="334">
        <v>12893</v>
      </c>
      <c r="AE263" s="334">
        <v>278</v>
      </c>
      <c r="AF263" s="334">
        <v>124</v>
      </c>
      <c r="AG263" s="334">
        <v>402</v>
      </c>
    </row>
    <row r="264" spans="1:33" x14ac:dyDescent="0.25">
      <c r="A264" s="329" t="s">
        <v>582</v>
      </c>
      <c r="B264" s="335" t="s">
        <v>583</v>
      </c>
      <c r="C264" s="331">
        <v>5858</v>
      </c>
      <c r="D264" s="331">
        <v>0</v>
      </c>
      <c r="E264" s="331">
        <v>716</v>
      </c>
      <c r="F264" s="331">
        <v>1034</v>
      </c>
      <c r="G264" s="331">
        <v>267</v>
      </c>
      <c r="H264" s="331">
        <v>7875</v>
      </c>
      <c r="I264" s="330">
        <v>7608</v>
      </c>
      <c r="J264" s="330">
        <v>16</v>
      </c>
      <c r="K264" s="332">
        <v>75.84</v>
      </c>
      <c r="L264" s="332">
        <v>76.86</v>
      </c>
      <c r="M264" s="332">
        <v>4.05</v>
      </c>
      <c r="N264" s="332">
        <v>78.55</v>
      </c>
      <c r="O264" s="333">
        <v>4979</v>
      </c>
      <c r="P264" s="330">
        <v>87.08</v>
      </c>
      <c r="Q264" s="330">
        <v>86.25</v>
      </c>
      <c r="R264" s="330">
        <v>47.57</v>
      </c>
      <c r="S264" s="330">
        <v>133.16</v>
      </c>
      <c r="T264" s="330">
        <v>1401</v>
      </c>
      <c r="U264" s="330">
        <v>94.7</v>
      </c>
      <c r="V264" s="330">
        <v>342</v>
      </c>
      <c r="W264" s="330">
        <v>156.86000000000001</v>
      </c>
      <c r="X264" s="330">
        <v>60</v>
      </c>
      <c r="Y264" s="330">
        <v>0</v>
      </c>
      <c r="Z264" s="330">
        <v>1</v>
      </c>
      <c r="AA264" s="330">
        <v>8</v>
      </c>
      <c r="AB264" s="330">
        <v>0</v>
      </c>
      <c r="AC264" s="330">
        <v>1</v>
      </c>
      <c r="AD264" s="334">
        <v>5327</v>
      </c>
      <c r="AE264" s="334">
        <v>37</v>
      </c>
      <c r="AF264" s="334">
        <v>17</v>
      </c>
      <c r="AG264" s="334">
        <v>54</v>
      </c>
    </row>
    <row r="265" spans="1:33" x14ac:dyDescent="0.25">
      <c r="A265" s="329" t="s">
        <v>584</v>
      </c>
      <c r="B265" s="335" t="s">
        <v>585</v>
      </c>
      <c r="C265" s="331">
        <v>6340</v>
      </c>
      <c r="D265" s="331">
        <v>2</v>
      </c>
      <c r="E265" s="331">
        <v>68</v>
      </c>
      <c r="F265" s="331">
        <v>660</v>
      </c>
      <c r="G265" s="331">
        <v>471</v>
      </c>
      <c r="H265" s="331">
        <v>7541</v>
      </c>
      <c r="I265" s="330">
        <v>7070</v>
      </c>
      <c r="J265" s="330">
        <v>7</v>
      </c>
      <c r="K265" s="332">
        <v>105.26</v>
      </c>
      <c r="L265" s="332">
        <v>100.36</v>
      </c>
      <c r="M265" s="332">
        <v>4.54</v>
      </c>
      <c r="N265" s="332">
        <v>106.56</v>
      </c>
      <c r="O265" s="333">
        <v>5826</v>
      </c>
      <c r="P265" s="330">
        <v>81.260000000000005</v>
      </c>
      <c r="Q265" s="330">
        <v>86.17</v>
      </c>
      <c r="R265" s="330">
        <v>28.82</v>
      </c>
      <c r="S265" s="330">
        <v>109.81</v>
      </c>
      <c r="T265" s="330">
        <v>635</v>
      </c>
      <c r="U265" s="330">
        <v>132.29</v>
      </c>
      <c r="V265" s="330">
        <v>164</v>
      </c>
      <c r="W265" s="330">
        <v>0</v>
      </c>
      <c r="X265" s="330">
        <v>0</v>
      </c>
      <c r="Y265" s="330">
        <v>10</v>
      </c>
      <c r="Z265" s="330">
        <v>11</v>
      </c>
      <c r="AA265" s="330">
        <v>18</v>
      </c>
      <c r="AB265" s="330">
        <v>19</v>
      </c>
      <c r="AC265" s="330">
        <v>11</v>
      </c>
      <c r="AD265" s="334">
        <v>5963</v>
      </c>
      <c r="AE265" s="334">
        <v>28</v>
      </c>
      <c r="AF265" s="334">
        <v>32</v>
      </c>
      <c r="AG265" s="334">
        <v>60</v>
      </c>
    </row>
    <row r="266" spans="1:33" x14ac:dyDescent="0.25">
      <c r="A266" s="329" t="s">
        <v>586</v>
      </c>
      <c r="B266" s="335" t="s">
        <v>587</v>
      </c>
      <c r="C266" s="331">
        <v>1250</v>
      </c>
      <c r="D266" s="331">
        <v>3</v>
      </c>
      <c r="E266" s="331">
        <v>116</v>
      </c>
      <c r="F266" s="331">
        <v>147</v>
      </c>
      <c r="G266" s="331">
        <v>281</v>
      </c>
      <c r="H266" s="331">
        <v>1797</v>
      </c>
      <c r="I266" s="330">
        <v>1516</v>
      </c>
      <c r="J266" s="330">
        <v>0</v>
      </c>
      <c r="K266" s="332">
        <v>99.01</v>
      </c>
      <c r="L266" s="332">
        <v>96.21</v>
      </c>
      <c r="M266" s="332">
        <v>4.72</v>
      </c>
      <c r="N266" s="332">
        <v>102.83</v>
      </c>
      <c r="O266" s="333">
        <v>1023</v>
      </c>
      <c r="P266" s="330">
        <v>81.53</v>
      </c>
      <c r="Q266" s="330">
        <v>80.25</v>
      </c>
      <c r="R266" s="330">
        <v>32.03</v>
      </c>
      <c r="S266" s="330">
        <v>110.51</v>
      </c>
      <c r="T266" s="330">
        <v>231</v>
      </c>
      <c r="U266" s="330">
        <v>122.28</v>
      </c>
      <c r="V266" s="330">
        <v>159</v>
      </c>
      <c r="W266" s="330">
        <v>0</v>
      </c>
      <c r="X266" s="330">
        <v>0</v>
      </c>
      <c r="Y266" s="330">
        <v>18</v>
      </c>
      <c r="Z266" s="330">
        <v>0</v>
      </c>
      <c r="AA266" s="330">
        <v>7</v>
      </c>
      <c r="AB266" s="330">
        <v>29</v>
      </c>
      <c r="AC266" s="330">
        <v>2</v>
      </c>
      <c r="AD266" s="334">
        <v>1193</v>
      </c>
      <c r="AE266" s="334">
        <v>7</v>
      </c>
      <c r="AF266" s="334">
        <v>1</v>
      </c>
      <c r="AG266" s="334">
        <v>8</v>
      </c>
    </row>
    <row r="267" spans="1:33" x14ac:dyDescent="0.25">
      <c r="A267" s="329" t="s">
        <v>588</v>
      </c>
      <c r="B267" s="335" t="s">
        <v>589</v>
      </c>
      <c r="C267" s="331">
        <v>31813</v>
      </c>
      <c r="D267" s="331">
        <v>38</v>
      </c>
      <c r="E267" s="331">
        <v>602</v>
      </c>
      <c r="F267" s="331">
        <v>1679</v>
      </c>
      <c r="G267" s="331">
        <v>308</v>
      </c>
      <c r="H267" s="331">
        <v>34440</v>
      </c>
      <c r="I267" s="330">
        <v>34132</v>
      </c>
      <c r="J267" s="330">
        <v>150</v>
      </c>
      <c r="K267" s="332">
        <v>79.45</v>
      </c>
      <c r="L267" s="332">
        <v>76.760000000000005</v>
      </c>
      <c r="M267" s="332">
        <v>4.55</v>
      </c>
      <c r="N267" s="332">
        <v>80.64</v>
      </c>
      <c r="O267" s="333">
        <v>30300</v>
      </c>
      <c r="P267" s="330">
        <v>73.89</v>
      </c>
      <c r="Q267" s="330">
        <v>72.010000000000005</v>
      </c>
      <c r="R267" s="330">
        <v>28.89</v>
      </c>
      <c r="S267" s="330">
        <v>100.96</v>
      </c>
      <c r="T267" s="330">
        <v>2023</v>
      </c>
      <c r="U267" s="330">
        <v>100.91</v>
      </c>
      <c r="V267" s="330">
        <v>1079</v>
      </c>
      <c r="W267" s="330">
        <v>149.07</v>
      </c>
      <c r="X267" s="330">
        <v>226</v>
      </c>
      <c r="Y267" s="330">
        <v>0</v>
      </c>
      <c r="Z267" s="330">
        <v>110</v>
      </c>
      <c r="AA267" s="330">
        <v>32</v>
      </c>
      <c r="AB267" s="330">
        <v>47</v>
      </c>
      <c r="AC267" s="330">
        <v>22</v>
      </c>
      <c r="AD267" s="334">
        <v>31380</v>
      </c>
      <c r="AE267" s="334">
        <v>326</v>
      </c>
      <c r="AF267" s="334">
        <v>107</v>
      </c>
      <c r="AG267" s="334">
        <v>433</v>
      </c>
    </row>
    <row r="268" spans="1:33" x14ac:dyDescent="0.25">
      <c r="A268" s="329" t="s">
        <v>590</v>
      </c>
      <c r="B268" s="335" t="s">
        <v>591</v>
      </c>
      <c r="C268" s="331">
        <v>2895</v>
      </c>
      <c r="D268" s="331">
        <v>0</v>
      </c>
      <c r="E268" s="331">
        <v>124</v>
      </c>
      <c r="F268" s="331">
        <v>307</v>
      </c>
      <c r="G268" s="331">
        <v>259</v>
      </c>
      <c r="H268" s="331">
        <v>3585</v>
      </c>
      <c r="I268" s="330">
        <v>3326</v>
      </c>
      <c r="J268" s="330">
        <v>313</v>
      </c>
      <c r="K268" s="332">
        <v>111.66</v>
      </c>
      <c r="L268" s="332">
        <v>113.95</v>
      </c>
      <c r="M268" s="332">
        <v>5.42</v>
      </c>
      <c r="N268" s="332">
        <v>116.78</v>
      </c>
      <c r="O268" s="333">
        <v>2891</v>
      </c>
      <c r="P268" s="330">
        <v>94.31</v>
      </c>
      <c r="Q268" s="330">
        <v>95.42</v>
      </c>
      <c r="R268" s="330">
        <v>21.94</v>
      </c>
      <c r="S268" s="330">
        <v>113.3</v>
      </c>
      <c r="T268" s="330">
        <v>400</v>
      </c>
      <c r="U268" s="330">
        <v>148.26</v>
      </c>
      <c r="V268" s="330">
        <v>3</v>
      </c>
      <c r="W268" s="330">
        <v>0</v>
      </c>
      <c r="X268" s="330">
        <v>0</v>
      </c>
      <c r="Y268" s="330">
        <v>0</v>
      </c>
      <c r="Z268" s="330">
        <v>5</v>
      </c>
      <c r="AA268" s="330">
        <v>0</v>
      </c>
      <c r="AB268" s="330">
        <v>0</v>
      </c>
      <c r="AC268" s="330">
        <v>12</v>
      </c>
      <c r="AD268" s="334">
        <v>2895</v>
      </c>
      <c r="AE268" s="334">
        <v>3</v>
      </c>
      <c r="AF268" s="334">
        <v>0</v>
      </c>
      <c r="AG268" s="334">
        <v>3</v>
      </c>
    </row>
    <row r="269" spans="1:33" x14ac:dyDescent="0.25">
      <c r="A269" s="329" t="s">
        <v>592</v>
      </c>
      <c r="B269" s="335" t="s">
        <v>593</v>
      </c>
      <c r="C269" s="331">
        <v>3832</v>
      </c>
      <c r="D269" s="331">
        <v>8</v>
      </c>
      <c r="E269" s="331">
        <v>323</v>
      </c>
      <c r="F269" s="331">
        <v>921</v>
      </c>
      <c r="G269" s="331">
        <v>557</v>
      </c>
      <c r="H269" s="331">
        <v>5641</v>
      </c>
      <c r="I269" s="330">
        <v>5084</v>
      </c>
      <c r="J269" s="330">
        <v>13</v>
      </c>
      <c r="K269" s="332">
        <v>118.95</v>
      </c>
      <c r="L269" s="332">
        <v>119.86</v>
      </c>
      <c r="M269" s="332">
        <v>7.54</v>
      </c>
      <c r="N269" s="332">
        <v>125.79</v>
      </c>
      <c r="O269" s="333">
        <v>3374</v>
      </c>
      <c r="P269" s="330">
        <v>107.45</v>
      </c>
      <c r="Q269" s="330">
        <v>103.8</v>
      </c>
      <c r="R269" s="330">
        <v>39.33</v>
      </c>
      <c r="S269" s="330">
        <v>145.44999999999999</v>
      </c>
      <c r="T269" s="330">
        <v>768</v>
      </c>
      <c r="U269" s="330">
        <v>172.2</v>
      </c>
      <c r="V269" s="330">
        <v>243</v>
      </c>
      <c r="W269" s="330">
        <v>210.05</v>
      </c>
      <c r="X269" s="330">
        <v>65</v>
      </c>
      <c r="Y269" s="330">
        <v>0</v>
      </c>
      <c r="Z269" s="330">
        <v>10</v>
      </c>
      <c r="AA269" s="330">
        <v>0</v>
      </c>
      <c r="AB269" s="330">
        <v>15</v>
      </c>
      <c r="AC269" s="330">
        <v>17</v>
      </c>
      <c r="AD269" s="334">
        <v>3680</v>
      </c>
      <c r="AE269" s="334">
        <v>19</v>
      </c>
      <c r="AF269" s="334">
        <v>15</v>
      </c>
      <c r="AG269" s="334">
        <v>34</v>
      </c>
    </row>
    <row r="270" spans="1:33" x14ac:dyDescent="0.25">
      <c r="A270" s="329" t="s">
        <v>594</v>
      </c>
      <c r="B270" s="335" t="s">
        <v>595</v>
      </c>
      <c r="C270" s="331">
        <v>7542</v>
      </c>
      <c r="D270" s="331">
        <v>0</v>
      </c>
      <c r="E270" s="331">
        <v>244</v>
      </c>
      <c r="F270" s="331">
        <v>443</v>
      </c>
      <c r="G270" s="331">
        <v>514</v>
      </c>
      <c r="H270" s="331">
        <v>8743</v>
      </c>
      <c r="I270" s="330">
        <v>8229</v>
      </c>
      <c r="J270" s="330">
        <v>0</v>
      </c>
      <c r="K270" s="332">
        <v>97.82</v>
      </c>
      <c r="L270" s="332">
        <v>97.85</v>
      </c>
      <c r="M270" s="332">
        <v>5.0199999999999996</v>
      </c>
      <c r="N270" s="332">
        <v>100.17</v>
      </c>
      <c r="O270" s="333">
        <v>6793</v>
      </c>
      <c r="P270" s="330">
        <v>85.88</v>
      </c>
      <c r="Q270" s="330">
        <v>90.71</v>
      </c>
      <c r="R270" s="330">
        <v>46.69</v>
      </c>
      <c r="S270" s="330">
        <v>131.94</v>
      </c>
      <c r="T270" s="330">
        <v>603</v>
      </c>
      <c r="U270" s="330">
        <v>122.85</v>
      </c>
      <c r="V270" s="330">
        <v>619</v>
      </c>
      <c r="W270" s="330">
        <v>0</v>
      </c>
      <c r="X270" s="330">
        <v>0</v>
      </c>
      <c r="Y270" s="330">
        <v>31</v>
      </c>
      <c r="Z270" s="330">
        <v>12</v>
      </c>
      <c r="AA270" s="330">
        <v>5</v>
      </c>
      <c r="AB270" s="330">
        <v>30</v>
      </c>
      <c r="AC270" s="330">
        <v>26</v>
      </c>
      <c r="AD270" s="334">
        <v>7475</v>
      </c>
      <c r="AE270" s="334">
        <v>24</v>
      </c>
      <c r="AF270" s="334">
        <v>76</v>
      </c>
      <c r="AG270" s="334">
        <v>100</v>
      </c>
    </row>
    <row r="271" spans="1:33" x14ac:dyDescent="0.25">
      <c r="A271" s="329" t="s">
        <v>596</v>
      </c>
      <c r="B271" s="335" t="s">
        <v>597</v>
      </c>
      <c r="C271" s="331">
        <v>3345</v>
      </c>
      <c r="D271" s="331">
        <v>0</v>
      </c>
      <c r="E271" s="331">
        <v>500</v>
      </c>
      <c r="F271" s="331">
        <v>999</v>
      </c>
      <c r="G271" s="331">
        <v>892</v>
      </c>
      <c r="H271" s="331">
        <v>5736</v>
      </c>
      <c r="I271" s="330">
        <v>4844</v>
      </c>
      <c r="J271" s="330">
        <v>1</v>
      </c>
      <c r="K271" s="332">
        <v>97.94</v>
      </c>
      <c r="L271" s="332">
        <v>96.57</v>
      </c>
      <c r="M271" s="332">
        <v>6.19</v>
      </c>
      <c r="N271" s="332">
        <v>102.86</v>
      </c>
      <c r="O271" s="333">
        <v>2816</v>
      </c>
      <c r="P271" s="330">
        <v>81.48</v>
      </c>
      <c r="Q271" s="330">
        <v>79.58</v>
      </c>
      <c r="R271" s="330">
        <v>38.409999999999997</v>
      </c>
      <c r="S271" s="330">
        <v>117.84</v>
      </c>
      <c r="T271" s="330">
        <v>1427</v>
      </c>
      <c r="U271" s="330">
        <v>124.4</v>
      </c>
      <c r="V271" s="330">
        <v>167</v>
      </c>
      <c r="W271" s="330">
        <v>144.63</v>
      </c>
      <c r="X271" s="330">
        <v>23</v>
      </c>
      <c r="Y271" s="330">
        <v>89</v>
      </c>
      <c r="Z271" s="330">
        <v>7</v>
      </c>
      <c r="AA271" s="330">
        <v>0</v>
      </c>
      <c r="AB271" s="330">
        <v>11</v>
      </c>
      <c r="AC271" s="330">
        <v>48</v>
      </c>
      <c r="AD271" s="334">
        <v>3106</v>
      </c>
      <c r="AE271" s="334">
        <v>7</v>
      </c>
      <c r="AF271" s="334">
        <v>3</v>
      </c>
      <c r="AG271" s="334">
        <v>10</v>
      </c>
    </row>
    <row r="272" spans="1:33" x14ac:dyDescent="0.25">
      <c r="A272" s="329" t="s">
        <v>598</v>
      </c>
      <c r="B272" s="335" t="s">
        <v>599</v>
      </c>
      <c r="C272" s="331">
        <v>19801</v>
      </c>
      <c r="D272" s="331">
        <v>0</v>
      </c>
      <c r="E272" s="331">
        <v>503</v>
      </c>
      <c r="F272" s="331">
        <v>1842</v>
      </c>
      <c r="G272" s="331">
        <v>170</v>
      </c>
      <c r="H272" s="331">
        <v>22316</v>
      </c>
      <c r="I272" s="330">
        <v>22146</v>
      </c>
      <c r="J272" s="330">
        <v>21</v>
      </c>
      <c r="K272" s="332">
        <v>82.7</v>
      </c>
      <c r="L272" s="332">
        <v>79.92</v>
      </c>
      <c r="M272" s="332">
        <v>3.35</v>
      </c>
      <c r="N272" s="332">
        <v>85.31</v>
      </c>
      <c r="O272" s="333">
        <v>17688</v>
      </c>
      <c r="P272" s="330">
        <v>78.92</v>
      </c>
      <c r="Q272" s="330">
        <v>72.790000000000006</v>
      </c>
      <c r="R272" s="330">
        <v>31.17</v>
      </c>
      <c r="S272" s="330">
        <v>106.11</v>
      </c>
      <c r="T272" s="330">
        <v>2260</v>
      </c>
      <c r="U272" s="330">
        <v>104.84</v>
      </c>
      <c r="V272" s="330">
        <v>1102</v>
      </c>
      <c r="W272" s="330">
        <v>0</v>
      </c>
      <c r="X272" s="330">
        <v>0</v>
      </c>
      <c r="Y272" s="330">
        <v>1</v>
      </c>
      <c r="Z272" s="330">
        <v>28</v>
      </c>
      <c r="AA272" s="330">
        <v>4</v>
      </c>
      <c r="AB272" s="330">
        <v>5</v>
      </c>
      <c r="AC272" s="330">
        <v>3</v>
      </c>
      <c r="AD272" s="334">
        <v>18830</v>
      </c>
      <c r="AE272" s="334">
        <v>52</v>
      </c>
      <c r="AF272" s="334">
        <v>117</v>
      </c>
      <c r="AG272" s="334">
        <v>169</v>
      </c>
    </row>
    <row r="273" spans="1:33" x14ac:dyDescent="0.25">
      <c r="A273" s="329" t="s">
        <v>600</v>
      </c>
      <c r="B273" s="335" t="s">
        <v>601</v>
      </c>
      <c r="C273" s="331">
        <v>1388</v>
      </c>
      <c r="D273" s="331">
        <v>0</v>
      </c>
      <c r="E273" s="331">
        <v>69</v>
      </c>
      <c r="F273" s="331">
        <v>177</v>
      </c>
      <c r="G273" s="331">
        <v>131</v>
      </c>
      <c r="H273" s="331">
        <v>1765</v>
      </c>
      <c r="I273" s="330">
        <v>1634</v>
      </c>
      <c r="J273" s="330">
        <v>1</v>
      </c>
      <c r="K273" s="332">
        <v>88.18</v>
      </c>
      <c r="L273" s="332">
        <v>87.34</v>
      </c>
      <c r="M273" s="332">
        <v>4.8</v>
      </c>
      <c r="N273" s="332">
        <v>92.1</v>
      </c>
      <c r="O273" s="333">
        <v>1257</v>
      </c>
      <c r="P273" s="330">
        <v>80.39</v>
      </c>
      <c r="Q273" s="330">
        <v>78.849999999999994</v>
      </c>
      <c r="R273" s="330">
        <v>30.97</v>
      </c>
      <c r="S273" s="330">
        <v>109.19</v>
      </c>
      <c r="T273" s="330">
        <v>214</v>
      </c>
      <c r="U273" s="330">
        <v>106.71</v>
      </c>
      <c r="V273" s="330">
        <v>102</v>
      </c>
      <c r="W273" s="330">
        <v>0</v>
      </c>
      <c r="X273" s="330">
        <v>0</v>
      </c>
      <c r="Y273" s="330">
        <v>0</v>
      </c>
      <c r="Z273" s="330">
        <v>1</v>
      </c>
      <c r="AA273" s="330">
        <v>4</v>
      </c>
      <c r="AB273" s="330">
        <v>6</v>
      </c>
      <c r="AC273" s="330">
        <v>11</v>
      </c>
      <c r="AD273" s="334">
        <v>1388</v>
      </c>
      <c r="AE273" s="334">
        <v>3</v>
      </c>
      <c r="AF273" s="334">
        <v>4</v>
      </c>
      <c r="AG273" s="334">
        <v>7</v>
      </c>
    </row>
    <row r="274" spans="1:33" x14ac:dyDescent="0.25">
      <c r="A274" s="329" t="s">
        <v>602</v>
      </c>
      <c r="B274" s="335" t="s">
        <v>603</v>
      </c>
      <c r="C274" s="331">
        <v>917</v>
      </c>
      <c r="D274" s="331">
        <v>0</v>
      </c>
      <c r="E274" s="331">
        <v>149</v>
      </c>
      <c r="F274" s="331">
        <v>59</v>
      </c>
      <c r="G274" s="331">
        <v>225</v>
      </c>
      <c r="H274" s="331">
        <v>1350</v>
      </c>
      <c r="I274" s="330">
        <v>1125</v>
      </c>
      <c r="J274" s="330">
        <v>0</v>
      </c>
      <c r="K274" s="332">
        <v>123.82</v>
      </c>
      <c r="L274" s="332">
        <v>122.22</v>
      </c>
      <c r="M274" s="332">
        <v>5.68</v>
      </c>
      <c r="N274" s="332">
        <v>129.32</v>
      </c>
      <c r="O274" s="333">
        <v>692</v>
      </c>
      <c r="P274" s="330">
        <v>103.22</v>
      </c>
      <c r="Q274" s="330">
        <v>103.07</v>
      </c>
      <c r="R274" s="330">
        <v>47.53</v>
      </c>
      <c r="S274" s="330">
        <v>149.29</v>
      </c>
      <c r="T274" s="330">
        <v>65</v>
      </c>
      <c r="U274" s="330">
        <v>167.41</v>
      </c>
      <c r="V274" s="330">
        <v>142</v>
      </c>
      <c r="W274" s="330">
        <v>148.05000000000001</v>
      </c>
      <c r="X274" s="330">
        <v>27</v>
      </c>
      <c r="Y274" s="330">
        <v>0</v>
      </c>
      <c r="Z274" s="330">
        <v>3</v>
      </c>
      <c r="AA274" s="330">
        <v>0</v>
      </c>
      <c r="AB274" s="330">
        <v>18</v>
      </c>
      <c r="AC274" s="330">
        <v>13</v>
      </c>
      <c r="AD274" s="334">
        <v>866</v>
      </c>
      <c r="AE274" s="334">
        <v>5</v>
      </c>
      <c r="AF274" s="334">
        <v>1</v>
      </c>
      <c r="AG274" s="334">
        <v>6</v>
      </c>
    </row>
    <row r="275" spans="1:33" x14ac:dyDescent="0.25">
      <c r="A275" s="329" t="s">
        <v>604</v>
      </c>
      <c r="B275" s="335" t="s">
        <v>605</v>
      </c>
      <c r="C275" s="331">
        <v>3947</v>
      </c>
      <c r="D275" s="331">
        <v>0</v>
      </c>
      <c r="E275" s="331">
        <v>126</v>
      </c>
      <c r="F275" s="331">
        <v>1379</v>
      </c>
      <c r="G275" s="331">
        <v>522</v>
      </c>
      <c r="H275" s="331">
        <v>5974</v>
      </c>
      <c r="I275" s="330">
        <v>5452</v>
      </c>
      <c r="J275" s="330">
        <v>15</v>
      </c>
      <c r="K275" s="332">
        <v>87.87</v>
      </c>
      <c r="L275" s="332">
        <v>82.59</v>
      </c>
      <c r="M275" s="332">
        <v>2.95</v>
      </c>
      <c r="N275" s="332">
        <v>90.69</v>
      </c>
      <c r="O275" s="333">
        <v>3455</v>
      </c>
      <c r="P275" s="330">
        <v>84.48</v>
      </c>
      <c r="Q275" s="330">
        <v>75.510000000000005</v>
      </c>
      <c r="R275" s="330">
        <v>8.19</v>
      </c>
      <c r="S275" s="330">
        <v>92.48</v>
      </c>
      <c r="T275" s="330">
        <v>1253</v>
      </c>
      <c r="U275" s="330">
        <v>126.24</v>
      </c>
      <c r="V275" s="330">
        <v>447</v>
      </c>
      <c r="W275" s="330">
        <v>0</v>
      </c>
      <c r="X275" s="330">
        <v>0</v>
      </c>
      <c r="Y275" s="330">
        <v>0</v>
      </c>
      <c r="Z275" s="330">
        <v>16</v>
      </c>
      <c r="AA275" s="330">
        <v>0</v>
      </c>
      <c r="AB275" s="330">
        <v>28</v>
      </c>
      <c r="AC275" s="330">
        <v>6</v>
      </c>
      <c r="AD275" s="334">
        <v>3903</v>
      </c>
      <c r="AE275" s="334">
        <v>21</v>
      </c>
      <c r="AF275" s="334">
        <v>16</v>
      </c>
      <c r="AG275" s="334">
        <v>37</v>
      </c>
    </row>
    <row r="276" spans="1:33" x14ac:dyDescent="0.25">
      <c r="A276" s="329" t="s">
        <v>606</v>
      </c>
      <c r="B276" s="335" t="s">
        <v>607</v>
      </c>
      <c r="C276" s="331">
        <v>11402</v>
      </c>
      <c r="D276" s="331">
        <v>0</v>
      </c>
      <c r="E276" s="331">
        <v>237</v>
      </c>
      <c r="F276" s="331">
        <v>1820</v>
      </c>
      <c r="G276" s="331">
        <v>343</v>
      </c>
      <c r="H276" s="331">
        <v>13802</v>
      </c>
      <c r="I276" s="330">
        <v>13459</v>
      </c>
      <c r="J276" s="330">
        <v>4</v>
      </c>
      <c r="K276" s="332">
        <v>89.64</v>
      </c>
      <c r="L276" s="332">
        <v>89.61</v>
      </c>
      <c r="M276" s="332">
        <v>6.03</v>
      </c>
      <c r="N276" s="332">
        <v>91.93</v>
      </c>
      <c r="O276" s="333">
        <v>10827</v>
      </c>
      <c r="P276" s="330">
        <v>90.83</v>
      </c>
      <c r="Q276" s="330">
        <v>83.78</v>
      </c>
      <c r="R276" s="330">
        <v>80.02</v>
      </c>
      <c r="S276" s="330">
        <v>168.29</v>
      </c>
      <c r="T276" s="330">
        <v>1938</v>
      </c>
      <c r="U276" s="330">
        <v>108.68</v>
      </c>
      <c r="V276" s="330">
        <v>457</v>
      </c>
      <c r="W276" s="330">
        <v>180.35</v>
      </c>
      <c r="X276" s="330">
        <v>28</v>
      </c>
      <c r="Y276" s="330">
        <v>0</v>
      </c>
      <c r="Z276" s="330">
        <v>39</v>
      </c>
      <c r="AA276" s="330">
        <v>212</v>
      </c>
      <c r="AB276" s="330">
        <v>29</v>
      </c>
      <c r="AC276" s="330">
        <v>3</v>
      </c>
      <c r="AD276" s="334">
        <v>11362</v>
      </c>
      <c r="AE276" s="334">
        <v>40</v>
      </c>
      <c r="AF276" s="334">
        <v>320</v>
      </c>
      <c r="AG276" s="334">
        <v>360</v>
      </c>
    </row>
    <row r="277" spans="1:33" x14ac:dyDescent="0.25">
      <c r="A277" s="329" t="s">
        <v>608</v>
      </c>
      <c r="B277" s="335" t="s">
        <v>609</v>
      </c>
      <c r="C277" s="331">
        <v>1879</v>
      </c>
      <c r="D277" s="331">
        <v>0</v>
      </c>
      <c r="E277" s="331">
        <v>237</v>
      </c>
      <c r="F277" s="331">
        <v>554</v>
      </c>
      <c r="G277" s="331">
        <v>74</v>
      </c>
      <c r="H277" s="331">
        <v>2744</v>
      </c>
      <c r="I277" s="330">
        <v>2670</v>
      </c>
      <c r="J277" s="330">
        <v>0</v>
      </c>
      <c r="K277" s="332">
        <v>99.63</v>
      </c>
      <c r="L277" s="332">
        <v>97.7</v>
      </c>
      <c r="M277" s="332">
        <v>3.58</v>
      </c>
      <c r="N277" s="332">
        <v>102.42</v>
      </c>
      <c r="O277" s="333">
        <v>1717</v>
      </c>
      <c r="P277" s="330">
        <v>85.38</v>
      </c>
      <c r="Q277" s="330">
        <v>82.06</v>
      </c>
      <c r="R277" s="330">
        <v>32.65</v>
      </c>
      <c r="S277" s="330">
        <v>117.47</v>
      </c>
      <c r="T277" s="330">
        <v>757</v>
      </c>
      <c r="U277" s="330">
        <v>122.89</v>
      </c>
      <c r="V277" s="330">
        <v>102</v>
      </c>
      <c r="W277" s="330">
        <v>0</v>
      </c>
      <c r="X277" s="330">
        <v>0</v>
      </c>
      <c r="Y277" s="330">
        <v>0</v>
      </c>
      <c r="Z277" s="330">
        <v>2</v>
      </c>
      <c r="AA277" s="330">
        <v>2</v>
      </c>
      <c r="AB277" s="330">
        <v>2</v>
      </c>
      <c r="AC277" s="330">
        <v>1</v>
      </c>
      <c r="AD277" s="334">
        <v>1867</v>
      </c>
      <c r="AE277" s="334">
        <v>7</v>
      </c>
      <c r="AF277" s="334">
        <v>0</v>
      </c>
      <c r="AG277" s="334">
        <v>7</v>
      </c>
    </row>
    <row r="278" spans="1:33" x14ac:dyDescent="0.25">
      <c r="A278" s="329" t="s">
        <v>610</v>
      </c>
      <c r="B278" s="335" t="s">
        <v>611</v>
      </c>
      <c r="C278" s="331">
        <v>6750</v>
      </c>
      <c r="D278" s="331">
        <v>0</v>
      </c>
      <c r="E278" s="331">
        <v>221</v>
      </c>
      <c r="F278" s="331">
        <v>480</v>
      </c>
      <c r="G278" s="331">
        <v>532</v>
      </c>
      <c r="H278" s="331">
        <v>7983</v>
      </c>
      <c r="I278" s="330">
        <v>7451</v>
      </c>
      <c r="J278" s="330">
        <v>0</v>
      </c>
      <c r="K278" s="332">
        <v>106.81</v>
      </c>
      <c r="L278" s="332">
        <v>108.08</v>
      </c>
      <c r="M278" s="332">
        <v>2.4500000000000002</v>
      </c>
      <c r="N278" s="332">
        <v>108.89</v>
      </c>
      <c r="O278" s="333">
        <v>6027</v>
      </c>
      <c r="P278" s="330">
        <v>90.12</v>
      </c>
      <c r="Q278" s="330">
        <v>89.15</v>
      </c>
      <c r="R278" s="330">
        <v>31.59</v>
      </c>
      <c r="S278" s="330">
        <v>121.65</v>
      </c>
      <c r="T278" s="330">
        <v>594</v>
      </c>
      <c r="U278" s="330">
        <v>134.33000000000001</v>
      </c>
      <c r="V278" s="330">
        <v>427</v>
      </c>
      <c r="W278" s="330">
        <v>121.68</v>
      </c>
      <c r="X278" s="330">
        <v>1</v>
      </c>
      <c r="Y278" s="330">
        <v>12</v>
      </c>
      <c r="Z278" s="330">
        <v>6</v>
      </c>
      <c r="AA278" s="330">
        <v>1</v>
      </c>
      <c r="AB278" s="330">
        <v>63</v>
      </c>
      <c r="AC278" s="330">
        <v>6</v>
      </c>
      <c r="AD278" s="334">
        <v>6539</v>
      </c>
      <c r="AE278" s="334">
        <v>21</v>
      </c>
      <c r="AF278" s="334">
        <v>27</v>
      </c>
      <c r="AG278" s="334">
        <v>48</v>
      </c>
    </row>
    <row r="279" spans="1:33" x14ac:dyDescent="0.25">
      <c r="A279" s="329" t="s">
        <v>612</v>
      </c>
      <c r="B279" s="335" t="s">
        <v>613</v>
      </c>
      <c r="C279" s="331">
        <v>4012</v>
      </c>
      <c r="D279" s="331">
        <v>0</v>
      </c>
      <c r="E279" s="331">
        <v>53</v>
      </c>
      <c r="F279" s="331">
        <v>558</v>
      </c>
      <c r="G279" s="331">
        <v>405</v>
      </c>
      <c r="H279" s="331">
        <v>5028</v>
      </c>
      <c r="I279" s="330">
        <v>4623</v>
      </c>
      <c r="J279" s="330">
        <v>137</v>
      </c>
      <c r="K279" s="332">
        <v>94.98</v>
      </c>
      <c r="L279" s="332">
        <v>94.62</v>
      </c>
      <c r="M279" s="332">
        <v>3.73</v>
      </c>
      <c r="N279" s="332">
        <v>97.16</v>
      </c>
      <c r="O279" s="333">
        <v>3819</v>
      </c>
      <c r="P279" s="330">
        <v>83.73</v>
      </c>
      <c r="Q279" s="330">
        <v>83.36</v>
      </c>
      <c r="R279" s="330">
        <v>27.38</v>
      </c>
      <c r="S279" s="330">
        <v>110.3</v>
      </c>
      <c r="T279" s="330">
        <v>607</v>
      </c>
      <c r="U279" s="330">
        <v>128.93</v>
      </c>
      <c r="V279" s="330">
        <v>181</v>
      </c>
      <c r="W279" s="330">
        <v>119.04</v>
      </c>
      <c r="X279" s="330">
        <v>4</v>
      </c>
      <c r="Y279" s="330">
        <v>0</v>
      </c>
      <c r="Z279" s="330">
        <v>9</v>
      </c>
      <c r="AA279" s="330">
        <v>0</v>
      </c>
      <c r="AB279" s="330">
        <v>32</v>
      </c>
      <c r="AC279" s="330">
        <v>4</v>
      </c>
      <c r="AD279" s="334">
        <v>4009</v>
      </c>
      <c r="AE279" s="334">
        <v>42</v>
      </c>
      <c r="AF279" s="334">
        <v>15</v>
      </c>
      <c r="AG279" s="334">
        <v>57</v>
      </c>
    </row>
    <row r="280" spans="1:33" x14ac:dyDescent="0.25">
      <c r="A280" s="329" t="s">
        <v>614</v>
      </c>
      <c r="B280" s="335" t="s">
        <v>615</v>
      </c>
      <c r="C280" s="331">
        <v>4068</v>
      </c>
      <c r="D280" s="331">
        <v>0</v>
      </c>
      <c r="E280" s="331">
        <v>75</v>
      </c>
      <c r="F280" s="331">
        <v>683</v>
      </c>
      <c r="G280" s="331">
        <v>113</v>
      </c>
      <c r="H280" s="331">
        <v>4939</v>
      </c>
      <c r="I280" s="330">
        <v>4826</v>
      </c>
      <c r="J280" s="330">
        <v>0</v>
      </c>
      <c r="K280" s="332">
        <v>93.2</v>
      </c>
      <c r="L280" s="332">
        <v>89.95</v>
      </c>
      <c r="M280" s="332">
        <v>6.69</v>
      </c>
      <c r="N280" s="332">
        <v>97.95</v>
      </c>
      <c r="O280" s="333">
        <v>3780</v>
      </c>
      <c r="P280" s="330">
        <v>82.03</v>
      </c>
      <c r="Q280" s="330">
        <v>78.91</v>
      </c>
      <c r="R280" s="330">
        <v>34.69</v>
      </c>
      <c r="S280" s="330">
        <v>115.79</v>
      </c>
      <c r="T280" s="330">
        <v>740</v>
      </c>
      <c r="U280" s="330">
        <v>117</v>
      </c>
      <c r="V280" s="330">
        <v>154</v>
      </c>
      <c r="W280" s="330">
        <v>0</v>
      </c>
      <c r="X280" s="330">
        <v>0</v>
      </c>
      <c r="Y280" s="330">
        <v>0</v>
      </c>
      <c r="Z280" s="330">
        <v>5</v>
      </c>
      <c r="AA280" s="330">
        <v>22</v>
      </c>
      <c r="AB280" s="330">
        <v>4</v>
      </c>
      <c r="AC280" s="330">
        <v>3</v>
      </c>
      <c r="AD280" s="334">
        <v>4068</v>
      </c>
      <c r="AE280" s="334">
        <v>33</v>
      </c>
      <c r="AF280" s="334">
        <v>13</v>
      </c>
      <c r="AG280" s="334">
        <v>46</v>
      </c>
    </row>
    <row r="281" spans="1:33" x14ac:dyDescent="0.25">
      <c r="A281" s="329" t="s">
        <v>616</v>
      </c>
      <c r="B281" s="335" t="s">
        <v>617</v>
      </c>
      <c r="C281" s="331">
        <v>4565</v>
      </c>
      <c r="D281" s="331">
        <v>24</v>
      </c>
      <c r="E281" s="331">
        <v>89</v>
      </c>
      <c r="F281" s="331">
        <v>899</v>
      </c>
      <c r="G281" s="331">
        <v>189</v>
      </c>
      <c r="H281" s="331">
        <v>5766</v>
      </c>
      <c r="I281" s="330">
        <v>5577</v>
      </c>
      <c r="J281" s="330">
        <v>2</v>
      </c>
      <c r="K281" s="332">
        <v>113.8</v>
      </c>
      <c r="L281" s="332">
        <v>120.44</v>
      </c>
      <c r="M281" s="332">
        <v>5.78</v>
      </c>
      <c r="N281" s="332">
        <v>116.37</v>
      </c>
      <c r="O281" s="333">
        <v>4438</v>
      </c>
      <c r="P281" s="330">
        <v>98.34</v>
      </c>
      <c r="Q281" s="330">
        <v>99.03</v>
      </c>
      <c r="R281" s="330">
        <v>18.32</v>
      </c>
      <c r="S281" s="330">
        <v>115.81</v>
      </c>
      <c r="T281" s="330">
        <v>929</v>
      </c>
      <c r="U281" s="330">
        <v>156.33000000000001</v>
      </c>
      <c r="V281" s="330">
        <v>105</v>
      </c>
      <c r="W281" s="330">
        <v>0</v>
      </c>
      <c r="X281" s="330">
        <v>0</v>
      </c>
      <c r="Y281" s="330">
        <v>0</v>
      </c>
      <c r="Z281" s="330">
        <v>34</v>
      </c>
      <c r="AA281" s="330">
        <v>1</v>
      </c>
      <c r="AB281" s="330">
        <v>7</v>
      </c>
      <c r="AC281" s="330">
        <v>3</v>
      </c>
      <c r="AD281" s="334">
        <v>4555</v>
      </c>
      <c r="AE281" s="334">
        <v>48</v>
      </c>
      <c r="AF281" s="334">
        <v>31</v>
      </c>
      <c r="AG281" s="334">
        <v>79</v>
      </c>
    </row>
    <row r="282" spans="1:33" x14ac:dyDescent="0.25">
      <c r="A282" s="329" t="s">
        <v>618</v>
      </c>
      <c r="B282" s="335" t="s">
        <v>619</v>
      </c>
      <c r="C282" s="331">
        <v>1478</v>
      </c>
      <c r="D282" s="331">
        <v>0</v>
      </c>
      <c r="E282" s="331">
        <v>68</v>
      </c>
      <c r="F282" s="331">
        <v>91</v>
      </c>
      <c r="G282" s="331">
        <v>260</v>
      </c>
      <c r="H282" s="331">
        <v>1897</v>
      </c>
      <c r="I282" s="330">
        <v>1637</v>
      </c>
      <c r="J282" s="330">
        <v>15</v>
      </c>
      <c r="K282" s="332">
        <v>103.27</v>
      </c>
      <c r="L282" s="332">
        <v>103.84</v>
      </c>
      <c r="M282" s="332">
        <v>7.37</v>
      </c>
      <c r="N282" s="332">
        <v>108.36</v>
      </c>
      <c r="O282" s="333">
        <v>1252</v>
      </c>
      <c r="P282" s="330">
        <v>106.57</v>
      </c>
      <c r="Q282" s="330">
        <v>104.31</v>
      </c>
      <c r="R282" s="330">
        <v>49.08</v>
      </c>
      <c r="S282" s="330">
        <v>155.65</v>
      </c>
      <c r="T282" s="330">
        <v>128</v>
      </c>
      <c r="U282" s="330">
        <v>146.83000000000001</v>
      </c>
      <c r="V282" s="330">
        <v>156</v>
      </c>
      <c r="W282" s="330">
        <v>0</v>
      </c>
      <c r="X282" s="330">
        <v>0</v>
      </c>
      <c r="Y282" s="330">
        <v>0</v>
      </c>
      <c r="Z282" s="330">
        <v>1</v>
      </c>
      <c r="AA282" s="330">
        <v>1</v>
      </c>
      <c r="AB282" s="330">
        <v>15</v>
      </c>
      <c r="AC282" s="330">
        <v>22</v>
      </c>
      <c r="AD282" s="334">
        <v>1460</v>
      </c>
      <c r="AE282" s="334">
        <v>10</v>
      </c>
      <c r="AF282" s="334">
        <v>0</v>
      </c>
      <c r="AG282" s="334">
        <v>10</v>
      </c>
    </row>
    <row r="283" spans="1:33" x14ac:dyDescent="0.25">
      <c r="A283" s="329" t="s">
        <v>620</v>
      </c>
      <c r="B283" s="335" t="s">
        <v>621</v>
      </c>
      <c r="C283" s="331">
        <v>7501</v>
      </c>
      <c r="D283" s="331">
        <v>13</v>
      </c>
      <c r="E283" s="331">
        <v>45</v>
      </c>
      <c r="F283" s="331">
        <v>516</v>
      </c>
      <c r="G283" s="331">
        <v>808</v>
      </c>
      <c r="H283" s="331">
        <v>8883</v>
      </c>
      <c r="I283" s="330">
        <v>8075</v>
      </c>
      <c r="J283" s="330">
        <v>9</v>
      </c>
      <c r="K283" s="332">
        <v>113.5</v>
      </c>
      <c r="L283" s="332">
        <v>114.34</v>
      </c>
      <c r="M283" s="332">
        <v>5.68</v>
      </c>
      <c r="N283" s="332">
        <v>114.31</v>
      </c>
      <c r="O283" s="333">
        <v>6619</v>
      </c>
      <c r="P283" s="330">
        <v>90.37</v>
      </c>
      <c r="Q283" s="330">
        <v>91.06</v>
      </c>
      <c r="R283" s="330">
        <v>21.78</v>
      </c>
      <c r="S283" s="330">
        <v>111.41</v>
      </c>
      <c r="T283" s="330">
        <v>527</v>
      </c>
      <c r="U283" s="330">
        <v>136.86000000000001</v>
      </c>
      <c r="V283" s="330">
        <v>773</v>
      </c>
      <c r="W283" s="330">
        <v>0</v>
      </c>
      <c r="X283" s="330">
        <v>0</v>
      </c>
      <c r="Y283" s="330">
        <v>0</v>
      </c>
      <c r="Z283" s="330">
        <v>5</v>
      </c>
      <c r="AA283" s="330">
        <v>0</v>
      </c>
      <c r="AB283" s="330">
        <v>24</v>
      </c>
      <c r="AC283" s="330">
        <v>11</v>
      </c>
      <c r="AD283" s="334">
        <v>7493</v>
      </c>
      <c r="AE283" s="334">
        <v>33</v>
      </c>
      <c r="AF283" s="334">
        <v>61</v>
      </c>
      <c r="AG283" s="334">
        <v>94</v>
      </c>
    </row>
    <row r="284" spans="1:33" x14ac:dyDescent="0.25">
      <c r="A284" s="329" t="s">
        <v>622</v>
      </c>
      <c r="B284" s="335" t="s">
        <v>623</v>
      </c>
      <c r="C284" s="331">
        <v>4094</v>
      </c>
      <c r="D284" s="331">
        <v>54</v>
      </c>
      <c r="E284" s="331">
        <v>275</v>
      </c>
      <c r="F284" s="331">
        <v>977</v>
      </c>
      <c r="G284" s="331">
        <v>505</v>
      </c>
      <c r="H284" s="331">
        <v>5905</v>
      </c>
      <c r="I284" s="330">
        <v>5400</v>
      </c>
      <c r="J284" s="330">
        <v>15</v>
      </c>
      <c r="K284" s="332">
        <v>88.16</v>
      </c>
      <c r="L284" s="332">
        <v>90.93</v>
      </c>
      <c r="M284" s="332">
        <v>5.44</v>
      </c>
      <c r="N284" s="332">
        <v>92.8</v>
      </c>
      <c r="O284" s="333">
        <v>3796</v>
      </c>
      <c r="P284" s="330">
        <v>79.22</v>
      </c>
      <c r="Q284" s="330">
        <v>80.42</v>
      </c>
      <c r="R284" s="330">
        <v>27.94</v>
      </c>
      <c r="S284" s="330">
        <v>106.29</v>
      </c>
      <c r="T284" s="330">
        <v>931</v>
      </c>
      <c r="U284" s="330">
        <v>110.47</v>
      </c>
      <c r="V284" s="330">
        <v>337</v>
      </c>
      <c r="W284" s="330">
        <v>0</v>
      </c>
      <c r="X284" s="330">
        <v>0</v>
      </c>
      <c r="Y284" s="330">
        <v>0</v>
      </c>
      <c r="Z284" s="330">
        <v>8</v>
      </c>
      <c r="AA284" s="330">
        <v>5</v>
      </c>
      <c r="AB284" s="330">
        <v>0</v>
      </c>
      <c r="AC284" s="330">
        <v>14</v>
      </c>
      <c r="AD284" s="334">
        <v>4094</v>
      </c>
      <c r="AE284" s="334">
        <v>24</v>
      </c>
      <c r="AF284" s="334">
        <v>21</v>
      </c>
      <c r="AG284" s="334">
        <v>45</v>
      </c>
    </row>
    <row r="285" spans="1:33" x14ac:dyDescent="0.25">
      <c r="A285" s="329" t="s">
        <v>624</v>
      </c>
      <c r="B285" s="335" t="s">
        <v>625</v>
      </c>
      <c r="C285" s="331">
        <v>2272</v>
      </c>
      <c r="D285" s="331">
        <v>0</v>
      </c>
      <c r="E285" s="331">
        <v>13</v>
      </c>
      <c r="F285" s="331">
        <v>419</v>
      </c>
      <c r="G285" s="331">
        <v>177</v>
      </c>
      <c r="H285" s="331">
        <v>2881</v>
      </c>
      <c r="I285" s="330">
        <v>2704</v>
      </c>
      <c r="J285" s="330">
        <v>84</v>
      </c>
      <c r="K285" s="332">
        <v>83.03</v>
      </c>
      <c r="L285" s="332">
        <v>81.83</v>
      </c>
      <c r="M285" s="332">
        <v>2.93</v>
      </c>
      <c r="N285" s="332">
        <v>84.4</v>
      </c>
      <c r="O285" s="333">
        <v>2190</v>
      </c>
      <c r="P285" s="330">
        <v>70.319999999999993</v>
      </c>
      <c r="Q285" s="330">
        <v>69.34</v>
      </c>
      <c r="R285" s="330">
        <v>24.81</v>
      </c>
      <c r="S285" s="330">
        <v>88.65</v>
      </c>
      <c r="T285" s="330">
        <v>402</v>
      </c>
      <c r="U285" s="330">
        <v>106.47</v>
      </c>
      <c r="V285" s="330">
        <v>77</v>
      </c>
      <c r="W285" s="330">
        <v>138.05000000000001</v>
      </c>
      <c r="X285" s="330">
        <v>10</v>
      </c>
      <c r="Y285" s="330">
        <v>0</v>
      </c>
      <c r="Z285" s="330">
        <v>7</v>
      </c>
      <c r="AA285" s="330">
        <v>0</v>
      </c>
      <c r="AB285" s="330">
        <v>2</v>
      </c>
      <c r="AC285" s="330">
        <v>6</v>
      </c>
      <c r="AD285" s="334">
        <v>2264</v>
      </c>
      <c r="AE285" s="334">
        <v>11</v>
      </c>
      <c r="AF285" s="334">
        <v>17</v>
      </c>
      <c r="AG285" s="334">
        <v>28</v>
      </c>
    </row>
    <row r="286" spans="1:33" x14ac:dyDescent="0.25">
      <c r="A286" s="329" t="s">
        <v>626</v>
      </c>
      <c r="B286" s="335" t="s">
        <v>627</v>
      </c>
      <c r="C286" s="331">
        <v>28253</v>
      </c>
      <c r="D286" s="331">
        <v>18</v>
      </c>
      <c r="E286" s="331">
        <v>1522</v>
      </c>
      <c r="F286" s="331">
        <v>1012</v>
      </c>
      <c r="G286" s="331">
        <v>2679</v>
      </c>
      <c r="H286" s="331">
        <v>33484</v>
      </c>
      <c r="I286" s="330">
        <v>30805</v>
      </c>
      <c r="J286" s="330">
        <v>109</v>
      </c>
      <c r="K286" s="332">
        <v>122.76</v>
      </c>
      <c r="L286" s="332">
        <v>130.08000000000001</v>
      </c>
      <c r="M286" s="332">
        <v>13.18</v>
      </c>
      <c r="N286" s="332">
        <v>135.09</v>
      </c>
      <c r="O286" s="333">
        <v>25789</v>
      </c>
      <c r="P286" s="330">
        <v>109.95</v>
      </c>
      <c r="Q286" s="330">
        <v>108.35</v>
      </c>
      <c r="R286" s="330">
        <v>51.69</v>
      </c>
      <c r="S286" s="330">
        <v>159.74</v>
      </c>
      <c r="T286" s="330">
        <v>2115</v>
      </c>
      <c r="U286" s="330">
        <v>185.18</v>
      </c>
      <c r="V286" s="330">
        <v>792</v>
      </c>
      <c r="W286" s="330">
        <v>180.44</v>
      </c>
      <c r="X286" s="330">
        <v>87</v>
      </c>
      <c r="Y286" s="330">
        <v>0</v>
      </c>
      <c r="Z286" s="330">
        <v>157</v>
      </c>
      <c r="AA286" s="330">
        <v>13</v>
      </c>
      <c r="AB286" s="330">
        <v>156</v>
      </c>
      <c r="AC286" s="330">
        <v>174</v>
      </c>
      <c r="AD286" s="334">
        <v>27108</v>
      </c>
      <c r="AE286" s="334">
        <v>97</v>
      </c>
      <c r="AF286" s="334">
        <v>291</v>
      </c>
      <c r="AG286" s="334">
        <v>388</v>
      </c>
    </row>
    <row r="287" spans="1:33" x14ac:dyDescent="0.25">
      <c r="A287" s="329" t="s">
        <v>628</v>
      </c>
      <c r="B287" s="335" t="s">
        <v>629</v>
      </c>
      <c r="C287" s="331">
        <v>11850</v>
      </c>
      <c r="D287" s="331">
        <v>4</v>
      </c>
      <c r="E287" s="331">
        <v>380</v>
      </c>
      <c r="F287" s="331">
        <v>3327</v>
      </c>
      <c r="G287" s="331">
        <v>588</v>
      </c>
      <c r="H287" s="331">
        <v>16149</v>
      </c>
      <c r="I287" s="330">
        <v>15561</v>
      </c>
      <c r="J287" s="330">
        <v>43</v>
      </c>
      <c r="K287" s="332">
        <v>88.13</v>
      </c>
      <c r="L287" s="332">
        <v>89.91</v>
      </c>
      <c r="M287" s="332">
        <v>4.88</v>
      </c>
      <c r="N287" s="332">
        <v>91.2</v>
      </c>
      <c r="O287" s="333">
        <v>10369</v>
      </c>
      <c r="P287" s="330">
        <v>84.5</v>
      </c>
      <c r="Q287" s="330">
        <v>84.97</v>
      </c>
      <c r="R287" s="330">
        <v>19.84</v>
      </c>
      <c r="S287" s="330">
        <v>104.14</v>
      </c>
      <c r="T287" s="330">
        <v>3595</v>
      </c>
      <c r="U287" s="330">
        <v>119.55</v>
      </c>
      <c r="V287" s="330">
        <v>1298</v>
      </c>
      <c r="W287" s="330">
        <v>168.67</v>
      </c>
      <c r="X287" s="330">
        <v>67</v>
      </c>
      <c r="Y287" s="330">
        <v>71</v>
      </c>
      <c r="Z287" s="330">
        <v>64</v>
      </c>
      <c r="AA287" s="330">
        <v>5</v>
      </c>
      <c r="AB287" s="330">
        <v>37</v>
      </c>
      <c r="AC287" s="330">
        <v>16</v>
      </c>
      <c r="AD287" s="334">
        <v>11710</v>
      </c>
      <c r="AE287" s="334">
        <v>77</v>
      </c>
      <c r="AF287" s="334">
        <v>24</v>
      </c>
      <c r="AG287" s="334">
        <v>101</v>
      </c>
    </row>
    <row r="288" spans="1:33" x14ac:dyDescent="0.25">
      <c r="A288" s="329" t="s">
        <v>630</v>
      </c>
      <c r="B288" s="335" t="s">
        <v>631</v>
      </c>
      <c r="C288" s="331">
        <v>6301</v>
      </c>
      <c r="D288" s="331">
        <v>0</v>
      </c>
      <c r="E288" s="331">
        <v>158</v>
      </c>
      <c r="F288" s="331">
        <v>730</v>
      </c>
      <c r="G288" s="331">
        <v>344</v>
      </c>
      <c r="H288" s="331">
        <v>7533</v>
      </c>
      <c r="I288" s="330">
        <v>7189</v>
      </c>
      <c r="J288" s="330">
        <v>0</v>
      </c>
      <c r="K288" s="332">
        <v>110.62</v>
      </c>
      <c r="L288" s="332">
        <v>110.55</v>
      </c>
      <c r="M288" s="332">
        <v>3.75</v>
      </c>
      <c r="N288" s="332">
        <v>113.64</v>
      </c>
      <c r="O288" s="333">
        <v>5697</v>
      </c>
      <c r="P288" s="330">
        <v>87.64</v>
      </c>
      <c r="Q288" s="330">
        <v>86.23</v>
      </c>
      <c r="R288" s="330">
        <v>20.52</v>
      </c>
      <c r="S288" s="330">
        <v>107.28</v>
      </c>
      <c r="T288" s="330">
        <v>683</v>
      </c>
      <c r="U288" s="330">
        <v>150.41999999999999</v>
      </c>
      <c r="V288" s="330">
        <v>427</v>
      </c>
      <c r="W288" s="330">
        <v>137.97999999999999</v>
      </c>
      <c r="X288" s="330">
        <v>2</v>
      </c>
      <c r="Y288" s="330">
        <v>0</v>
      </c>
      <c r="Z288" s="330">
        <v>5</v>
      </c>
      <c r="AA288" s="330">
        <v>0</v>
      </c>
      <c r="AB288" s="330">
        <v>22</v>
      </c>
      <c r="AC288" s="330">
        <v>4</v>
      </c>
      <c r="AD288" s="334">
        <v>6148</v>
      </c>
      <c r="AE288" s="334">
        <v>40</v>
      </c>
      <c r="AF288" s="334">
        <v>15</v>
      </c>
      <c r="AG288" s="334">
        <v>55</v>
      </c>
    </row>
    <row r="289" spans="1:33" x14ac:dyDescent="0.25">
      <c r="A289" s="329" t="s">
        <v>632</v>
      </c>
      <c r="B289" s="335" t="s">
        <v>633</v>
      </c>
      <c r="C289" s="331">
        <v>1276</v>
      </c>
      <c r="D289" s="331">
        <v>2</v>
      </c>
      <c r="E289" s="331">
        <v>51</v>
      </c>
      <c r="F289" s="331">
        <v>203</v>
      </c>
      <c r="G289" s="331">
        <v>327</v>
      </c>
      <c r="H289" s="331">
        <v>1859</v>
      </c>
      <c r="I289" s="330">
        <v>1532</v>
      </c>
      <c r="J289" s="330">
        <v>9</v>
      </c>
      <c r="K289" s="332">
        <v>108.24</v>
      </c>
      <c r="L289" s="332">
        <v>108.23</v>
      </c>
      <c r="M289" s="332">
        <v>5.66</v>
      </c>
      <c r="N289" s="332">
        <v>112.43</v>
      </c>
      <c r="O289" s="333">
        <v>1059</v>
      </c>
      <c r="P289" s="330">
        <v>93.39</v>
      </c>
      <c r="Q289" s="330">
        <v>92.17</v>
      </c>
      <c r="R289" s="330">
        <v>53.39</v>
      </c>
      <c r="S289" s="330">
        <v>146.13999999999999</v>
      </c>
      <c r="T289" s="330">
        <v>250</v>
      </c>
      <c r="U289" s="330">
        <v>146.69999999999999</v>
      </c>
      <c r="V289" s="330">
        <v>193</v>
      </c>
      <c r="W289" s="330">
        <v>0</v>
      </c>
      <c r="X289" s="330">
        <v>0</v>
      </c>
      <c r="Y289" s="330">
        <v>0</v>
      </c>
      <c r="Z289" s="330">
        <v>0</v>
      </c>
      <c r="AA289" s="330">
        <v>2</v>
      </c>
      <c r="AB289" s="330">
        <v>26</v>
      </c>
      <c r="AC289" s="330">
        <v>17</v>
      </c>
      <c r="AD289" s="334">
        <v>1267</v>
      </c>
      <c r="AE289" s="334">
        <v>5</v>
      </c>
      <c r="AF289" s="334">
        <v>5</v>
      </c>
      <c r="AG289" s="334">
        <v>10</v>
      </c>
    </row>
    <row r="290" spans="1:33" x14ac:dyDescent="0.25">
      <c r="A290" s="329" t="s">
        <v>634</v>
      </c>
      <c r="B290" s="335" t="s">
        <v>635</v>
      </c>
      <c r="C290" s="331">
        <v>5608</v>
      </c>
      <c r="D290" s="331">
        <v>0</v>
      </c>
      <c r="E290" s="331">
        <v>142</v>
      </c>
      <c r="F290" s="331">
        <v>973</v>
      </c>
      <c r="G290" s="331">
        <v>475</v>
      </c>
      <c r="H290" s="331">
        <v>7198</v>
      </c>
      <c r="I290" s="330">
        <v>6723</v>
      </c>
      <c r="J290" s="330">
        <v>1</v>
      </c>
      <c r="K290" s="332">
        <v>108.91</v>
      </c>
      <c r="L290" s="332">
        <v>119.66</v>
      </c>
      <c r="M290" s="332">
        <v>5.21</v>
      </c>
      <c r="N290" s="332">
        <v>109.67</v>
      </c>
      <c r="O290" s="333">
        <v>5022</v>
      </c>
      <c r="P290" s="330">
        <v>95.68</v>
      </c>
      <c r="Q290" s="330">
        <v>95.89</v>
      </c>
      <c r="R290" s="330">
        <v>25.62</v>
      </c>
      <c r="S290" s="330">
        <v>108.43</v>
      </c>
      <c r="T290" s="330">
        <v>1093</v>
      </c>
      <c r="U290" s="330">
        <v>149.86000000000001</v>
      </c>
      <c r="V290" s="330">
        <v>328</v>
      </c>
      <c r="W290" s="330">
        <v>0</v>
      </c>
      <c r="X290" s="330">
        <v>0</v>
      </c>
      <c r="Y290" s="330">
        <v>0</v>
      </c>
      <c r="Z290" s="330">
        <v>5</v>
      </c>
      <c r="AA290" s="330">
        <v>2</v>
      </c>
      <c r="AB290" s="330">
        <v>44</v>
      </c>
      <c r="AC290" s="330">
        <v>16</v>
      </c>
      <c r="AD290" s="334">
        <v>5550</v>
      </c>
      <c r="AE290" s="334">
        <v>41</v>
      </c>
      <c r="AF290" s="334">
        <v>6</v>
      </c>
      <c r="AG290" s="334">
        <v>47</v>
      </c>
    </row>
    <row r="291" spans="1:33" x14ac:dyDescent="0.25">
      <c r="A291" s="329" t="s">
        <v>636</v>
      </c>
      <c r="B291" s="335" t="s">
        <v>637</v>
      </c>
      <c r="C291" s="331">
        <v>32158</v>
      </c>
      <c r="D291" s="331">
        <v>0</v>
      </c>
      <c r="E291" s="331">
        <v>482</v>
      </c>
      <c r="F291" s="331">
        <v>2458</v>
      </c>
      <c r="G291" s="331">
        <v>420</v>
      </c>
      <c r="H291" s="331">
        <v>35518</v>
      </c>
      <c r="I291" s="330">
        <v>35098</v>
      </c>
      <c r="J291" s="330">
        <v>20</v>
      </c>
      <c r="K291" s="332">
        <v>82.81</v>
      </c>
      <c r="L291" s="332">
        <v>83.49</v>
      </c>
      <c r="M291" s="332">
        <v>5.92</v>
      </c>
      <c r="N291" s="332">
        <v>83.53</v>
      </c>
      <c r="O291" s="333">
        <v>30633</v>
      </c>
      <c r="P291" s="330">
        <v>77.61</v>
      </c>
      <c r="Q291" s="330">
        <v>76.91</v>
      </c>
      <c r="R291" s="330">
        <v>29.98</v>
      </c>
      <c r="S291" s="330">
        <v>105.23</v>
      </c>
      <c r="T291" s="330">
        <v>2802</v>
      </c>
      <c r="U291" s="330">
        <v>97.97</v>
      </c>
      <c r="V291" s="330">
        <v>1115</v>
      </c>
      <c r="W291" s="330">
        <v>93.11</v>
      </c>
      <c r="X291" s="330">
        <v>5</v>
      </c>
      <c r="Y291" s="330">
        <v>0</v>
      </c>
      <c r="Z291" s="330">
        <v>125</v>
      </c>
      <c r="AA291" s="330">
        <v>19</v>
      </c>
      <c r="AB291" s="330">
        <v>34</v>
      </c>
      <c r="AC291" s="330">
        <v>11</v>
      </c>
      <c r="AD291" s="334">
        <v>32129</v>
      </c>
      <c r="AE291" s="334">
        <v>95</v>
      </c>
      <c r="AF291" s="334">
        <v>96</v>
      </c>
      <c r="AG291" s="334">
        <v>191</v>
      </c>
    </row>
    <row r="292" spans="1:33" x14ac:dyDescent="0.25">
      <c r="A292" s="329" t="s">
        <v>638</v>
      </c>
      <c r="B292" s="335" t="s">
        <v>639</v>
      </c>
      <c r="C292" s="331">
        <v>26797</v>
      </c>
      <c r="D292" s="331">
        <v>0</v>
      </c>
      <c r="E292" s="331">
        <v>243</v>
      </c>
      <c r="F292" s="331">
        <v>783</v>
      </c>
      <c r="G292" s="331">
        <v>598</v>
      </c>
      <c r="H292" s="331">
        <v>28421</v>
      </c>
      <c r="I292" s="330">
        <v>27823</v>
      </c>
      <c r="J292" s="330">
        <v>0</v>
      </c>
      <c r="K292" s="332">
        <v>85.41</v>
      </c>
      <c r="L292" s="332">
        <v>85.56</v>
      </c>
      <c r="M292" s="332">
        <v>7.96</v>
      </c>
      <c r="N292" s="332">
        <v>89.3</v>
      </c>
      <c r="O292" s="333">
        <v>25336</v>
      </c>
      <c r="P292" s="330">
        <v>100.3</v>
      </c>
      <c r="Q292" s="330">
        <v>99.32</v>
      </c>
      <c r="R292" s="330">
        <v>39.22</v>
      </c>
      <c r="S292" s="330">
        <v>134.55000000000001</v>
      </c>
      <c r="T292" s="330">
        <v>940</v>
      </c>
      <c r="U292" s="330">
        <v>107.08</v>
      </c>
      <c r="V292" s="330">
        <v>1133</v>
      </c>
      <c r="W292" s="330">
        <v>96.32</v>
      </c>
      <c r="X292" s="330">
        <v>18</v>
      </c>
      <c r="Y292" s="330">
        <v>0</v>
      </c>
      <c r="Z292" s="330">
        <v>111</v>
      </c>
      <c r="AA292" s="330">
        <v>25</v>
      </c>
      <c r="AB292" s="330">
        <v>0</v>
      </c>
      <c r="AC292" s="330">
        <v>9</v>
      </c>
      <c r="AD292" s="334">
        <v>26734</v>
      </c>
      <c r="AE292" s="334">
        <v>248</v>
      </c>
      <c r="AF292" s="334">
        <v>66</v>
      </c>
      <c r="AG292" s="334">
        <v>314</v>
      </c>
    </row>
    <row r="293" spans="1:33" x14ac:dyDescent="0.25">
      <c r="A293" s="329" t="s">
        <v>640</v>
      </c>
      <c r="B293" s="335" t="s">
        <v>641</v>
      </c>
      <c r="C293" s="331">
        <v>10168</v>
      </c>
      <c r="D293" s="331">
        <v>0</v>
      </c>
      <c r="E293" s="331">
        <v>904</v>
      </c>
      <c r="F293" s="331">
        <v>820</v>
      </c>
      <c r="G293" s="331">
        <v>931</v>
      </c>
      <c r="H293" s="331">
        <v>12823</v>
      </c>
      <c r="I293" s="330">
        <v>11892</v>
      </c>
      <c r="J293" s="330">
        <v>8</v>
      </c>
      <c r="K293" s="332">
        <v>120.6</v>
      </c>
      <c r="L293" s="332">
        <v>115.99</v>
      </c>
      <c r="M293" s="332">
        <v>7.7</v>
      </c>
      <c r="N293" s="332">
        <v>124.26</v>
      </c>
      <c r="O293" s="333">
        <v>8851</v>
      </c>
      <c r="P293" s="330">
        <v>97.83</v>
      </c>
      <c r="Q293" s="330">
        <v>96.2</v>
      </c>
      <c r="R293" s="330">
        <v>35.46</v>
      </c>
      <c r="S293" s="330">
        <v>129.61000000000001</v>
      </c>
      <c r="T293" s="330">
        <v>1272</v>
      </c>
      <c r="U293" s="330">
        <v>159</v>
      </c>
      <c r="V293" s="330">
        <v>776</v>
      </c>
      <c r="W293" s="330">
        <v>0</v>
      </c>
      <c r="X293" s="330">
        <v>0</v>
      </c>
      <c r="Y293" s="330">
        <v>1</v>
      </c>
      <c r="Z293" s="330">
        <v>39</v>
      </c>
      <c r="AA293" s="330">
        <v>6</v>
      </c>
      <c r="AB293" s="330">
        <v>139</v>
      </c>
      <c r="AC293" s="330">
        <v>20</v>
      </c>
      <c r="AD293" s="334">
        <v>9825</v>
      </c>
      <c r="AE293" s="334">
        <v>41</v>
      </c>
      <c r="AF293" s="334">
        <v>17</v>
      </c>
      <c r="AG293" s="334">
        <v>58</v>
      </c>
    </row>
    <row r="294" spans="1:33" x14ac:dyDescent="0.25">
      <c r="A294" s="329" t="s">
        <v>642</v>
      </c>
      <c r="B294" s="335" t="s">
        <v>643</v>
      </c>
      <c r="C294" s="331">
        <v>8434</v>
      </c>
      <c r="D294" s="331">
        <v>10</v>
      </c>
      <c r="E294" s="331">
        <v>1047</v>
      </c>
      <c r="F294" s="331">
        <v>1055</v>
      </c>
      <c r="G294" s="331">
        <v>1834</v>
      </c>
      <c r="H294" s="331">
        <v>12380</v>
      </c>
      <c r="I294" s="330">
        <v>10546</v>
      </c>
      <c r="J294" s="330">
        <v>181</v>
      </c>
      <c r="K294" s="332">
        <v>127.43</v>
      </c>
      <c r="L294" s="332">
        <v>136.72999999999999</v>
      </c>
      <c r="M294" s="332">
        <v>6.14</v>
      </c>
      <c r="N294" s="332">
        <v>130.58000000000001</v>
      </c>
      <c r="O294" s="333">
        <v>7733</v>
      </c>
      <c r="P294" s="330">
        <v>124.97</v>
      </c>
      <c r="Q294" s="330">
        <v>117.13</v>
      </c>
      <c r="R294" s="330">
        <v>35.75</v>
      </c>
      <c r="S294" s="330">
        <v>157.55000000000001</v>
      </c>
      <c r="T294" s="330">
        <v>2008</v>
      </c>
      <c r="U294" s="330">
        <v>191.04</v>
      </c>
      <c r="V294" s="330">
        <v>251</v>
      </c>
      <c r="W294" s="330">
        <v>0</v>
      </c>
      <c r="X294" s="330">
        <v>0</v>
      </c>
      <c r="Y294" s="330">
        <v>0</v>
      </c>
      <c r="Z294" s="330">
        <v>2</v>
      </c>
      <c r="AA294" s="330">
        <v>12</v>
      </c>
      <c r="AB294" s="330">
        <v>137</v>
      </c>
      <c r="AC294" s="330">
        <v>119</v>
      </c>
      <c r="AD294" s="334">
        <v>8144</v>
      </c>
      <c r="AE294" s="334">
        <v>25</v>
      </c>
      <c r="AF294" s="334">
        <v>36</v>
      </c>
      <c r="AG294" s="334">
        <v>61</v>
      </c>
    </row>
    <row r="295" spans="1:33" x14ac:dyDescent="0.25">
      <c r="A295" s="329" t="s">
        <v>644</v>
      </c>
      <c r="B295" s="335" t="s">
        <v>645</v>
      </c>
      <c r="C295" s="331">
        <v>11837</v>
      </c>
      <c r="D295" s="331">
        <v>0</v>
      </c>
      <c r="E295" s="331">
        <v>492</v>
      </c>
      <c r="F295" s="331">
        <v>2215</v>
      </c>
      <c r="G295" s="331">
        <v>666</v>
      </c>
      <c r="H295" s="331">
        <v>15210</v>
      </c>
      <c r="I295" s="330">
        <v>14544</v>
      </c>
      <c r="J295" s="330">
        <v>328</v>
      </c>
      <c r="K295" s="332">
        <v>83.62</v>
      </c>
      <c r="L295" s="332">
        <v>84.1</v>
      </c>
      <c r="M295" s="332">
        <v>6.54</v>
      </c>
      <c r="N295" s="332">
        <v>85.75</v>
      </c>
      <c r="O295" s="333">
        <v>11225</v>
      </c>
      <c r="P295" s="330">
        <v>79.17</v>
      </c>
      <c r="Q295" s="330">
        <v>78.069999999999993</v>
      </c>
      <c r="R295" s="330">
        <v>24.9</v>
      </c>
      <c r="S295" s="330">
        <v>90.82</v>
      </c>
      <c r="T295" s="330">
        <v>2666</v>
      </c>
      <c r="U295" s="330">
        <v>103.65</v>
      </c>
      <c r="V295" s="330">
        <v>533</v>
      </c>
      <c r="W295" s="330">
        <v>107.32</v>
      </c>
      <c r="X295" s="330">
        <v>3</v>
      </c>
      <c r="Y295" s="330">
        <v>0</v>
      </c>
      <c r="Z295" s="330">
        <v>55</v>
      </c>
      <c r="AA295" s="330">
        <v>2</v>
      </c>
      <c r="AB295" s="330">
        <v>30</v>
      </c>
      <c r="AC295" s="330">
        <v>15</v>
      </c>
      <c r="AD295" s="334">
        <v>11837</v>
      </c>
      <c r="AE295" s="334">
        <v>74</v>
      </c>
      <c r="AF295" s="334">
        <v>116</v>
      </c>
      <c r="AG295" s="334">
        <v>190</v>
      </c>
    </row>
    <row r="296" spans="1:33" x14ac:dyDescent="0.25">
      <c r="A296" s="329" t="s">
        <v>646</v>
      </c>
      <c r="B296" s="335" t="s">
        <v>647</v>
      </c>
      <c r="C296" s="331">
        <v>2054</v>
      </c>
      <c r="D296" s="331">
        <v>8</v>
      </c>
      <c r="E296" s="331">
        <v>152</v>
      </c>
      <c r="F296" s="331">
        <v>550</v>
      </c>
      <c r="G296" s="331">
        <v>453</v>
      </c>
      <c r="H296" s="331">
        <v>3217</v>
      </c>
      <c r="I296" s="330">
        <v>2764</v>
      </c>
      <c r="J296" s="330">
        <v>4</v>
      </c>
      <c r="K296" s="332">
        <v>101.9</v>
      </c>
      <c r="L296" s="332">
        <v>99.37</v>
      </c>
      <c r="M296" s="332">
        <v>6.77</v>
      </c>
      <c r="N296" s="332">
        <v>107.88</v>
      </c>
      <c r="O296" s="333">
        <v>1762</v>
      </c>
      <c r="P296" s="330">
        <v>92.48</v>
      </c>
      <c r="Q296" s="330">
        <v>88.85</v>
      </c>
      <c r="R296" s="330">
        <v>38.33</v>
      </c>
      <c r="S296" s="330">
        <v>130.57</v>
      </c>
      <c r="T296" s="330">
        <v>635</v>
      </c>
      <c r="U296" s="330">
        <v>127.5</v>
      </c>
      <c r="V296" s="330">
        <v>190</v>
      </c>
      <c r="W296" s="330">
        <v>169.31</v>
      </c>
      <c r="X296" s="330">
        <v>21</v>
      </c>
      <c r="Y296" s="330">
        <v>9</v>
      </c>
      <c r="Z296" s="330">
        <v>5</v>
      </c>
      <c r="AA296" s="330">
        <v>4</v>
      </c>
      <c r="AB296" s="330">
        <v>27</v>
      </c>
      <c r="AC296" s="330">
        <v>13</v>
      </c>
      <c r="AD296" s="334">
        <v>1955</v>
      </c>
      <c r="AE296" s="334">
        <v>7</v>
      </c>
      <c r="AF296" s="334">
        <v>2</v>
      </c>
      <c r="AG296" s="334">
        <v>9</v>
      </c>
    </row>
    <row r="297" spans="1:33" x14ac:dyDescent="0.25">
      <c r="A297" s="329" t="s">
        <v>648</v>
      </c>
      <c r="B297" s="335" t="s">
        <v>649</v>
      </c>
      <c r="C297" s="331">
        <v>5473</v>
      </c>
      <c r="D297" s="331">
        <v>18</v>
      </c>
      <c r="E297" s="331">
        <v>356</v>
      </c>
      <c r="F297" s="331">
        <v>626</v>
      </c>
      <c r="G297" s="331">
        <v>366</v>
      </c>
      <c r="H297" s="331">
        <v>6839</v>
      </c>
      <c r="I297" s="330">
        <v>6473</v>
      </c>
      <c r="J297" s="330">
        <v>24</v>
      </c>
      <c r="K297" s="332">
        <v>115.4</v>
      </c>
      <c r="L297" s="332">
        <v>121.2</v>
      </c>
      <c r="M297" s="332">
        <v>7.29</v>
      </c>
      <c r="N297" s="332">
        <v>118.8</v>
      </c>
      <c r="O297" s="333">
        <v>5085</v>
      </c>
      <c r="P297" s="330">
        <v>88.92</v>
      </c>
      <c r="Q297" s="330">
        <v>92.12</v>
      </c>
      <c r="R297" s="330">
        <v>25.84</v>
      </c>
      <c r="S297" s="330">
        <v>113.49</v>
      </c>
      <c r="T297" s="330">
        <v>776</v>
      </c>
      <c r="U297" s="330">
        <v>169.67</v>
      </c>
      <c r="V297" s="330">
        <v>208</v>
      </c>
      <c r="W297" s="330">
        <v>0</v>
      </c>
      <c r="X297" s="330">
        <v>0</v>
      </c>
      <c r="Y297" s="330">
        <v>0</v>
      </c>
      <c r="Z297" s="330">
        <v>24</v>
      </c>
      <c r="AA297" s="330">
        <v>2</v>
      </c>
      <c r="AB297" s="330">
        <v>12</v>
      </c>
      <c r="AC297" s="330">
        <v>12</v>
      </c>
      <c r="AD297" s="334">
        <v>5473</v>
      </c>
      <c r="AE297" s="334">
        <v>15</v>
      </c>
      <c r="AF297" s="334">
        <v>7</v>
      </c>
      <c r="AG297" s="334">
        <v>22</v>
      </c>
    </row>
    <row r="298" spans="1:33" x14ac:dyDescent="0.25">
      <c r="A298" s="329" t="s">
        <v>650</v>
      </c>
      <c r="B298" s="335" t="s">
        <v>651</v>
      </c>
      <c r="C298" s="331">
        <v>1063</v>
      </c>
      <c r="D298" s="331">
        <v>0</v>
      </c>
      <c r="E298" s="331">
        <v>126</v>
      </c>
      <c r="F298" s="331">
        <v>204</v>
      </c>
      <c r="G298" s="331">
        <v>352</v>
      </c>
      <c r="H298" s="331">
        <v>1745</v>
      </c>
      <c r="I298" s="330">
        <v>1393</v>
      </c>
      <c r="J298" s="330">
        <v>8</v>
      </c>
      <c r="K298" s="332">
        <v>118.74</v>
      </c>
      <c r="L298" s="332">
        <v>119.05</v>
      </c>
      <c r="M298" s="332">
        <v>4.75</v>
      </c>
      <c r="N298" s="332">
        <v>123.13</v>
      </c>
      <c r="O298" s="333">
        <v>903</v>
      </c>
      <c r="P298" s="330">
        <v>104.28</v>
      </c>
      <c r="Q298" s="330">
        <v>98.13</v>
      </c>
      <c r="R298" s="330">
        <v>29.38</v>
      </c>
      <c r="S298" s="330">
        <v>133.49</v>
      </c>
      <c r="T298" s="330">
        <v>175</v>
      </c>
      <c r="U298" s="330">
        <v>168.13</v>
      </c>
      <c r="V298" s="330">
        <v>82</v>
      </c>
      <c r="W298" s="330">
        <v>121.1</v>
      </c>
      <c r="X298" s="330">
        <v>3</v>
      </c>
      <c r="Y298" s="330">
        <v>0</v>
      </c>
      <c r="Z298" s="330">
        <v>0</v>
      </c>
      <c r="AA298" s="330">
        <v>0</v>
      </c>
      <c r="AB298" s="330">
        <v>16</v>
      </c>
      <c r="AC298" s="330">
        <v>1</v>
      </c>
      <c r="AD298" s="334">
        <v>987</v>
      </c>
      <c r="AE298" s="334">
        <v>4</v>
      </c>
      <c r="AF298" s="334">
        <v>5</v>
      </c>
      <c r="AG298" s="334">
        <v>9</v>
      </c>
    </row>
    <row r="299" spans="1:33" x14ac:dyDescent="0.25">
      <c r="A299" s="329" t="s">
        <v>652</v>
      </c>
      <c r="B299" s="335" t="s">
        <v>653</v>
      </c>
      <c r="C299" s="331">
        <v>1971</v>
      </c>
      <c r="D299" s="331">
        <v>0</v>
      </c>
      <c r="E299" s="331">
        <v>68</v>
      </c>
      <c r="F299" s="331">
        <v>288</v>
      </c>
      <c r="G299" s="331">
        <v>463</v>
      </c>
      <c r="H299" s="331">
        <v>2790</v>
      </c>
      <c r="I299" s="330">
        <v>2327</v>
      </c>
      <c r="J299" s="330">
        <v>0</v>
      </c>
      <c r="K299" s="332">
        <v>105.01</v>
      </c>
      <c r="L299" s="332">
        <v>102.66</v>
      </c>
      <c r="M299" s="332">
        <v>5.14</v>
      </c>
      <c r="N299" s="332">
        <v>108.92</v>
      </c>
      <c r="O299" s="333">
        <v>1488</v>
      </c>
      <c r="P299" s="330">
        <v>78.55</v>
      </c>
      <c r="Q299" s="330">
        <v>74.319999999999993</v>
      </c>
      <c r="R299" s="330">
        <v>34.69</v>
      </c>
      <c r="S299" s="330">
        <v>109.94</v>
      </c>
      <c r="T299" s="330">
        <v>221</v>
      </c>
      <c r="U299" s="330">
        <v>142.61000000000001</v>
      </c>
      <c r="V299" s="330">
        <v>461</v>
      </c>
      <c r="W299" s="330">
        <v>125.86</v>
      </c>
      <c r="X299" s="330">
        <v>10</v>
      </c>
      <c r="Y299" s="330">
        <v>0</v>
      </c>
      <c r="Z299" s="330">
        <v>0</v>
      </c>
      <c r="AA299" s="330">
        <v>4</v>
      </c>
      <c r="AB299" s="330">
        <v>27</v>
      </c>
      <c r="AC299" s="330">
        <v>5</v>
      </c>
      <c r="AD299" s="334">
        <v>1971</v>
      </c>
      <c r="AE299" s="334">
        <v>20</v>
      </c>
      <c r="AF299" s="334">
        <v>4</v>
      </c>
      <c r="AG299" s="334">
        <v>24</v>
      </c>
    </row>
    <row r="300" spans="1:33" x14ac:dyDescent="0.25">
      <c r="A300" s="329" t="s">
        <v>654</v>
      </c>
      <c r="B300" s="335" t="s">
        <v>655</v>
      </c>
      <c r="C300" s="331">
        <v>2578</v>
      </c>
      <c r="D300" s="331">
        <v>0</v>
      </c>
      <c r="E300" s="331">
        <v>300</v>
      </c>
      <c r="F300" s="331">
        <v>350</v>
      </c>
      <c r="G300" s="331">
        <v>336</v>
      </c>
      <c r="H300" s="331">
        <v>3564</v>
      </c>
      <c r="I300" s="330">
        <v>3228</v>
      </c>
      <c r="J300" s="330">
        <v>125</v>
      </c>
      <c r="K300" s="332">
        <v>110.76</v>
      </c>
      <c r="L300" s="332">
        <v>109.84</v>
      </c>
      <c r="M300" s="332">
        <v>7.36</v>
      </c>
      <c r="N300" s="332">
        <v>116.64</v>
      </c>
      <c r="O300" s="333">
        <v>2256</v>
      </c>
      <c r="P300" s="330">
        <v>95.16</v>
      </c>
      <c r="Q300" s="330">
        <v>93.75</v>
      </c>
      <c r="R300" s="330">
        <v>41.74</v>
      </c>
      <c r="S300" s="330">
        <v>136.52000000000001</v>
      </c>
      <c r="T300" s="330">
        <v>220</v>
      </c>
      <c r="U300" s="330">
        <v>142.51</v>
      </c>
      <c r="V300" s="330">
        <v>204</v>
      </c>
      <c r="W300" s="330">
        <v>0</v>
      </c>
      <c r="X300" s="330">
        <v>0</v>
      </c>
      <c r="Y300" s="330">
        <v>0</v>
      </c>
      <c r="Z300" s="330">
        <v>2</v>
      </c>
      <c r="AA300" s="330">
        <v>0</v>
      </c>
      <c r="AB300" s="330">
        <v>10</v>
      </c>
      <c r="AC300" s="330">
        <v>19</v>
      </c>
      <c r="AD300" s="334">
        <v>2478</v>
      </c>
      <c r="AE300" s="334">
        <v>43</v>
      </c>
      <c r="AF300" s="334">
        <v>4</v>
      </c>
      <c r="AG300" s="334">
        <v>47</v>
      </c>
    </row>
    <row r="301" spans="1:33" x14ac:dyDescent="0.25">
      <c r="A301" s="329" t="s">
        <v>656</v>
      </c>
      <c r="B301" s="335" t="s">
        <v>657</v>
      </c>
      <c r="C301" s="331">
        <v>7463</v>
      </c>
      <c r="D301" s="331">
        <v>4</v>
      </c>
      <c r="E301" s="331">
        <v>290</v>
      </c>
      <c r="F301" s="331">
        <v>1154</v>
      </c>
      <c r="G301" s="331">
        <v>505</v>
      </c>
      <c r="H301" s="331">
        <v>9416</v>
      </c>
      <c r="I301" s="330">
        <v>8911</v>
      </c>
      <c r="J301" s="330">
        <v>1</v>
      </c>
      <c r="K301" s="332">
        <v>118.31</v>
      </c>
      <c r="L301" s="332">
        <v>122.16</v>
      </c>
      <c r="M301" s="332">
        <v>4.38</v>
      </c>
      <c r="N301" s="332">
        <v>120.46</v>
      </c>
      <c r="O301" s="333">
        <v>7136</v>
      </c>
      <c r="P301" s="330">
        <v>102.17</v>
      </c>
      <c r="Q301" s="330">
        <v>104.08</v>
      </c>
      <c r="R301" s="330">
        <v>22.9</v>
      </c>
      <c r="S301" s="330">
        <v>123.61</v>
      </c>
      <c r="T301" s="330">
        <v>1306</v>
      </c>
      <c r="U301" s="330">
        <v>150.83000000000001</v>
      </c>
      <c r="V301" s="330">
        <v>305</v>
      </c>
      <c r="W301" s="330">
        <v>177.74</v>
      </c>
      <c r="X301" s="330">
        <v>44</v>
      </c>
      <c r="Y301" s="330">
        <v>0</v>
      </c>
      <c r="Z301" s="330">
        <v>8</v>
      </c>
      <c r="AA301" s="330">
        <v>1</v>
      </c>
      <c r="AB301" s="330">
        <v>9</v>
      </c>
      <c r="AC301" s="330">
        <v>15</v>
      </c>
      <c r="AD301" s="334">
        <v>7450</v>
      </c>
      <c r="AE301" s="334">
        <v>37</v>
      </c>
      <c r="AF301" s="334">
        <v>8</v>
      </c>
      <c r="AG301" s="334">
        <v>45</v>
      </c>
    </row>
    <row r="302" spans="1:33" x14ac:dyDescent="0.25">
      <c r="A302" s="329" t="s">
        <v>658</v>
      </c>
      <c r="B302" s="335" t="s">
        <v>659</v>
      </c>
      <c r="C302" s="331">
        <v>2008</v>
      </c>
      <c r="D302" s="331">
        <v>2</v>
      </c>
      <c r="E302" s="331">
        <v>33</v>
      </c>
      <c r="F302" s="331">
        <v>349</v>
      </c>
      <c r="G302" s="331">
        <v>103</v>
      </c>
      <c r="H302" s="331">
        <v>2495</v>
      </c>
      <c r="I302" s="330">
        <v>2392</v>
      </c>
      <c r="J302" s="330">
        <v>4</v>
      </c>
      <c r="K302" s="332">
        <v>86.81</v>
      </c>
      <c r="L302" s="332">
        <v>83.4</v>
      </c>
      <c r="M302" s="332">
        <v>4.2</v>
      </c>
      <c r="N302" s="332">
        <v>87.94</v>
      </c>
      <c r="O302" s="333">
        <v>1875</v>
      </c>
      <c r="P302" s="330">
        <v>78.56</v>
      </c>
      <c r="Q302" s="330">
        <v>72.84</v>
      </c>
      <c r="R302" s="330">
        <v>18.16</v>
      </c>
      <c r="S302" s="330">
        <v>96.62</v>
      </c>
      <c r="T302" s="330">
        <v>335</v>
      </c>
      <c r="U302" s="330">
        <v>109.72</v>
      </c>
      <c r="V302" s="330">
        <v>71</v>
      </c>
      <c r="W302" s="330">
        <v>0</v>
      </c>
      <c r="X302" s="330">
        <v>0</v>
      </c>
      <c r="Y302" s="330">
        <v>0</v>
      </c>
      <c r="Z302" s="330">
        <v>4</v>
      </c>
      <c r="AA302" s="330">
        <v>0</v>
      </c>
      <c r="AB302" s="330">
        <v>2</v>
      </c>
      <c r="AC302" s="330">
        <v>3</v>
      </c>
      <c r="AD302" s="334">
        <v>1944</v>
      </c>
      <c r="AE302" s="334">
        <v>4</v>
      </c>
      <c r="AF302" s="334">
        <v>8</v>
      </c>
      <c r="AG302" s="334">
        <v>12</v>
      </c>
    </row>
    <row r="303" spans="1:33" x14ac:dyDescent="0.25">
      <c r="A303" s="329" t="s">
        <v>660</v>
      </c>
      <c r="B303" s="335" t="s">
        <v>661</v>
      </c>
      <c r="C303" s="331">
        <v>643</v>
      </c>
      <c r="D303" s="331">
        <v>1</v>
      </c>
      <c r="E303" s="331">
        <v>156</v>
      </c>
      <c r="F303" s="331">
        <v>373</v>
      </c>
      <c r="G303" s="331">
        <v>263</v>
      </c>
      <c r="H303" s="331">
        <v>1436</v>
      </c>
      <c r="I303" s="330">
        <v>1173</v>
      </c>
      <c r="J303" s="330">
        <v>18</v>
      </c>
      <c r="K303" s="332">
        <v>90.81</v>
      </c>
      <c r="L303" s="332">
        <v>90.85</v>
      </c>
      <c r="M303" s="332">
        <v>5.07</v>
      </c>
      <c r="N303" s="332">
        <v>93.9</v>
      </c>
      <c r="O303" s="333">
        <v>500</v>
      </c>
      <c r="P303" s="330">
        <v>97.73</v>
      </c>
      <c r="Q303" s="330">
        <v>93.06</v>
      </c>
      <c r="R303" s="330">
        <v>34.21</v>
      </c>
      <c r="S303" s="330">
        <v>131.74</v>
      </c>
      <c r="T303" s="330">
        <v>499</v>
      </c>
      <c r="U303" s="330">
        <v>104.03</v>
      </c>
      <c r="V303" s="330">
        <v>106</v>
      </c>
      <c r="W303" s="330">
        <v>0</v>
      </c>
      <c r="X303" s="330">
        <v>0</v>
      </c>
      <c r="Y303" s="330">
        <v>0</v>
      </c>
      <c r="Z303" s="330">
        <v>0</v>
      </c>
      <c r="AA303" s="330">
        <v>4</v>
      </c>
      <c r="AB303" s="330">
        <v>6</v>
      </c>
      <c r="AC303" s="330">
        <v>1</v>
      </c>
      <c r="AD303" s="334">
        <v>631</v>
      </c>
      <c r="AE303" s="334">
        <v>10</v>
      </c>
      <c r="AF303" s="334">
        <v>11</v>
      </c>
      <c r="AG303" s="334">
        <v>21</v>
      </c>
    </row>
    <row r="304" spans="1:33" x14ac:dyDescent="0.25">
      <c r="A304" s="329" t="s">
        <v>662</v>
      </c>
      <c r="B304" s="335" t="s">
        <v>663</v>
      </c>
      <c r="C304" s="331">
        <v>4153</v>
      </c>
      <c r="D304" s="331">
        <v>0</v>
      </c>
      <c r="E304" s="331">
        <v>78</v>
      </c>
      <c r="F304" s="331">
        <v>429</v>
      </c>
      <c r="G304" s="331">
        <v>317</v>
      </c>
      <c r="H304" s="331">
        <v>4977</v>
      </c>
      <c r="I304" s="330">
        <v>4660</v>
      </c>
      <c r="J304" s="330">
        <v>0</v>
      </c>
      <c r="K304" s="332">
        <v>79.41</v>
      </c>
      <c r="L304" s="332">
        <v>79.92</v>
      </c>
      <c r="M304" s="332">
        <v>3.38</v>
      </c>
      <c r="N304" s="332">
        <v>80.37</v>
      </c>
      <c r="O304" s="333">
        <v>4081</v>
      </c>
      <c r="P304" s="330">
        <v>72.67</v>
      </c>
      <c r="Q304" s="330">
        <v>71.48</v>
      </c>
      <c r="R304" s="330">
        <v>23.51</v>
      </c>
      <c r="S304" s="330">
        <v>95.84</v>
      </c>
      <c r="T304" s="330">
        <v>484</v>
      </c>
      <c r="U304" s="330">
        <v>94.8</v>
      </c>
      <c r="V304" s="330">
        <v>33</v>
      </c>
      <c r="W304" s="330">
        <v>113.65</v>
      </c>
      <c r="X304" s="330">
        <v>8</v>
      </c>
      <c r="Y304" s="330">
        <v>0</v>
      </c>
      <c r="Z304" s="330">
        <v>10</v>
      </c>
      <c r="AA304" s="330">
        <v>1</v>
      </c>
      <c r="AB304" s="330">
        <v>7</v>
      </c>
      <c r="AC304" s="330">
        <v>8</v>
      </c>
      <c r="AD304" s="334">
        <v>4142</v>
      </c>
      <c r="AE304" s="334">
        <v>39</v>
      </c>
      <c r="AF304" s="334">
        <v>5</v>
      </c>
      <c r="AG304" s="334">
        <v>44</v>
      </c>
    </row>
    <row r="305" spans="1:33" ht="14.5" x14ac:dyDescent="0.35">
      <c r="A305" s="336" t="s">
        <v>800</v>
      </c>
      <c r="B305" s="336" t="s">
        <v>798</v>
      </c>
      <c r="C305" s="330">
        <v>10190</v>
      </c>
      <c r="D305" s="330">
        <v>35</v>
      </c>
      <c r="E305" s="330">
        <v>439</v>
      </c>
      <c r="F305" s="330">
        <v>2436</v>
      </c>
      <c r="G305" s="330">
        <v>1921</v>
      </c>
      <c r="H305" s="330">
        <v>15021</v>
      </c>
      <c r="I305" s="330">
        <v>13100</v>
      </c>
      <c r="J305" s="330">
        <v>43</v>
      </c>
      <c r="K305" s="330">
        <v>97.66</v>
      </c>
      <c r="L305" s="330">
        <v>98.45</v>
      </c>
      <c r="M305" s="330">
        <v>7.12</v>
      </c>
      <c r="N305" s="330">
        <v>100.77</v>
      </c>
      <c r="O305" s="330">
        <v>9229</v>
      </c>
      <c r="P305" s="330">
        <v>91.6</v>
      </c>
      <c r="Q305" s="330">
        <v>91.3</v>
      </c>
      <c r="R305" s="330">
        <v>37.61</v>
      </c>
      <c r="S305" s="330">
        <v>108.99</v>
      </c>
      <c r="T305" s="330">
        <v>2825</v>
      </c>
      <c r="U305" s="330">
        <v>122.44</v>
      </c>
      <c r="V305" s="330">
        <v>555</v>
      </c>
      <c r="W305" s="330">
        <v>0</v>
      </c>
      <c r="X305" s="330">
        <v>0</v>
      </c>
      <c r="Y305" s="330">
        <v>0</v>
      </c>
      <c r="Z305" s="330">
        <v>46</v>
      </c>
      <c r="AA305" s="330">
        <v>21</v>
      </c>
      <c r="AB305" s="330">
        <v>124</v>
      </c>
      <c r="AC305" s="330">
        <v>47</v>
      </c>
      <c r="AD305" s="330">
        <v>9935</v>
      </c>
      <c r="AE305" s="330">
        <v>71</v>
      </c>
      <c r="AF305" s="330">
        <v>29</v>
      </c>
      <c r="AG305" s="330">
        <v>100</v>
      </c>
    </row>
    <row r="306" spans="1:33" x14ac:dyDescent="0.25">
      <c r="A306" s="329" t="s">
        <v>664</v>
      </c>
      <c r="B306" s="335" t="s">
        <v>665</v>
      </c>
      <c r="C306" s="331">
        <v>5182</v>
      </c>
      <c r="D306" s="331">
        <v>2</v>
      </c>
      <c r="E306" s="331">
        <v>124</v>
      </c>
      <c r="F306" s="331">
        <v>290</v>
      </c>
      <c r="G306" s="331">
        <v>505</v>
      </c>
      <c r="H306" s="331">
        <v>6103</v>
      </c>
      <c r="I306" s="330">
        <v>5598</v>
      </c>
      <c r="J306" s="330">
        <v>79</v>
      </c>
      <c r="K306" s="332">
        <v>109.25</v>
      </c>
      <c r="L306" s="332">
        <v>118.62</v>
      </c>
      <c r="M306" s="332">
        <v>4.5599999999999996</v>
      </c>
      <c r="N306" s="332">
        <v>110.69</v>
      </c>
      <c r="O306" s="333">
        <v>4780</v>
      </c>
      <c r="P306" s="330">
        <v>87.07</v>
      </c>
      <c r="Q306" s="330">
        <v>88.41</v>
      </c>
      <c r="R306" s="330">
        <v>30.99</v>
      </c>
      <c r="S306" s="330">
        <v>117.53</v>
      </c>
      <c r="T306" s="330">
        <v>407</v>
      </c>
      <c r="U306" s="330">
        <v>151.31</v>
      </c>
      <c r="V306" s="330">
        <v>250</v>
      </c>
      <c r="W306" s="330">
        <v>0</v>
      </c>
      <c r="X306" s="330">
        <v>0</v>
      </c>
      <c r="Y306" s="330">
        <v>0</v>
      </c>
      <c r="Z306" s="330">
        <v>9</v>
      </c>
      <c r="AA306" s="330">
        <v>1</v>
      </c>
      <c r="AB306" s="330">
        <v>6</v>
      </c>
      <c r="AC306" s="330">
        <v>12</v>
      </c>
      <c r="AD306" s="334">
        <v>5024</v>
      </c>
      <c r="AE306" s="334">
        <v>9</v>
      </c>
      <c r="AF306" s="334">
        <v>9</v>
      </c>
      <c r="AG306" s="334">
        <v>18</v>
      </c>
    </row>
    <row r="307" spans="1:33" x14ac:dyDescent="0.25">
      <c r="A307" s="329" t="s">
        <v>666</v>
      </c>
      <c r="B307" s="335" t="s">
        <v>667</v>
      </c>
      <c r="C307" s="330">
        <v>10325</v>
      </c>
      <c r="D307" s="330">
        <v>6</v>
      </c>
      <c r="E307" s="330">
        <v>398</v>
      </c>
      <c r="F307" s="330">
        <v>1283</v>
      </c>
      <c r="G307" s="330">
        <v>671</v>
      </c>
      <c r="H307" s="330">
        <v>12683</v>
      </c>
      <c r="I307" s="330">
        <v>12012</v>
      </c>
      <c r="J307" s="330">
        <v>4</v>
      </c>
      <c r="K307" s="330">
        <v>91.34</v>
      </c>
      <c r="L307" s="332">
        <v>91.42</v>
      </c>
      <c r="M307" s="332">
        <v>4.7300000000000004</v>
      </c>
      <c r="N307" s="332">
        <v>92.34</v>
      </c>
      <c r="O307" s="333">
        <v>9450</v>
      </c>
      <c r="P307" s="330">
        <v>81.739999999999995</v>
      </c>
      <c r="Q307" s="330">
        <v>81.87</v>
      </c>
      <c r="R307" s="330">
        <v>33.200000000000003</v>
      </c>
      <c r="S307" s="330">
        <v>112.05</v>
      </c>
      <c r="T307" s="330">
        <v>1599</v>
      </c>
      <c r="U307" s="330">
        <v>125.58</v>
      </c>
      <c r="V307" s="330">
        <v>696</v>
      </c>
      <c r="W307" s="330">
        <v>98.56</v>
      </c>
      <c r="X307" s="330">
        <v>10</v>
      </c>
      <c r="Y307" s="330">
        <v>0</v>
      </c>
      <c r="Z307" s="330">
        <v>42</v>
      </c>
      <c r="AA307" s="330">
        <v>20</v>
      </c>
      <c r="AB307" s="330">
        <v>12</v>
      </c>
      <c r="AC307" s="330">
        <v>17</v>
      </c>
      <c r="AD307" s="330">
        <v>10241</v>
      </c>
      <c r="AE307" s="330">
        <v>17</v>
      </c>
      <c r="AF307" s="330">
        <v>66</v>
      </c>
      <c r="AG307" s="330">
        <v>83</v>
      </c>
    </row>
    <row r="308" spans="1:33" x14ac:dyDescent="0.25">
      <c r="A308" s="329" t="s">
        <v>668</v>
      </c>
      <c r="B308" s="335" t="s">
        <v>669</v>
      </c>
      <c r="C308" s="331">
        <v>11940</v>
      </c>
      <c r="D308" s="331">
        <v>584</v>
      </c>
      <c r="E308" s="331">
        <v>1762</v>
      </c>
      <c r="F308" s="331">
        <v>975</v>
      </c>
      <c r="G308" s="331">
        <v>744</v>
      </c>
      <c r="H308" s="331">
        <v>16005</v>
      </c>
      <c r="I308" s="330">
        <v>15261</v>
      </c>
      <c r="J308" s="330">
        <v>125</v>
      </c>
      <c r="K308" s="332">
        <v>127.97</v>
      </c>
      <c r="L308" s="332">
        <v>142.26</v>
      </c>
      <c r="M308" s="332">
        <v>11.32</v>
      </c>
      <c r="N308" s="332">
        <v>136.86000000000001</v>
      </c>
      <c r="O308" s="333">
        <v>9861</v>
      </c>
      <c r="P308" s="330">
        <v>166.83</v>
      </c>
      <c r="Q308" s="330">
        <v>169.05</v>
      </c>
      <c r="R308" s="330">
        <v>47.2</v>
      </c>
      <c r="S308" s="330">
        <v>204.83</v>
      </c>
      <c r="T308" s="330">
        <v>2294</v>
      </c>
      <c r="U308" s="330">
        <v>211.83</v>
      </c>
      <c r="V308" s="330">
        <v>338</v>
      </c>
      <c r="W308" s="330">
        <v>149.68</v>
      </c>
      <c r="X308" s="330">
        <v>1</v>
      </c>
      <c r="Y308" s="330">
        <v>0</v>
      </c>
      <c r="Z308" s="330">
        <v>5</v>
      </c>
      <c r="AA308" s="330">
        <v>33</v>
      </c>
      <c r="AB308" s="330">
        <v>1</v>
      </c>
      <c r="AC308" s="330">
        <v>17</v>
      </c>
      <c r="AD308" s="334">
        <v>10431</v>
      </c>
      <c r="AE308" s="334">
        <v>20</v>
      </c>
      <c r="AF308" s="334">
        <v>129</v>
      </c>
      <c r="AG308" s="334">
        <v>149</v>
      </c>
    </row>
    <row r="309" spans="1:33" x14ac:dyDescent="0.25">
      <c r="A309" s="329" t="s">
        <v>670</v>
      </c>
      <c r="B309" s="335" t="s">
        <v>671</v>
      </c>
      <c r="C309" s="331">
        <v>1950</v>
      </c>
      <c r="D309" s="331">
        <v>1</v>
      </c>
      <c r="E309" s="331">
        <v>624</v>
      </c>
      <c r="F309" s="331">
        <v>987</v>
      </c>
      <c r="G309" s="331">
        <v>272</v>
      </c>
      <c r="H309" s="331">
        <v>3834</v>
      </c>
      <c r="I309" s="330">
        <v>3562</v>
      </c>
      <c r="J309" s="330">
        <v>69</v>
      </c>
      <c r="K309" s="332">
        <v>79.69</v>
      </c>
      <c r="L309" s="332">
        <v>78.3</v>
      </c>
      <c r="M309" s="332">
        <v>8.16</v>
      </c>
      <c r="N309" s="332">
        <v>83.78</v>
      </c>
      <c r="O309" s="333">
        <v>1756</v>
      </c>
      <c r="P309" s="330">
        <v>80.45</v>
      </c>
      <c r="Q309" s="330">
        <v>74.34</v>
      </c>
      <c r="R309" s="330">
        <v>43.4</v>
      </c>
      <c r="S309" s="330">
        <v>121.77</v>
      </c>
      <c r="T309" s="330">
        <v>1417</v>
      </c>
      <c r="U309" s="330">
        <v>98.1</v>
      </c>
      <c r="V309" s="330">
        <v>130</v>
      </c>
      <c r="W309" s="330">
        <v>0</v>
      </c>
      <c r="X309" s="330">
        <v>0</v>
      </c>
      <c r="Y309" s="330">
        <v>0</v>
      </c>
      <c r="Z309" s="330">
        <v>0</v>
      </c>
      <c r="AA309" s="330">
        <v>16</v>
      </c>
      <c r="AB309" s="330">
        <v>0</v>
      </c>
      <c r="AC309" s="330">
        <v>6</v>
      </c>
      <c r="AD309" s="334">
        <v>1890</v>
      </c>
      <c r="AE309" s="334">
        <v>32</v>
      </c>
      <c r="AF309" s="334">
        <v>12</v>
      </c>
      <c r="AG309" s="334">
        <v>44</v>
      </c>
    </row>
    <row r="310" spans="1:33" x14ac:dyDescent="0.25">
      <c r="A310" s="329" t="s">
        <v>672</v>
      </c>
      <c r="B310" s="335" t="s">
        <v>673</v>
      </c>
      <c r="C310" s="331">
        <v>20924</v>
      </c>
      <c r="D310" s="331">
        <v>25</v>
      </c>
      <c r="E310" s="331">
        <v>628</v>
      </c>
      <c r="F310" s="331">
        <v>3154</v>
      </c>
      <c r="G310" s="331">
        <v>1296</v>
      </c>
      <c r="H310" s="331">
        <v>26027</v>
      </c>
      <c r="I310" s="330">
        <v>24731</v>
      </c>
      <c r="J310" s="330">
        <v>14</v>
      </c>
      <c r="K310" s="332">
        <v>99.75</v>
      </c>
      <c r="L310" s="332">
        <v>99.01</v>
      </c>
      <c r="M310" s="332">
        <v>3.69</v>
      </c>
      <c r="N310" s="332">
        <v>101.58</v>
      </c>
      <c r="O310" s="333">
        <v>19083</v>
      </c>
      <c r="P310" s="330">
        <v>89.79</v>
      </c>
      <c r="Q310" s="330">
        <v>89.13</v>
      </c>
      <c r="R310" s="330">
        <v>21.61</v>
      </c>
      <c r="S310" s="330">
        <v>110.38</v>
      </c>
      <c r="T310" s="330">
        <v>3447</v>
      </c>
      <c r="U310" s="330">
        <v>121.62</v>
      </c>
      <c r="V310" s="330">
        <v>1233</v>
      </c>
      <c r="W310" s="330">
        <v>123.61</v>
      </c>
      <c r="X310" s="330">
        <v>30</v>
      </c>
      <c r="Y310" s="330">
        <v>145</v>
      </c>
      <c r="Z310" s="330">
        <v>35</v>
      </c>
      <c r="AA310" s="330">
        <v>71</v>
      </c>
      <c r="AB310" s="330">
        <v>52</v>
      </c>
      <c r="AC310" s="330">
        <v>24</v>
      </c>
      <c r="AD310" s="334">
        <v>20392</v>
      </c>
      <c r="AE310" s="334">
        <v>204</v>
      </c>
      <c r="AF310" s="334">
        <v>53</v>
      </c>
      <c r="AG310" s="334">
        <v>257</v>
      </c>
    </row>
    <row r="311" spans="1:33" x14ac:dyDescent="0.25">
      <c r="A311" s="329" t="s">
        <v>674</v>
      </c>
      <c r="B311" s="335" t="s">
        <v>675</v>
      </c>
      <c r="C311" s="331">
        <v>2033</v>
      </c>
      <c r="D311" s="331">
        <v>0</v>
      </c>
      <c r="E311" s="331">
        <v>266</v>
      </c>
      <c r="F311" s="331">
        <v>225</v>
      </c>
      <c r="G311" s="331">
        <v>315</v>
      </c>
      <c r="H311" s="331">
        <v>2839</v>
      </c>
      <c r="I311" s="330">
        <v>2524</v>
      </c>
      <c r="J311" s="330">
        <v>8</v>
      </c>
      <c r="K311" s="332">
        <v>113.39</v>
      </c>
      <c r="L311" s="332">
        <v>112.94</v>
      </c>
      <c r="M311" s="332">
        <v>6.32</v>
      </c>
      <c r="N311" s="332">
        <v>119.2</v>
      </c>
      <c r="O311" s="333">
        <v>1677</v>
      </c>
      <c r="P311" s="330">
        <v>91.74</v>
      </c>
      <c r="Q311" s="330">
        <v>92.6</v>
      </c>
      <c r="R311" s="330">
        <v>40.71</v>
      </c>
      <c r="S311" s="330">
        <v>128.35</v>
      </c>
      <c r="T311" s="330">
        <v>456</v>
      </c>
      <c r="U311" s="330">
        <v>162.80000000000001</v>
      </c>
      <c r="V311" s="330">
        <v>149</v>
      </c>
      <c r="W311" s="330">
        <v>0</v>
      </c>
      <c r="X311" s="330">
        <v>0</v>
      </c>
      <c r="Y311" s="330">
        <v>13</v>
      </c>
      <c r="Z311" s="330">
        <v>2</v>
      </c>
      <c r="AA311" s="330">
        <v>3</v>
      </c>
      <c r="AB311" s="330">
        <v>16</v>
      </c>
      <c r="AC311" s="330">
        <v>14</v>
      </c>
      <c r="AD311" s="334">
        <v>1863</v>
      </c>
      <c r="AE311" s="334">
        <v>9</v>
      </c>
      <c r="AF311" s="334">
        <v>8</v>
      </c>
      <c r="AG311" s="334">
        <v>17</v>
      </c>
    </row>
    <row r="312" spans="1:33" x14ac:dyDescent="0.25">
      <c r="A312" s="329" t="s">
        <v>676</v>
      </c>
      <c r="B312" s="335" t="s">
        <v>677</v>
      </c>
      <c r="C312" s="331">
        <v>6714</v>
      </c>
      <c r="D312" s="331">
        <v>16</v>
      </c>
      <c r="E312" s="331">
        <v>209</v>
      </c>
      <c r="F312" s="331">
        <v>915</v>
      </c>
      <c r="G312" s="331">
        <v>233</v>
      </c>
      <c r="H312" s="331">
        <v>8087</v>
      </c>
      <c r="I312" s="330">
        <v>7854</v>
      </c>
      <c r="J312" s="330">
        <v>1</v>
      </c>
      <c r="K312" s="332">
        <v>121.38</v>
      </c>
      <c r="L312" s="332">
        <v>124.09</v>
      </c>
      <c r="M312" s="332">
        <v>2.83</v>
      </c>
      <c r="N312" s="332">
        <v>124.01</v>
      </c>
      <c r="O312" s="333">
        <v>6456</v>
      </c>
      <c r="P312" s="330">
        <v>104.63</v>
      </c>
      <c r="Q312" s="330">
        <v>102.23</v>
      </c>
      <c r="R312" s="330">
        <v>20.12</v>
      </c>
      <c r="S312" s="330">
        <v>124.54</v>
      </c>
      <c r="T312" s="330">
        <v>1080</v>
      </c>
      <c r="U312" s="330">
        <v>177.46</v>
      </c>
      <c r="V312" s="330">
        <v>208</v>
      </c>
      <c r="W312" s="330">
        <v>151.5</v>
      </c>
      <c r="X312" s="330">
        <v>1</v>
      </c>
      <c r="Y312" s="330">
        <v>78</v>
      </c>
      <c r="Z312" s="330">
        <v>8</v>
      </c>
      <c r="AA312" s="330">
        <v>1</v>
      </c>
      <c r="AB312" s="330">
        <v>10</v>
      </c>
      <c r="AC312" s="330">
        <v>13</v>
      </c>
      <c r="AD312" s="334">
        <v>6713</v>
      </c>
      <c r="AE312" s="334">
        <v>20</v>
      </c>
      <c r="AF312" s="334">
        <v>23</v>
      </c>
      <c r="AG312" s="334">
        <v>43</v>
      </c>
    </row>
    <row r="313" spans="1:33" x14ac:dyDescent="0.25">
      <c r="A313" s="329" t="s">
        <v>678</v>
      </c>
      <c r="B313" s="335" t="s">
        <v>679</v>
      </c>
      <c r="C313" s="331">
        <v>17802</v>
      </c>
      <c r="D313" s="331">
        <v>26</v>
      </c>
      <c r="E313" s="331">
        <v>1083</v>
      </c>
      <c r="F313" s="331">
        <v>3760</v>
      </c>
      <c r="G313" s="331">
        <v>478</v>
      </c>
      <c r="H313" s="331">
        <v>23149</v>
      </c>
      <c r="I313" s="330">
        <v>22671</v>
      </c>
      <c r="J313" s="330">
        <v>87</v>
      </c>
      <c r="K313" s="332">
        <v>86.45</v>
      </c>
      <c r="L313" s="332">
        <v>84.6</v>
      </c>
      <c r="M313" s="332">
        <v>5.53</v>
      </c>
      <c r="N313" s="332">
        <v>88.26</v>
      </c>
      <c r="O313" s="333">
        <v>13958</v>
      </c>
      <c r="P313" s="330">
        <v>81.39</v>
      </c>
      <c r="Q313" s="330">
        <v>79.569999999999993</v>
      </c>
      <c r="R313" s="330">
        <v>26.47</v>
      </c>
      <c r="S313" s="330">
        <v>105.88</v>
      </c>
      <c r="T313" s="330">
        <v>3542</v>
      </c>
      <c r="U313" s="330">
        <v>109.16</v>
      </c>
      <c r="V313" s="330">
        <v>1331</v>
      </c>
      <c r="W313" s="330">
        <v>137.08000000000001</v>
      </c>
      <c r="X313" s="330">
        <v>89</v>
      </c>
      <c r="Y313" s="330">
        <v>0</v>
      </c>
      <c r="Z313" s="330">
        <v>52</v>
      </c>
      <c r="AA313" s="330">
        <v>12</v>
      </c>
      <c r="AB313" s="330">
        <v>18</v>
      </c>
      <c r="AC313" s="330">
        <v>5</v>
      </c>
      <c r="AD313" s="334">
        <v>15207</v>
      </c>
      <c r="AE313" s="334">
        <v>150</v>
      </c>
      <c r="AF313" s="334">
        <v>262</v>
      </c>
      <c r="AG313" s="334">
        <v>412</v>
      </c>
    </row>
    <row r="314" spans="1:33" x14ac:dyDescent="0.25">
      <c r="A314" s="329" t="s">
        <v>680</v>
      </c>
      <c r="B314" s="335" t="s">
        <v>681</v>
      </c>
      <c r="C314" s="331">
        <v>853</v>
      </c>
      <c r="D314" s="331">
        <v>4</v>
      </c>
      <c r="E314" s="331">
        <v>157</v>
      </c>
      <c r="F314" s="331">
        <v>337</v>
      </c>
      <c r="G314" s="331">
        <v>247</v>
      </c>
      <c r="H314" s="331">
        <v>1598</v>
      </c>
      <c r="I314" s="330">
        <v>1351</v>
      </c>
      <c r="J314" s="330">
        <v>5</v>
      </c>
      <c r="K314" s="332">
        <v>125.12</v>
      </c>
      <c r="L314" s="332">
        <v>122.72</v>
      </c>
      <c r="M314" s="332">
        <v>8.25</v>
      </c>
      <c r="N314" s="332">
        <v>131.83000000000001</v>
      </c>
      <c r="O314" s="333">
        <v>698</v>
      </c>
      <c r="P314" s="330">
        <v>99.45</v>
      </c>
      <c r="Q314" s="330">
        <v>96.24</v>
      </c>
      <c r="R314" s="330">
        <v>36.049999999999997</v>
      </c>
      <c r="S314" s="330">
        <v>134.44999999999999</v>
      </c>
      <c r="T314" s="330">
        <v>273</v>
      </c>
      <c r="U314" s="330">
        <v>166.24</v>
      </c>
      <c r="V314" s="330">
        <v>18</v>
      </c>
      <c r="W314" s="330">
        <v>130.9</v>
      </c>
      <c r="X314" s="330">
        <v>5</v>
      </c>
      <c r="Y314" s="330">
        <v>0</v>
      </c>
      <c r="Z314" s="330">
        <v>0</v>
      </c>
      <c r="AA314" s="330">
        <v>4</v>
      </c>
      <c r="AB314" s="330">
        <v>11</v>
      </c>
      <c r="AC314" s="330">
        <v>17</v>
      </c>
      <c r="AD314" s="334">
        <v>740</v>
      </c>
      <c r="AE314" s="334">
        <v>3</v>
      </c>
      <c r="AF314" s="334">
        <v>1</v>
      </c>
      <c r="AG314" s="334">
        <v>4</v>
      </c>
    </row>
    <row r="315" spans="1:33" x14ac:dyDescent="0.25">
      <c r="A315" s="329" t="s">
        <v>682</v>
      </c>
      <c r="B315" s="335" t="s">
        <v>683</v>
      </c>
      <c r="C315" s="331">
        <v>1260</v>
      </c>
      <c r="D315" s="331">
        <v>3</v>
      </c>
      <c r="E315" s="331">
        <v>98</v>
      </c>
      <c r="F315" s="331">
        <v>203</v>
      </c>
      <c r="G315" s="331">
        <v>556</v>
      </c>
      <c r="H315" s="331">
        <v>2120</v>
      </c>
      <c r="I315" s="330">
        <v>1564</v>
      </c>
      <c r="J315" s="330">
        <v>1</v>
      </c>
      <c r="K315" s="332">
        <v>127.05</v>
      </c>
      <c r="L315" s="332">
        <v>125.06</v>
      </c>
      <c r="M315" s="332">
        <v>6.09</v>
      </c>
      <c r="N315" s="332">
        <v>132.19999999999999</v>
      </c>
      <c r="O315" s="333">
        <v>1133</v>
      </c>
      <c r="P315" s="330">
        <v>106.53</v>
      </c>
      <c r="Q315" s="330">
        <v>109.41</v>
      </c>
      <c r="R315" s="330">
        <v>36.24</v>
      </c>
      <c r="S315" s="330">
        <v>142.63999999999999</v>
      </c>
      <c r="T315" s="330">
        <v>278</v>
      </c>
      <c r="U315" s="330">
        <v>157.66</v>
      </c>
      <c r="V315" s="330">
        <v>53</v>
      </c>
      <c r="W315" s="330">
        <v>0</v>
      </c>
      <c r="X315" s="330">
        <v>0</v>
      </c>
      <c r="Y315" s="330">
        <v>0</v>
      </c>
      <c r="Z315" s="330">
        <v>1</v>
      </c>
      <c r="AA315" s="330">
        <v>1</v>
      </c>
      <c r="AB315" s="330">
        <v>20</v>
      </c>
      <c r="AC315" s="330">
        <v>22</v>
      </c>
      <c r="AD315" s="334">
        <v>1196</v>
      </c>
      <c r="AE315" s="334">
        <v>5</v>
      </c>
      <c r="AF315" s="334">
        <v>0</v>
      </c>
      <c r="AG315" s="334">
        <v>5</v>
      </c>
    </row>
    <row r="316" spans="1:33" x14ac:dyDescent="0.25">
      <c r="A316" s="329" t="s">
        <v>684</v>
      </c>
      <c r="B316" s="335" t="s">
        <v>685</v>
      </c>
      <c r="C316" s="331">
        <v>4098</v>
      </c>
      <c r="D316" s="331">
        <v>0</v>
      </c>
      <c r="E316" s="331">
        <v>440</v>
      </c>
      <c r="F316" s="331">
        <v>1510</v>
      </c>
      <c r="G316" s="331">
        <v>305</v>
      </c>
      <c r="H316" s="331">
        <v>6353</v>
      </c>
      <c r="I316" s="330">
        <v>6048</v>
      </c>
      <c r="J316" s="330">
        <v>35</v>
      </c>
      <c r="K316" s="332">
        <v>88.09</v>
      </c>
      <c r="L316" s="332">
        <v>87.31</v>
      </c>
      <c r="M316" s="332">
        <v>6.71</v>
      </c>
      <c r="N316" s="332">
        <v>93.96</v>
      </c>
      <c r="O316" s="333">
        <v>3627</v>
      </c>
      <c r="P316" s="330">
        <v>91.68</v>
      </c>
      <c r="Q316" s="330">
        <v>89.52</v>
      </c>
      <c r="R316" s="330">
        <v>43.75</v>
      </c>
      <c r="S316" s="330">
        <v>133.66999999999999</v>
      </c>
      <c r="T316" s="330">
        <v>1793</v>
      </c>
      <c r="U316" s="330">
        <v>108.61</v>
      </c>
      <c r="V316" s="330">
        <v>142</v>
      </c>
      <c r="W316" s="330">
        <v>0</v>
      </c>
      <c r="X316" s="330">
        <v>0</v>
      </c>
      <c r="Y316" s="330">
        <v>1</v>
      </c>
      <c r="Z316" s="330">
        <v>0</v>
      </c>
      <c r="AA316" s="330">
        <v>3</v>
      </c>
      <c r="AB316" s="330">
        <v>0</v>
      </c>
      <c r="AC316" s="330">
        <v>10</v>
      </c>
      <c r="AD316" s="334">
        <v>3873</v>
      </c>
      <c r="AE316" s="334">
        <v>25</v>
      </c>
      <c r="AF316" s="334">
        <v>19</v>
      </c>
      <c r="AG316" s="334">
        <v>44</v>
      </c>
    </row>
    <row r="317" spans="1:33" x14ac:dyDescent="0.25">
      <c r="A317" s="329" t="s">
        <v>686</v>
      </c>
      <c r="B317" s="335" t="s">
        <v>687</v>
      </c>
      <c r="C317" s="331">
        <v>5816</v>
      </c>
      <c r="D317" s="331">
        <v>54</v>
      </c>
      <c r="E317" s="331">
        <v>375</v>
      </c>
      <c r="F317" s="331">
        <v>950</v>
      </c>
      <c r="G317" s="331">
        <v>487</v>
      </c>
      <c r="H317" s="331">
        <v>7682</v>
      </c>
      <c r="I317" s="330">
        <v>7195</v>
      </c>
      <c r="J317" s="330">
        <v>0</v>
      </c>
      <c r="K317" s="332">
        <v>86.82</v>
      </c>
      <c r="L317" s="332">
        <v>88.54</v>
      </c>
      <c r="M317" s="332">
        <v>5.34</v>
      </c>
      <c r="N317" s="332">
        <v>91.73</v>
      </c>
      <c r="O317" s="333">
        <v>5197</v>
      </c>
      <c r="P317" s="330">
        <v>76.599999999999994</v>
      </c>
      <c r="Q317" s="330">
        <v>77.650000000000006</v>
      </c>
      <c r="R317" s="330">
        <v>30.58</v>
      </c>
      <c r="S317" s="330">
        <v>106.4</v>
      </c>
      <c r="T317" s="330">
        <v>1168</v>
      </c>
      <c r="U317" s="330">
        <v>102.1</v>
      </c>
      <c r="V317" s="330">
        <v>520</v>
      </c>
      <c r="W317" s="330">
        <v>169.06</v>
      </c>
      <c r="X317" s="330">
        <v>51</v>
      </c>
      <c r="Y317" s="330">
        <v>1</v>
      </c>
      <c r="Z317" s="330">
        <v>17</v>
      </c>
      <c r="AA317" s="330">
        <v>0</v>
      </c>
      <c r="AB317" s="330">
        <v>19</v>
      </c>
      <c r="AC317" s="330">
        <v>8</v>
      </c>
      <c r="AD317" s="334">
        <v>5772</v>
      </c>
      <c r="AE317" s="334">
        <v>119</v>
      </c>
      <c r="AF317" s="334">
        <v>1</v>
      </c>
      <c r="AG317" s="334">
        <v>120</v>
      </c>
    </row>
    <row r="318" spans="1:33" x14ac:dyDescent="0.25">
      <c r="A318" s="329" t="s">
        <v>688</v>
      </c>
      <c r="B318" s="335" t="s">
        <v>689</v>
      </c>
      <c r="C318" s="331">
        <v>3919</v>
      </c>
      <c r="D318" s="331">
        <v>37</v>
      </c>
      <c r="E318" s="331">
        <v>264</v>
      </c>
      <c r="F318" s="331">
        <v>559</v>
      </c>
      <c r="G318" s="331">
        <v>152</v>
      </c>
      <c r="H318" s="331">
        <v>4931</v>
      </c>
      <c r="I318" s="330">
        <v>4779</v>
      </c>
      <c r="J318" s="330">
        <v>10</v>
      </c>
      <c r="K318" s="332">
        <v>101.37</v>
      </c>
      <c r="L318" s="332">
        <v>100.47</v>
      </c>
      <c r="M318" s="332">
        <v>5.84</v>
      </c>
      <c r="N318" s="332">
        <v>104.92</v>
      </c>
      <c r="O318" s="333">
        <v>3693</v>
      </c>
      <c r="P318" s="330">
        <v>87.03</v>
      </c>
      <c r="Q318" s="330">
        <v>84.45</v>
      </c>
      <c r="R318" s="330">
        <v>31.13</v>
      </c>
      <c r="S318" s="330">
        <v>116.13</v>
      </c>
      <c r="T318" s="330">
        <v>644</v>
      </c>
      <c r="U318" s="330">
        <v>136.71</v>
      </c>
      <c r="V318" s="330">
        <v>98</v>
      </c>
      <c r="W318" s="330">
        <v>0</v>
      </c>
      <c r="X318" s="330">
        <v>0</v>
      </c>
      <c r="Y318" s="330">
        <v>29</v>
      </c>
      <c r="Z318" s="330">
        <v>7</v>
      </c>
      <c r="AA318" s="330">
        <v>5</v>
      </c>
      <c r="AB318" s="330">
        <v>1</v>
      </c>
      <c r="AC318" s="330">
        <v>0</v>
      </c>
      <c r="AD318" s="334">
        <v>3888</v>
      </c>
      <c r="AE318" s="334">
        <v>9</v>
      </c>
      <c r="AF318" s="334">
        <v>15</v>
      </c>
      <c r="AG318" s="334">
        <v>24</v>
      </c>
    </row>
    <row r="319" spans="1:33" x14ac:dyDescent="0.25">
      <c r="A319" s="329" t="s">
        <v>690</v>
      </c>
      <c r="B319" s="335" t="s">
        <v>691</v>
      </c>
      <c r="C319" s="331">
        <v>6917</v>
      </c>
      <c r="D319" s="331">
        <v>7</v>
      </c>
      <c r="E319" s="331">
        <v>55</v>
      </c>
      <c r="F319" s="331">
        <v>954</v>
      </c>
      <c r="G319" s="331">
        <v>300</v>
      </c>
      <c r="H319" s="331">
        <v>8233</v>
      </c>
      <c r="I319" s="330">
        <v>7933</v>
      </c>
      <c r="J319" s="330">
        <v>0</v>
      </c>
      <c r="K319" s="332">
        <v>94.14</v>
      </c>
      <c r="L319" s="332">
        <v>94.56</v>
      </c>
      <c r="M319" s="332">
        <v>4.0199999999999996</v>
      </c>
      <c r="N319" s="332">
        <v>96.21</v>
      </c>
      <c r="O319" s="333">
        <v>6205</v>
      </c>
      <c r="P319" s="330">
        <v>82.76</v>
      </c>
      <c r="Q319" s="330">
        <v>83.62</v>
      </c>
      <c r="R319" s="330">
        <v>28.71</v>
      </c>
      <c r="S319" s="330">
        <v>110.96</v>
      </c>
      <c r="T319" s="330">
        <v>893</v>
      </c>
      <c r="U319" s="330">
        <v>113.03</v>
      </c>
      <c r="V319" s="330">
        <v>700</v>
      </c>
      <c r="W319" s="330">
        <v>197.11</v>
      </c>
      <c r="X319" s="330">
        <v>28</v>
      </c>
      <c r="Y319" s="330">
        <v>0</v>
      </c>
      <c r="Z319" s="330">
        <v>18</v>
      </c>
      <c r="AA319" s="330">
        <v>12</v>
      </c>
      <c r="AB319" s="330">
        <v>45</v>
      </c>
      <c r="AC319" s="330">
        <v>1</v>
      </c>
      <c r="AD319" s="334">
        <v>6917</v>
      </c>
      <c r="AE319" s="334">
        <v>29</v>
      </c>
      <c r="AF319" s="334">
        <v>5</v>
      </c>
      <c r="AG319" s="334">
        <v>34</v>
      </c>
    </row>
    <row r="320" spans="1:33" x14ac:dyDescent="0.25">
      <c r="A320" s="329" t="s">
        <v>692</v>
      </c>
      <c r="B320" s="335" t="s">
        <v>693</v>
      </c>
      <c r="C320" s="341">
        <v>3073</v>
      </c>
      <c r="D320" s="331">
        <v>0</v>
      </c>
      <c r="E320" s="331">
        <v>228</v>
      </c>
      <c r="F320" s="331">
        <v>483</v>
      </c>
      <c r="G320" s="331">
        <v>181</v>
      </c>
      <c r="H320" s="331">
        <v>3965</v>
      </c>
      <c r="I320" s="330">
        <v>3784</v>
      </c>
      <c r="J320" s="330">
        <v>3</v>
      </c>
      <c r="K320" s="332">
        <v>85.88</v>
      </c>
      <c r="L320" s="332">
        <v>85.83</v>
      </c>
      <c r="M320" s="332">
        <v>2.5499999999999998</v>
      </c>
      <c r="N320" s="332">
        <v>88.32</v>
      </c>
      <c r="O320" s="333">
        <v>2883</v>
      </c>
      <c r="P320" s="330">
        <v>88.52</v>
      </c>
      <c r="Q320" s="330">
        <v>80.5</v>
      </c>
      <c r="R320" s="330">
        <v>29.64</v>
      </c>
      <c r="S320" s="330">
        <v>116.9</v>
      </c>
      <c r="T320" s="330">
        <v>657</v>
      </c>
      <c r="U320" s="330">
        <v>107.3</v>
      </c>
      <c r="V320" s="330">
        <v>144</v>
      </c>
      <c r="W320" s="330">
        <v>0</v>
      </c>
      <c r="X320" s="330">
        <v>0</v>
      </c>
      <c r="Y320" s="330">
        <v>0</v>
      </c>
      <c r="Z320" s="330">
        <v>3</v>
      </c>
      <c r="AA320" s="330">
        <v>1</v>
      </c>
      <c r="AB320" s="330">
        <v>11</v>
      </c>
      <c r="AC320" s="330">
        <v>4</v>
      </c>
      <c r="AD320" s="334">
        <v>3039</v>
      </c>
      <c r="AE320" s="334">
        <v>30</v>
      </c>
      <c r="AF320" s="334">
        <v>14</v>
      </c>
      <c r="AG320" s="334">
        <v>44</v>
      </c>
    </row>
    <row r="321" spans="1:33" x14ac:dyDescent="0.25">
      <c r="A321" s="329" t="s">
        <v>694</v>
      </c>
      <c r="B321" s="335" t="s">
        <v>695</v>
      </c>
      <c r="C321" s="341">
        <v>4313</v>
      </c>
      <c r="D321" s="331">
        <v>0</v>
      </c>
      <c r="E321" s="331">
        <v>90</v>
      </c>
      <c r="F321" s="331">
        <v>2174</v>
      </c>
      <c r="G321" s="331">
        <v>361</v>
      </c>
      <c r="H321" s="331">
        <v>6938</v>
      </c>
      <c r="I321" s="330">
        <v>6577</v>
      </c>
      <c r="J321" s="330">
        <v>0</v>
      </c>
      <c r="K321" s="332">
        <v>88.75</v>
      </c>
      <c r="L321" s="332">
        <v>86.13</v>
      </c>
      <c r="M321" s="332">
        <v>4.4800000000000004</v>
      </c>
      <c r="N321" s="332">
        <v>93.03</v>
      </c>
      <c r="O321" s="333">
        <v>4076</v>
      </c>
      <c r="P321" s="330">
        <v>81.88</v>
      </c>
      <c r="Q321" s="330">
        <v>76.88</v>
      </c>
      <c r="R321" s="330">
        <v>14.12</v>
      </c>
      <c r="S321" s="330">
        <v>95.7</v>
      </c>
      <c r="T321" s="330">
        <v>2252</v>
      </c>
      <c r="U321" s="330">
        <v>97.65</v>
      </c>
      <c r="V321" s="330">
        <v>207</v>
      </c>
      <c r="W321" s="330">
        <v>107.86</v>
      </c>
      <c r="X321" s="330">
        <v>2</v>
      </c>
      <c r="Y321" s="330">
        <v>0</v>
      </c>
      <c r="Z321" s="330">
        <v>21</v>
      </c>
      <c r="AA321" s="330">
        <v>10</v>
      </c>
      <c r="AB321" s="330">
        <v>45</v>
      </c>
      <c r="AC321" s="330">
        <v>23</v>
      </c>
      <c r="AD321" s="334">
        <v>4313</v>
      </c>
      <c r="AE321" s="334">
        <v>30</v>
      </c>
      <c r="AF321" s="334">
        <v>31</v>
      </c>
      <c r="AG321" s="334">
        <v>61</v>
      </c>
    </row>
    <row r="322" spans="1:33" x14ac:dyDescent="0.25">
      <c r="A322" s="329" t="s">
        <v>696</v>
      </c>
      <c r="B322" s="335" t="s">
        <v>697</v>
      </c>
      <c r="C322" s="341">
        <v>3502</v>
      </c>
      <c r="D322" s="331">
        <v>10</v>
      </c>
      <c r="E322" s="331">
        <v>329</v>
      </c>
      <c r="F322" s="331">
        <v>1005</v>
      </c>
      <c r="G322" s="331">
        <v>448</v>
      </c>
      <c r="H322" s="331">
        <v>5294</v>
      </c>
      <c r="I322" s="330">
        <v>4846</v>
      </c>
      <c r="J322" s="330">
        <v>84</v>
      </c>
      <c r="K322" s="332">
        <v>93.28</v>
      </c>
      <c r="L322" s="332">
        <v>92.37</v>
      </c>
      <c r="M322" s="332">
        <v>6.3</v>
      </c>
      <c r="N322" s="332">
        <v>96.15</v>
      </c>
      <c r="O322" s="333">
        <v>2810</v>
      </c>
      <c r="P322" s="330">
        <v>82.13</v>
      </c>
      <c r="Q322" s="330">
        <v>75.84</v>
      </c>
      <c r="R322" s="330">
        <v>18.47</v>
      </c>
      <c r="S322" s="330">
        <v>97.97</v>
      </c>
      <c r="T322" s="330">
        <v>828</v>
      </c>
      <c r="U322" s="330">
        <v>109.7</v>
      </c>
      <c r="V322" s="330">
        <v>255</v>
      </c>
      <c r="W322" s="330">
        <v>96.66</v>
      </c>
      <c r="X322" s="330">
        <v>57</v>
      </c>
      <c r="Y322" s="330">
        <v>0</v>
      </c>
      <c r="Z322" s="330">
        <v>1</v>
      </c>
      <c r="AA322" s="330">
        <v>12</v>
      </c>
      <c r="AB322" s="330">
        <v>10</v>
      </c>
      <c r="AC322" s="330">
        <v>7</v>
      </c>
      <c r="AD322" s="334">
        <v>3176</v>
      </c>
      <c r="AE322" s="334">
        <v>18</v>
      </c>
      <c r="AF322" s="334">
        <v>4</v>
      </c>
      <c r="AG322" s="334">
        <v>22</v>
      </c>
    </row>
  </sheetData>
  <pageMargins left="0.7" right="0.7" top="0.75" bottom="0.75" header="0.3" footer="0.3"/>
  <pageSetup paperSize="9" orientation="portrait" r:id="rId1"/>
  <headerFooter>
    <oddFooter>&amp;C&amp;1#&amp;"Calibri"&amp;12&amp;K0078D7OFFICIAL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29CB3-1257-45BB-A432-856B9B8DE94A}">
  <sheetPr codeName="Sheet3">
    <tabColor rgb="FFFFFF00"/>
  </sheetPr>
  <dimension ref="A1:AG322"/>
  <sheetViews>
    <sheetView zoomScale="80" zoomScaleNormal="80" workbookViewId="0">
      <selection sqref="A1:XFD1048576"/>
    </sheetView>
  </sheetViews>
  <sheetFormatPr defaultColWidth="9.1796875" defaultRowHeight="12.5" x14ac:dyDescent="0.25"/>
  <cols>
    <col min="1" max="8" width="9.1796875" style="145"/>
    <col min="9" max="10" width="10.453125" style="145" customWidth="1"/>
    <col min="11" max="11" width="10.453125" style="145" bestFit="1" customWidth="1"/>
    <col min="12" max="16384" width="9.1796875" style="145"/>
  </cols>
  <sheetData>
    <row r="1" spans="1:33" s="144" customFormat="1" ht="13" x14ac:dyDescent="0.3">
      <c r="A1" s="134"/>
      <c r="B1" s="134"/>
      <c r="C1" s="135" t="s">
        <v>38</v>
      </c>
      <c r="D1" s="135" t="s">
        <v>38</v>
      </c>
      <c r="E1" s="135" t="s">
        <v>38</v>
      </c>
      <c r="F1" s="135" t="s">
        <v>38</v>
      </c>
      <c r="G1" s="135" t="s">
        <v>38</v>
      </c>
      <c r="H1" s="135" t="s">
        <v>38</v>
      </c>
      <c r="I1" s="136" t="s">
        <v>39</v>
      </c>
      <c r="J1" s="136" t="s">
        <v>39</v>
      </c>
      <c r="K1" s="137" t="s">
        <v>40</v>
      </c>
      <c r="L1" s="137" t="s">
        <v>40</v>
      </c>
      <c r="M1" s="137" t="s">
        <v>40</v>
      </c>
      <c r="N1" s="138" t="s">
        <v>40</v>
      </c>
      <c r="O1" s="137" t="s">
        <v>40</v>
      </c>
      <c r="P1" s="139" t="s">
        <v>41</v>
      </c>
      <c r="Q1" s="139" t="s">
        <v>41</v>
      </c>
      <c r="R1" s="139" t="s">
        <v>41</v>
      </c>
      <c r="S1" s="139" t="s">
        <v>41</v>
      </c>
      <c r="T1" s="139" t="s">
        <v>41</v>
      </c>
      <c r="U1" s="140" t="s">
        <v>42</v>
      </c>
      <c r="V1" s="140" t="s">
        <v>42</v>
      </c>
      <c r="W1" s="141" t="s">
        <v>43</v>
      </c>
      <c r="X1" s="141" t="s">
        <v>43</v>
      </c>
      <c r="Y1" s="142" t="s">
        <v>44</v>
      </c>
      <c r="Z1" s="142" t="s">
        <v>44</v>
      </c>
      <c r="AA1" s="142" t="s">
        <v>44</v>
      </c>
      <c r="AB1" s="142" t="s">
        <v>44</v>
      </c>
      <c r="AC1" s="142" t="s">
        <v>44</v>
      </c>
      <c r="AD1" s="143" t="s">
        <v>45</v>
      </c>
      <c r="AE1" s="143" t="s">
        <v>45</v>
      </c>
      <c r="AF1" s="143" t="s">
        <v>45</v>
      </c>
      <c r="AG1" s="143" t="s">
        <v>45</v>
      </c>
    </row>
    <row r="2" spans="1:33" x14ac:dyDescent="0.25">
      <c r="B2" s="146">
        <v>1</v>
      </c>
      <c r="C2" s="146">
        <v>2</v>
      </c>
      <c r="D2" s="146">
        <v>3</v>
      </c>
      <c r="E2" s="146">
        <v>4</v>
      </c>
      <c r="F2" s="146">
        <v>5</v>
      </c>
      <c r="G2" s="146">
        <v>6</v>
      </c>
      <c r="H2" s="146">
        <v>7</v>
      </c>
      <c r="I2" s="146">
        <v>8</v>
      </c>
      <c r="J2" s="146">
        <v>9</v>
      </c>
      <c r="K2" s="146">
        <v>10</v>
      </c>
      <c r="L2" s="146">
        <v>11</v>
      </c>
      <c r="M2" s="146">
        <v>12</v>
      </c>
      <c r="N2" s="146">
        <v>13</v>
      </c>
      <c r="O2" s="146">
        <v>14</v>
      </c>
      <c r="P2" s="146">
        <v>15</v>
      </c>
      <c r="Q2" s="146">
        <v>16</v>
      </c>
      <c r="R2" s="146">
        <v>17</v>
      </c>
      <c r="S2" s="146">
        <v>18</v>
      </c>
      <c r="T2" s="146">
        <v>19</v>
      </c>
      <c r="U2" s="146">
        <v>20</v>
      </c>
      <c r="V2" s="146">
        <v>21</v>
      </c>
      <c r="W2" s="146">
        <v>22</v>
      </c>
      <c r="X2" s="146">
        <v>23</v>
      </c>
      <c r="Y2" s="146">
        <v>24</v>
      </c>
      <c r="Z2" s="146">
        <v>25</v>
      </c>
      <c r="AA2" s="146">
        <v>26</v>
      </c>
      <c r="AB2" s="146">
        <v>27</v>
      </c>
      <c r="AC2" s="146">
        <v>28</v>
      </c>
      <c r="AD2" s="146">
        <v>29</v>
      </c>
      <c r="AE2" s="146">
        <v>30</v>
      </c>
      <c r="AF2" s="146">
        <v>31</v>
      </c>
      <c r="AG2" s="146">
        <v>32</v>
      </c>
    </row>
    <row r="3" spans="1:33" ht="87.5" x14ac:dyDescent="0.25">
      <c r="A3" s="145" t="s">
        <v>46</v>
      </c>
      <c r="B3" s="145" t="s">
        <v>47</v>
      </c>
      <c r="C3" s="147" t="s">
        <v>48</v>
      </c>
      <c r="D3" s="147" t="s">
        <v>49</v>
      </c>
      <c r="E3" s="147" t="s">
        <v>50</v>
      </c>
      <c r="F3" s="147" t="s">
        <v>51</v>
      </c>
      <c r="G3" s="147" t="s">
        <v>52</v>
      </c>
      <c r="H3" s="147" t="s">
        <v>53</v>
      </c>
      <c r="I3" s="148" t="s">
        <v>54</v>
      </c>
      <c r="J3" s="148" t="s">
        <v>55</v>
      </c>
      <c r="K3" s="149" t="s">
        <v>56</v>
      </c>
      <c r="L3" s="149" t="s">
        <v>57</v>
      </c>
      <c r="M3" s="149" t="s">
        <v>58</v>
      </c>
      <c r="N3" s="150" t="s">
        <v>59</v>
      </c>
      <c r="O3" s="149" t="s">
        <v>60</v>
      </c>
      <c r="P3" s="151" t="s">
        <v>61</v>
      </c>
      <c r="Q3" s="151" t="s">
        <v>62</v>
      </c>
      <c r="R3" s="151" t="s">
        <v>58</v>
      </c>
      <c r="S3" s="151" t="s">
        <v>63</v>
      </c>
      <c r="T3" s="151" t="s">
        <v>64</v>
      </c>
      <c r="U3" s="152" t="s">
        <v>65</v>
      </c>
      <c r="V3" s="152" t="s">
        <v>66</v>
      </c>
      <c r="W3" s="153" t="s">
        <v>67</v>
      </c>
      <c r="X3" s="153" t="s">
        <v>68</v>
      </c>
      <c r="Y3" s="154" t="s">
        <v>69</v>
      </c>
      <c r="Z3" s="154" t="s">
        <v>70</v>
      </c>
      <c r="AA3" s="154" t="s">
        <v>71</v>
      </c>
      <c r="AB3" s="154" t="s">
        <v>72</v>
      </c>
      <c r="AC3" s="154" t="s">
        <v>73</v>
      </c>
      <c r="AD3" s="155" t="s">
        <v>74</v>
      </c>
      <c r="AE3" s="155" t="s">
        <v>75</v>
      </c>
      <c r="AF3" s="155" t="s">
        <v>76</v>
      </c>
      <c r="AG3" s="155" t="s">
        <v>77</v>
      </c>
    </row>
    <row r="4" spans="1:33" x14ac:dyDescent="0.25">
      <c r="A4" s="329" t="s">
        <v>13</v>
      </c>
      <c r="B4" s="329" t="s">
        <v>13</v>
      </c>
      <c r="C4" s="330">
        <v>2063742</v>
      </c>
      <c r="D4" s="330">
        <v>8350</v>
      </c>
      <c r="E4" s="330">
        <v>123223</v>
      </c>
      <c r="F4" s="330">
        <v>298637</v>
      </c>
      <c r="G4" s="330">
        <v>161549</v>
      </c>
      <c r="H4" s="331">
        <v>2655501</v>
      </c>
      <c r="I4" s="330">
        <v>2493952</v>
      </c>
      <c r="J4" s="330">
        <v>8053</v>
      </c>
      <c r="K4" s="332">
        <v>97.84</v>
      </c>
      <c r="L4" s="332">
        <v>98.83</v>
      </c>
      <c r="M4" s="332">
        <v>6.24</v>
      </c>
      <c r="N4" s="332">
        <v>101.35</v>
      </c>
      <c r="O4" s="333">
        <v>1832246</v>
      </c>
      <c r="P4" s="330">
        <v>89.43</v>
      </c>
      <c r="Q4" s="330">
        <v>86.91</v>
      </c>
      <c r="R4" s="330">
        <v>32.619999999999997</v>
      </c>
      <c r="S4" s="330">
        <v>118.78</v>
      </c>
      <c r="T4" s="330">
        <v>361336</v>
      </c>
      <c r="U4" s="330">
        <v>128.6</v>
      </c>
      <c r="V4" s="330">
        <v>151611</v>
      </c>
      <c r="W4" s="330">
        <v>154.62</v>
      </c>
      <c r="X4" s="330">
        <v>9582</v>
      </c>
      <c r="Y4" s="330">
        <v>3897</v>
      </c>
      <c r="Z4" s="330">
        <v>5335</v>
      </c>
      <c r="AA4" s="330">
        <v>4099</v>
      </c>
      <c r="AB4" s="330">
        <v>9960</v>
      </c>
      <c r="AC4" s="330">
        <v>5744</v>
      </c>
      <c r="AD4" s="334">
        <v>2008229</v>
      </c>
      <c r="AE4" s="330">
        <v>12436</v>
      </c>
      <c r="AF4" s="330">
        <v>11462</v>
      </c>
      <c r="AG4" s="330">
        <v>23898</v>
      </c>
    </row>
    <row r="5" spans="1:33" x14ac:dyDescent="0.25">
      <c r="A5" s="335" t="s">
        <v>78</v>
      </c>
      <c r="B5" s="335" t="s">
        <v>78</v>
      </c>
      <c r="C5" s="331">
        <v>105805</v>
      </c>
      <c r="D5" s="331">
        <v>145</v>
      </c>
      <c r="E5" s="331">
        <v>7463</v>
      </c>
      <c r="F5" s="331">
        <v>24742</v>
      </c>
      <c r="G5" s="331">
        <v>10974</v>
      </c>
      <c r="H5" s="331">
        <v>149129</v>
      </c>
      <c r="I5" s="330">
        <v>138155</v>
      </c>
      <c r="J5" s="330">
        <v>331</v>
      </c>
      <c r="K5" s="332">
        <v>89.68</v>
      </c>
      <c r="L5" s="332">
        <v>89.79</v>
      </c>
      <c r="M5" s="332">
        <v>4.53</v>
      </c>
      <c r="N5" s="332">
        <v>92.48</v>
      </c>
      <c r="O5" s="333">
        <v>94777</v>
      </c>
      <c r="P5" s="330">
        <v>86.12</v>
      </c>
      <c r="Q5" s="330">
        <v>83.53</v>
      </c>
      <c r="R5" s="330">
        <v>28.27</v>
      </c>
      <c r="S5" s="330">
        <v>111.61</v>
      </c>
      <c r="T5" s="330">
        <v>28379</v>
      </c>
      <c r="U5" s="330">
        <v>104.76</v>
      </c>
      <c r="V5" s="330">
        <v>6450</v>
      </c>
      <c r="W5" s="330">
        <v>143.82</v>
      </c>
      <c r="X5" s="330">
        <v>519</v>
      </c>
      <c r="Y5" s="330">
        <v>260</v>
      </c>
      <c r="Z5" s="330">
        <v>218</v>
      </c>
      <c r="AA5" s="330">
        <v>401</v>
      </c>
      <c r="AB5" s="330">
        <v>671</v>
      </c>
      <c r="AC5" s="330">
        <v>320</v>
      </c>
      <c r="AD5" s="334">
        <v>103137</v>
      </c>
      <c r="AE5" s="330">
        <v>698</v>
      </c>
      <c r="AF5" s="330">
        <v>515</v>
      </c>
      <c r="AG5" s="330">
        <v>1213</v>
      </c>
    </row>
    <row r="6" spans="1:33" x14ac:dyDescent="0.25">
      <c r="A6" s="335" t="s">
        <v>79</v>
      </c>
      <c r="B6" s="335" t="s">
        <v>79</v>
      </c>
      <c r="C6" s="331">
        <v>205065</v>
      </c>
      <c r="D6" s="331">
        <v>1321</v>
      </c>
      <c r="E6" s="331">
        <v>12624</v>
      </c>
      <c r="F6" s="331">
        <v>30541</v>
      </c>
      <c r="G6" s="331">
        <v>17256</v>
      </c>
      <c r="H6" s="331">
        <v>266807</v>
      </c>
      <c r="I6" s="330">
        <v>249551</v>
      </c>
      <c r="J6" s="330">
        <v>722</v>
      </c>
      <c r="K6" s="332">
        <v>101.91</v>
      </c>
      <c r="L6" s="332">
        <v>102.54</v>
      </c>
      <c r="M6" s="332">
        <v>5.44</v>
      </c>
      <c r="N6" s="332">
        <v>104.42</v>
      </c>
      <c r="O6" s="333">
        <v>182683</v>
      </c>
      <c r="P6" s="330">
        <v>91.06</v>
      </c>
      <c r="Q6" s="330">
        <v>89.03</v>
      </c>
      <c r="R6" s="330">
        <v>33.11</v>
      </c>
      <c r="S6" s="330">
        <v>121.2</v>
      </c>
      <c r="T6" s="330">
        <v>36901</v>
      </c>
      <c r="U6" s="330">
        <v>131.86000000000001</v>
      </c>
      <c r="V6" s="330">
        <v>16847</v>
      </c>
      <c r="W6" s="330">
        <v>153.53</v>
      </c>
      <c r="X6" s="330">
        <v>342</v>
      </c>
      <c r="Y6" s="330">
        <v>122</v>
      </c>
      <c r="Z6" s="330">
        <v>400</v>
      </c>
      <c r="AA6" s="330">
        <v>313</v>
      </c>
      <c r="AB6" s="330">
        <v>869</v>
      </c>
      <c r="AC6" s="330">
        <v>728</v>
      </c>
      <c r="AD6" s="334">
        <v>203125</v>
      </c>
      <c r="AE6" s="330">
        <v>934</v>
      </c>
      <c r="AF6" s="330">
        <v>557</v>
      </c>
      <c r="AG6" s="330">
        <v>1491</v>
      </c>
    </row>
    <row r="7" spans="1:33" x14ac:dyDescent="0.25">
      <c r="A7" s="335" t="s">
        <v>80</v>
      </c>
      <c r="B7" s="335" t="s">
        <v>80</v>
      </c>
      <c r="C7" s="331">
        <v>345361</v>
      </c>
      <c r="D7" s="331">
        <v>3824</v>
      </c>
      <c r="E7" s="331">
        <v>27735</v>
      </c>
      <c r="F7" s="331">
        <v>28408</v>
      </c>
      <c r="G7" s="331">
        <v>44123</v>
      </c>
      <c r="H7" s="331">
        <v>449451</v>
      </c>
      <c r="I7" s="330">
        <v>405328</v>
      </c>
      <c r="J7" s="330">
        <v>1449</v>
      </c>
      <c r="K7" s="332">
        <v>125.47</v>
      </c>
      <c r="L7" s="332">
        <v>128.76</v>
      </c>
      <c r="M7" s="332">
        <v>10.54</v>
      </c>
      <c r="N7" s="332">
        <v>132.91999999999999</v>
      </c>
      <c r="O7" s="333">
        <v>294548</v>
      </c>
      <c r="P7" s="330">
        <v>109.02</v>
      </c>
      <c r="Q7" s="330">
        <v>109.04</v>
      </c>
      <c r="R7" s="330">
        <v>44.68</v>
      </c>
      <c r="S7" s="330">
        <v>150.15</v>
      </c>
      <c r="T7" s="330">
        <v>44303</v>
      </c>
      <c r="U7" s="330">
        <v>185.54</v>
      </c>
      <c r="V7" s="330">
        <v>22383</v>
      </c>
      <c r="W7" s="330">
        <v>201.97</v>
      </c>
      <c r="X7" s="330">
        <v>853</v>
      </c>
      <c r="Y7" s="330">
        <v>1341</v>
      </c>
      <c r="Z7" s="330">
        <v>453</v>
      </c>
      <c r="AA7" s="330">
        <v>665</v>
      </c>
      <c r="AB7" s="330">
        <v>3629</v>
      </c>
      <c r="AC7" s="330">
        <v>1990</v>
      </c>
      <c r="AD7" s="334">
        <v>326341</v>
      </c>
      <c r="AE7" s="330">
        <v>1480</v>
      </c>
      <c r="AF7" s="330">
        <v>2258</v>
      </c>
      <c r="AG7" s="330">
        <v>3738</v>
      </c>
    </row>
    <row r="8" spans="1:33" x14ac:dyDescent="0.25">
      <c r="A8" s="335" t="s">
        <v>81</v>
      </c>
      <c r="B8" s="335" t="s">
        <v>81</v>
      </c>
      <c r="C8" s="331">
        <v>151395</v>
      </c>
      <c r="D8" s="331">
        <v>576</v>
      </c>
      <c r="E8" s="331">
        <v>6317</v>
      </c>
      <c r="F8" s="331">
        <v>20596</v>
      </c>
      <c r="G8" s="331">
        <v>3370</v>
      </c>
      <c r="H8" s="331">
        <v>182254</v>
      </c>
      <c r="I8" s="330">
        <v>178884</v>
      </c>
      <c r="J8" s="330">
        <v>435</v>
      </c>
      <c r="K8" s="332">
        <v>80.41</v>
      </c>
      <c r="L8" s="332">
        <v>81.92</v>
      </c>
      <c r="M8" s="332">
        <v>6.32</v>
      </c>
      <c r="N8" s="332">
        <v>82.41</v>
      </c>
      <c r="O8" s="333">
        <v>139317</v>
      </c>
      <c r="P8" s="330">
        <v>80.7</v>
      </c>
      <c r="Q8" s="330">
        <v>75.459999999999994</v>
      </c>
      <c r="R8" s="330">
        <v>35.79</v>
      </c>
      <c r="S8" s="330">
        <v>108.49</v>
      </c>
      <c r="T8" s="330">
        <v>24171</v>
      </c>
      <c r="U8" s="330">
        <v>96.74</v>
      </c>
      <c r="V8" s="330">
        <v>9648</v>
      </c>
      <c r="W8" s="330">
        <v>138.01</v>
      </c>
      <c r="X8" s="330">
        <v>1461</v>
      </c>
      <c r="Y8" s="330">
        <v>18</v>
      </c>
      <c r="Z8" s="330">
        <v>492</v>
      </c>
      <c r="AA8" s="330">
        <v>216</v>
      </c>
      <c r="AB8" s="330">
        <v>147</v>
      </c>
      <c r="AC8" s="330">
        <v>73</v>
      </c>
      <c r="AD8" s="334">
        <v>148758</v>
      </c>
      <c r="AE8" s="330">
        <v>1663</v>
      </c>
      <c r="AF8" s="330">
        <v>1049</v>
      </c>
      <c r="AG8" s="330">
        <v>2712</v>
      </c>
    </row>
    <row r="9" spans="1:33" x14ac:dyDescent="0.25">
      <c r="A9" s="335" t="s">
        <v>82</v>
      </c>
      <c r="B9" s="335" t="s">
        <v>82</v>
      </c>
      <c r="C9" s="331">
        <v>421908</v>
      </c>
      <c r="D9" s="331">
        <v>853</v>
      </c>
      <c r="E9" s="331">
        <v>20633</v>
      </c>
      <c r="F9" s="331">
        <v>57660</v>
      </c>
      <c r="G9" s="331">
        <v>13343</v>
      </c>
      <c r="H9" s="331">
        <v>514397</v>
      </c>
      <c r="I9" s="330">
        <v>501054</v>
      </c>
      <c r="J9" s="330">
        <v>2550</v>
      </c>
      <c r="K9" s="332">
        <v>84.59</v>
      </c>
      <c r="L9" s="332">
        <v>85.06</v>
      </c>
      <c r="M9" s="332">
        <v>4.6900000000000004</v>
      </c>
      <c r="N9" s="332">
        <v>86.91</v>
      </c>
      <c r="O9" s="333">
        <v>380599</v>
      </c>
      <c r="P9" s="330">
        <v>82.48</v>
      </c>
      <c r="Q9" s="330">
        <v>79.3</v>
      </c>
      <c r="R9" s="330">
        <v>29.97</v>
      </c>
      <c r="S9" s="330">
        <v>108.53</v>
      </c>
      <c r="T9" s="330">
        <v>71480</v>
      </c>
      <c r="U9" s="330">
        <v>105.19</v>
      </c>
      <c r="V9" s="330">
        <v>31093</v>
      </c>
      <c r="W9" s="330">
        <v>142.97999999999999</v>
      </c>
      <c r="X9" s="330">
        <v>1170</v>
      </c>
      <c r="Y9" s="330">
        <v>166</v>
      </c>
      <c r="Z9" s="330">
        <v>1717</v>
      </c>
      <c r="AA9" s="330">
        <v>868</v>
      </c>
      <c r="AB9" s="330">
        <v>599</v>
      </c>
      <c r="AC9" s="330">
        <v>279</v>
      </c>
      <c r="AD9" s="334">
        <v>412189</v>
      </c>
      <c r="AE9" s="330">
        <v>2955</v>
      </c>
      <c r="AF9" s="330">
        <v>2879</v>
      </c>
      <c r="AG9" s="330">
        <v>5834</v>
      </c>
    </row>
    <row r="10" spans="1:33" x14ac:dyDescent="0.25">
      <c r="A10" s="335" t="s">
        <v>83</v>
      </c>
      <c r="B10" s="335" t="s">
        <v>83</v>
      </c>
      <c r="C10" s="331">
        <v>280392</v>
      </c>
      <c r="D10" s="331">
        <v>565</v>
      </c>
      <c r="E10" s="331">
        <v>15180</v>
      </c>
      <c r="F10" s="331">
        <v>41319</v>
      </c>
      <c r="G10" s="331">
        <v>35650</v>
      </c>
      <c r="H10" s="331">
        <v>373106</v>
      </c>
      <c r="I10" s="330">
        <v>337456</v>
      </c>
      <c r="J10" s="330">
        <v>790</v>
      </c>
      <c r="K10" s="332">
        <v>111.05</v>
      </c>
      <c r="L10" s="332">
        <v>111.15</v>
      </c>
      <c r="M10" s="332">
        <v>5.42</v>
      </c>
      <c r="N10" s="332">
        <v>114.41</v>
      </c>
      <c r="O10" s="333">
        <v>243320</v>
      </c>
      <c r="P10" s="330">
        <v>95.73</v>
      </c>
      <c r="Q10" s="330">
        <v>93.63</v>
      </c>
      <c r="R10" s="330">
        <v>30.22</v>
      </c>
      <c r="S10" s="330">
        <v>123.74</v>
      </c>
      <c r="T10" s="330">
        <v>46237</v>
      </c>
      <c r="U10" s="330">
        <v>147.97999999999999</v>
      </c>
      <c r="V10" s="330">
        <v>26011</v>
      </c>
      <c r="W10" s="330">
        <v>166.19</v>
      </c>
      <c r="X10" s="330">
        <v>1883</v>
      </c>
      <c r="Y10" s="330">
        <v>926</v>
      </c>
      <c r="Z10" s="330">
        <v>713</v>
      </c>
      <c r="AA10" s="330">
        <v>330</v>
      </c>
      <c r="AB10" s="330">
        <v>2159</v>
      </c>
      <c r="AC10" s="330">
        <v>1352</v>
      </c>
      <c r="AD10" s="334">
        <v>273882</v>
      </c>
      <c r="AE10" s="330">
        <v>1123</v>
      </c>
      <c r="AF10" s="330">
        <v>1160</v>
      </c>
      <c r="AG10" s="330">
        <v>2283</v>
      </c>
    </row>
    <row r="11" spans="1:33" x14ac:dyDescent="0.25">
      <c r="A11" s="335" t="s">
        <v>84</v>
      </c>
      <c r="B11" s="335" t="s">
        <v>84</v>
      </c>
      <c r="C11" s="331">
        <v>184946</v>
      </c>
      <c r="D11" s="331">
        <v>339</v>
      </c>
      <c r="E11" s="331">
        <v>11953</v>
      </c>
      <c r="F11" s="331">
        <v>35743</v>
      </c>
      <c r="G11" s="331">
        <v>15997</v>
      </c>
      <c r="H11" s="331">
        <v>248978</v>
      </c>
      <c r="I11" s="330">
        <v>232981</v>
      </c>
      <c r="J11" s="330">
        <v>546</v>
      </c>
      <c r="K11" s="332">
        <v>94.66</v>
      </c>
      <c r="L11" s="332">
        <v>94.07</v>
      </c>
      <c r="M11" s="332">
        <v>4.71</v>
      </c>
      <c r="N11" s="332">
        <v>97.44</v>
      </c>
      <c r="O11" s="333">
        <v>161881</v>
      </c>
      <c r="P11" s="330">
        <v>85.84</v>
      </c>
      <c r="Q11" s="330">
        <v>83.18</v>
      </c>
      <c r="R11" s="330">
        <v>27.89</v>
      </c>
      <c r="S11" s="330">
        <v>111.94</v>
      </c>
      <c r="T11" s="330">
        <v>41794</v>
      </c>
      <c r="U11" s="330">
        <v>122.25</v>
      </c>
      <c r="V11" s="330">
        <v>15261</v>
      </c>
      <c r="W11" s="330">
        <v>153.87</v>
      </c>
      <c r="X11" s="330">
        <v>855</v>
      </c>
      <c r="Y11" s="330">
        <v>908</v>
      </c>
      <c r="Z11" s="330">
        <v>352</v>
      </c>
      <c r="AA11" s="330">
        <v>408</v>
      </c>
      <c r="AB11" s="330">
        <v>1004</v>
      </c>
      <c r="AC11" s="330">
        <v>386</v>
      </c>
      <c r="AD11" s="334">
        <v>178143</v>
      </c>
      <c r="AE11" s="330">
        <v>706</v>
      </c>
      <c r="AF11" s="330">
        <v>876</v>
      </c>
      <c r="AG11" s="330">
        <v>1582</v>
      </c>
    </row>
    <row r="12" spans="1:33" x14ac:dyDescent="0.25">
      <c r="A12" s="335" t="s">
        <v>85</v>
      </c>
      <c r="B12" s="335" t="s">
        <v>85</v>
      </c>
      <c r="C12" s="331">
        <v>209643</v>
      </c>
      <c r="D12" s="331">
        <v>283</v>
      </c>
      <c r="E12" s="331">
        <v>12555</v>
      </c>
      <c r="F12" s="331">
        <v>33785</v>
      </c>
      <c r="G12" s="331">
        <v>14234</v>
      </c>
      <c r="H12" s="331">
        <v>270500</v>
      </c>
      <c r="I12" s="330">
        <v>256266</v>
      </c>
      <c r="J12" s="330">
        <v>841</v>
      </c>
      <c r="K12" s="332">
        <v>90.72</v>
      </c>
      <c r="L12" s="332">
        <v>90.85</v>
      </c>
      <c r="M12" s="332">
        <v>5.43</v>
      </c>
      <c r="N12" s="332">
        <v>94.24</v>
      </c>
      <c r="O12" s="333">
        <v>189696</v>
      </c>
      <c r="P12" s="330">
        <v>86.4</v>
      </c>
      <c r="Q12" s="330">
        <v>84.99</v>
      </c>
      <c r="R12" s="330">
        <v>33.729999999999997</v>
      </c>
      <c r="S12" s="330">
        <v>116.39</v>
      </c>
      <c r="T12" s="330">
        <v>38085</v>
      </c>
      <c r="U12" s="330">
        <v>109.78</v>
      </c>
      <c r="V12" s="330">
        <v>13398</v>
      </c>
      <c r="W12" s="330">
        <v>161.99</v>
      </c>
      <c r="X12" s="330">
        <v>1623</v>
      </c>
      <c r="Y12" s="330">
        <v>130</v>
      </c>
      <c r="Z12" s="330">
        <v>517</v>
      </c>
      <c r="AA12" s="330">
        <v>470</v>
      </c>
      <c r="AB12" s="330">
        <v>661</v>
      </c>
      <c r="AC12" s="330">
        <v>494</v>
      </c>
      <c r="AD12" s="334">
        <v>205086</v>
      </c>
      <c r="AE12" s="330">
        <v>1081</v>
      </c>
      <c r="AF12" s="330">
        <v>912</v>
      </c>
      <c r="AG12" s="330">
        <v>1993</v>
      </c>
    </row>
    <row r="13" spans="1:33" x14ac:dyDescent="0.25">
      <c r="A13" s="335" t="s">
        <v>788</v>
      </c>
      <c r="B13" s="335" t="s">
        <v>788</v>
      </c>
      <c r="C13" s="331">
        <v>159227</v>
      </c>
      <c r="D13" s="331">
        <v>444</v>
      </c>
      <c r="E13" s="331">
        <v>8763</v>
      </c>
      <c r="F13" s="331">
        <v>25843</v>
      </c>
      <c r="G13" s="331">
        <v>6602</v>
      </c>
      <c r="H13" s="331">
        <v>200879</v>
      </c>
      <c r="I13" s="330">
        <v>194277</v>
      </c>
      <c r="J13" s="330">
        <v>389</v>
      </c>
      <c r="K13" s="332">
        <v>84.14</v>
      </c>
      <c r="L13" s="332">
        <v>84.01</v>
      </c>
      <c r="M13" s="332">
        <v>5.33</v>
      </c>
      <c r="N13" s="332">
        <v>87.07</v>
      </c>
      <c r="O13" s="333">
        <v>145425</v>
      </c>
      <c r="P13" s="330">
        <v>84.42</v>
      </c>
      <c r="Q13" s="330">
        <v>78.62</v>
      </c>
      <c r="R13" s="330">
        <v>31.15</v>
      </c>
      <c r="S13" s="330">
        <v>113.89</v>
      </c>
      <c r="T13" s="330">
        <v>29986</v>
      </c>
      <c r="U13" s="330">
        <v>100.45</v>
      </c>
      <c r="V13" s="330">
        <v>10520</v>
      </c>
      <c r="W13" s="330">
        <v>120.76</v>
      </c>
      <c r="X13" s="330">
        <v>876</v>
      </c>
      <c r="Y13" s="330">
        <v>26</v>
      </c>
      <c r="Z13" s="330">
        <v>473</v>
      </c>
      <c r="AA13" s="330">
        <v>428</v>
      </c>
      <c r="AB13" s="330">
        <v>221</v>
      </c>
      <c r="AC13" s="330">
        <v>122</v>
      </c>
      <c r="AD13" s="334">
        <v>157568</v>
      </c>
      <c r="AE13" s="330">
        <v>1796</v>
      </c>
      <c r="AF13" s="330">
        <v>1256</v>
      </c>
      <c r="AG13" s="330">
        <v>3052</v>
      </c>
    </row>
    <row r="14" spans="1:33" x14ac:dyDescent="0.25">
      <c r="A14" s="329" t="s">
        <v>86</v>
      </c>
      <c r="B14" s="335" t="s">
        <v>87</v>
      </c>
      <c r="C14" s="331">
        <v>799</v>
      </c>
      <c r="D14" s="331">
        <v>0</v>
      </c>
      <c r="E14" s="331">
        <v>59</v>
      </c>
      <c r="F14" s="331">
        <v>138</v>
      </c>
      <c r="G14" s="331">
        <v>108</v>
      </c>
      <c r="H14" s="331">
        <v>1104</v>
      </c>
      <c r="I14" s="330">
        <v>996</v>
      </c>
      <c r="J14" s="330">
        <v>0</v>
      </c>
      <c r="K14" s="332">
        <v>115.17</v>
      </c>
      <c r="L14" s="332">
        <v>116.95</v>
      </c>
      <c r="M14" s="332">
        <v>5.27</v>
      </c>
      <c r="N14" s="332">
        <v>119.04</v>
      </c>
      <c r="O14" s="333">
        <v>715</v>
      </c>
      <c r="P14" s="330">
        <v>85.46</v>
      </c>
      <c r="Q14" s="330">
        <v>86.87</v>
      </c>
      <c r="R14" s="330">
        <v>29.44</v>
      </c>
      <c r="S14" s="330">
        <v>114.9</v>
      </c>
      <c r="T14" s="330">
        <v>175</v>
      </c>
      <c r="U14" s="330">
        <v>146.36000000000001</v>
      </c>
      <c r="V14" s="330">
        <v>56</v>
      </c>
      <c r="W14" s="330">
        <v>141.29</v>
      </c>
      <c r="X14" s="330">
        <v>14</v>
      </c>
      <c r="Y14" s="330">
        <v>0</v>
      </c>
      <c r="Z14" s="330">
        <v>5</v>
      </c>
      <c r="AA14" s="330">
        <v>1</v>
      </c>
      <c r="AB14" s="330">
        <v>0</v>
      </c>
      <c r="AC14" s="330">
        <v>9</v>
      </c>
      <c r="AD14" s="334">
        <v>778</v>
      </c>
      <c r="AE14" s="334">
        <v>3</v>
      </c>
      <c r="AF14" s="334">
        <v>0</v>
      </c>
      <c r="AG14" s="334">
        <v>3</v>
      </c>
    </row>
    <row r="15" spans="1:33" x14ac:dyDescent="0.25">
      <c r="A15" s="329" t="s">
        <v>88</v>
      </c>
      <c r="B15" s="335" t="s">
        <v>89</v>
      </c>
      <c r="C15" s="331">
        <v>8072</v>
      </c>
      <c r="D15" s="331">
        <v>54</v>
      </c>
      <c r="E15" s="331">
        <v>165</v>
      </c>
      <c r="F15" s="331">
        <v>395</v>
      </c>
      <c r="G15" s="331">
        <v>99</v>
      </c>
      <c r="H15" s="331">
        <v>8785</v>
      </c>
      <c r="I15" s="330">
        <v>8686</v>
      </c>
      <c r="J15" s="330">
        <v>9</v>
      </c>
      <c r="K15" s="332">
        <v>86.08</v>
      </c>
      <c r="L15" s="332">
        <v>87.21</v>
      </c>
      <c r="M15" s="332">
        <v>2.52</v>
      </c>
      <c r="N15" s="332">
        <v>87.92</v>
      </c>
      <c r="O15" s="333">
        <v>7316</v>
      </c>
      <c r="P15" s="330">
        <v>78.95</v>
      </c>
      <c r="Q15" s="330">
        <v>76</v>
      </c>
      <c r="R15" s="330">
        <v>26.95</v>
      </c>
      <c r="S15" s="330">
        <v>103.47</v>
      </c>
      <c r="T15" s="330">
        <v>510</v>
      </c>
      <c r="U15" s="330">
        <v>105.55</v>
      </c>
      <c r="V15" s="330">
        <v>272</v>
      </c>
      <c r="W15" s="330">
        <v>133.44999999999999</v>
      </c>
      <c r="X15" s="330">
        <v>42</v>
      </c>
      <c r="Y15" s="330">
        <v>0</v>
      </c>
      <c r="Z15" s="330">
        <v>11</v>
      </c>
      <c r="AA15" s="330">
        <v>8</v>
      </c>
      <c r="AB15" s="330">
        <v>1</v>
      </c>
      <c r="AC15" s="330">
        <v>2</v>
      </c>
      <c r="AD15" s="334">
        <v>7440</v>
      </c>
      <c r="AE15" s="334">
        <v>101</v>
      </c>
      <c r="AF15" s="334">
        <v>48</v>
      </c>
      <c r="AG15" s="334">
        <v>149</v>
      </c>
    </row>
    <row r="16" spans="1:33" x14ac:dyDescent="0.25">
      <c r="A16" s="329" t="s">
        <v>90</v>
      </c>
      <c r="B16" s="335" t="s">
        <v>91</v>
      </c>
      <c r="C16" s="331">
        <v>4472</v>
      </c>
      <c r="D16" s="331">
        <v>0</v>
      </c>
      <c r="E16" s="331">
        <v>139</v>
      </c>
      <c r="F16" s="331">
        <v>2475</v>
      </c>
      <c r="G16" s="331">
        <v>121</v>
      </c>
      <c r="H16" s="331">
        <v>7207</v>
      </c>
      <c r="I16" s="330">
        <v>7086</v>
      </c>
      <c r="J16" s="330">
        <v>0</v>
      </c>
      <c r="K16" s="332">
        <v>90.4</v>
      </c>
      <c r="L16" s="332">
        <v>90.77</v>
      </c>
      <c r="M16" s="332">
        <v>2.27</v>
      </c>
      <c r="N16" s="332">
        <v>92.48</v>
      </c>
      <c r="O16" s="333">
        <v>4375</v>
      </c>
      <c r="P16" s="330">
        <v>84.34</v>
      </c>
      <c r="Q16" s="330">
        <v>89.41</v>
      </c>
      <c r="R16" s="330">
        <v>8.48</v>
      </c>
      <c r="S16" s="330">
        <v>92.7</v>
      </c>
      <c r="T16" s="330">
        <v>2589</v>
      </c>
      <c r="U16" s="330">
        <v>99.49</v>
      </c>
      <c r="V16" s="330">
        <v>84</v>
      </c>
      <c r="W16" s="330">
        <v>0</v>
      </c>
      <c r="X16" s="330">
        <v>0</v>
      </c>
      <c r="Y16" s="330">
        <v>0</v>
      </c>
      <c r="Z16" s="330">
        <v>26</v>
      </c>
      <c r="AA16" s="330">
        <v>7</v>
      </c>
      <c r="AB16" s="330">
        <v>0</v>
      </c>
      <c r="AC16" s="330">
        <v>2</v>
      </c>
      <c r="AD16" s="334">
        <v>4464</v>
      </c>
      <c r="AE16" s="334">
        <v>33</v>
      </c>
      <c r="AF16" s="334">
        <v>14</v>
      </c>
      <c r="AG16" s="334">
        <v>47</v>
      </c>
    </row>
    <row r="17" spans="1:33" x14ac:dyDescent="0.25">
      <c r="A17" s="329" t="s">
        <v>92</v>
      </c>
      <c r="B17" s="335" t="s">
        <v>93</v>
      </c>
      <c r="C17" s="331">
        <v>2714</v>
      </c>
      <c r="D17" s="331">
        <v>13</v>
      </c>
      <c r="E17" s="331">
        <v>221</v>
      </c>
      <c r="F17" s="331">
        <v>374</v>
      </c>
      <c r="G17" s="331">
        <v>466</v>
      </c>
      <c r="H17" s="331">
        <v>3788</v>
      </c>
      <c r="I17" s="330">
        <v>3322</v>
      </c>
      <c r="J17" s="330">
        <v>3</v>
      </c>
      <c r="K17" s="332">
        <v>112.13</v>
      </c>
      <c r="L17" s="332">
        <v>111.9</v>
      </c>
      <c r="M17" s="332">
        <v>4.78</v>
      </c>
      <c r="N17" s="332">
        <v>116.02</v>
      </c>
      <c r="O17" s="333">
        <v>2188</v>
      </c>
      <c r="P17" s="330">
        <v>93.31</v>
      </c>
      <c r="Q17" s="330">
        <v>89.95</v>
      </c>
      <c r="R17" s="330">
        <v>35.22</v>
      </c>
      <c r="S17" s="330">
        <v>125.94</v>
      </c>
      <c r="T17" s="330">
        <v>409</v>
      </c>
      <c r="U17" s="330">
        <v>154.47999999999999</v>
      </c>
      <c r="V17" s="330">
        <v>480</v>
      </c>
      <c r="W17" s="330">
        <v>0</v>
      </c>
      <c r="X17" s="330">
        <v>0</v>
      </c>
      <c r="Y17" s="330">
        <v>0</v>
      </c>
      <c r="Z17" s="330">
        <v>1</v>
      </c>
      <c r="AA17" s="330">
        <v>3</v>
      </c>
      <c r="AB17" s="330">
        <v>27</v>
      </c>
      <c r="AC17" s="330">
        <v>8</v>
      </c>
      <c r="AD17" s="334">
        <v>2712</v>
      </c>
      <c r="AE17" s="334">
        <v>4</v>
      </c>
      <c r="AF17" s="334">
        <v>3</v>
      </c>
      <c r="AG17" s="334">
        <v>7</v>
      </c>
    </row>
    <row r="18" spans="1:33" x14ac:dyDescent="0.25">
      <c r="A18" s="329" t="s">
        <v>94</v>
      </c>
      <c r="B18" s="335" t="s">
        <v>95</v>
      </c>
      <c r="C18" s="331">
        <v>1480</v>
      </c>
      <c r="D18" s="331">
        <v>0</v>
      </c>
      <c r="E18" s="331">
        <v>173</v>
      </c>
      <c r="F18" s="331">
        <v>291</v>
      </c>
      <c r="G18" s="331">
        <v>164</v>
      </c>
      <c r="H18" s="331">
        <v>2108</v>
      </c>
      <c r="I18" s="330">
        <v>1944</v>
      </c>
      <c r="J18" s="330">
        <v>0</v>
      </c>
      <c r="K18" s="332">
        <v>88.04</v>
      </c>
      <c r="L18" s="332">
        <v>86.57</v>
      </c>
      <c r="M18" s="332">
        <v>4.97</v>
      </c>
      <c r="N18" s="332">
        <v>90.49</v>
      </c>
      <c r="O18" s="333">
        <v>1357</v>
      </c>
      <c r="P18" s="330">
        <v>95.53</v>
      </c>
      <c r="Q18" s="330">
        <v>85.48</v>
      </c>
      <c r="R18" s="330">
        <v>31.53</v>
      </c>
      <c r="S18" s="330">
        <v>125.4</v>
      </c>
      <c r="T18" s="330">
        <v>398</v>
      </c>
      <c r="U18" s="330">
        <v>100.24</v>
      </c>
      <c r="V18" s="330">
        <v>47</v>
      </c>
      <c r="W18" s="330">
        <v>0</v>
      </c>
      <c r="X18" s="330">
        <v>0</v>
      </c>
      <c r="Y18" s="330">
        <v>0</v>
      </c>
      <c r="Z18" s="330">
        <v>0</v>
      </c>
      <c r="AA18" s="330">
        <v>9</v>
      </c>
      <c r="AB18" s="330">
        <v>1</v>
      </c>
      <c r="AC18" s="330">
        <v>5</v>
      </c>
      <c r="AD18" s="334">
        <v>1480</v>
      </c>
      <c r="AE18" s="334">
        <v>10</v>
      </c>
      <c r="AF18" s="334">
        <v>5</v>
      </c>
      <c r="AG18" s="334">
        <v>15</v>
      </c>
    </row>
    <row r="19" spans="1:33" x14ac:dyDescent="0.25">
      <c r="A19" s="329" t="s">
        <v>96</v>
      </c>
      <c r="B19" s="335" t="s">
        <v>97</v>
      </c>
      <c r="C19" s="331">
        <v>2125</v>
      </c>
      <c r="D19" s="331">
        <v>7</v>
      </c>
      <c r="E19" s="331">
        <v>113</v>
      </c>
      <c r="F19" s="331">
        <v>151</v>
      </c>
      <c r="G19" s="331">
        <v>644</v>
      </c>
      <c r="H19" s="331">
        <v>3040</v>
      </c>
      <c r="I19" s="330">
        <v>2396</v>
      </c>
      <c r="J19" s="330">
        <v>0</v>
      </c>
      <c r="K19" s="332">
        <v>102.79</v>
      </c>
      <c r="L19" s="332">
        <v>103.05</v>
      </c>
      <c r="M19" s="332">
        <v>5.33</v>
      </c>
      <c r="N19" s="332">
        <v>107.02</v>
      </c>
      <c r="O19" s="333">
        <v>1757</v>
      </c>
      <c r="P19" s="330">
        <v>88.75</v>
      </c>
      <c r="Q19" s="330">
        <v>89.12</v>
      </c>
      <c r="R19" s="330">
        <v>44.4</v>
      </c>
      <c r="S19" s="330">
        <v>131.15</v>
      </c>
      <c r="T19" s="330">
        <v>201</v>
      </c>
      <c r="U19" s="330">
        <v>130.27000000000001</v>
      </c>
      <c r="V19" s="330">
        <v>281</v>
      </c>
      <c r="W19" s="330">
        <v>192.44</v>
      </c>
      <c r="X19" s="330">
        <v>34</v>
      </c>
      <c r="Y19" s="330">
        <v>0</v>
      </c>
      <c r="Z19" s="330">
        <v>8</v>
      </c>
      <c r="AA19" s="330">
        <v>2</v>
      </c>
      <c r="AB19" s="330">
        <v>44</v>
      </c>
      <c r="AC19" s="330">
        <v>38</v>
      </c>
      <c r="AD19" s="334">
        <v>2063</v>
      </c>
      <c r="AE19" s="334">
        <v>10</v>
      </c>
      <c r="AF19" s="334">
        <v>0</v>
      </c>
      <c r="AG19" s="334">
        <v>10</v>
      </c>
    </row>
    <row r="20" spans="1:33" x14ac:dyDescent="0.25">
      <c r="A20" s="329" t="s">
        <v>98</v>
      </c>
      <c r="B20" s="335" t="s">
        <v>99</v>
      </c>
      <c r="C20" s="331">
        <v>1660</v>
      </c>
      <c r="D20" s="331">
        <v>0</v>
      </c>
      <c r="E20" s="331">
        <v>115</v>
      </c>
      <c r="F20" s="331">
        <v>125</v>
      </c>
      <c r="G20" s="331">
        <v>155</v>
      </c>
      <c r="H20" s="331">
        <v>2055</v>
      </c>
      <c r="I20" s="330">
        <v>1900</v>
      </c>
      <c r="J20" s="330">
        <v>17</v>
      </c>
      <c r="K20" s="332">
        <v>95.45</v>
      </c>
      <c r="L20" s="332">
        <v>94.23</v>
      </c>
      <c r="M20" s="332">
        <v>3.86</v>
      </c>
      <c r="N20" s="332">
        <v>97.45</v>
      </c>
      <c r="O20" s="333">
        <v>1296</v>
      </c>
      <c r="P20" s="330">
        <v>105.94</v>
      </c>
      <c r="Q20" s="330">
        <v>97.37</v>
      </c>
      <c r="R20" s="330">
        <v>52.63</v>
      </c>
      <c r="S20" s="330">
        <v>154.25</v>
      </c>
      <c r="T20" s="330">
        <v>183</v>
      </c>
      <c r="U20" s="330">
        <v>117.64</v>
      </c>
      <c r="V20" s="330">
        <v>308</v>
      </c>
      <c r="W20" s="330">
        <v>111.01</v>
      </c>
      <c r="X20" s="330">
        <v>2</v>
      </c>
      <c r="Y20" s="330">
        <v>1</v>
      </c>
      <c r="Z20" s="330">
        <v>0</v>
      </c>
      <c r="AA20" s="330">
        <v>4</v>
      </c>
      <c r="AB20" s="330">
        <v>2</v>
      </c>
      <c r="AC20" s="330">
        <v>1</v>
      </c>
      <c r="AD20" s="334">
        <v>1653</v>
      </c>
      <c r="AE20" s="334">
        <v>5</v>
      </c>
      <c r="AF20" s="334">
        <v>8</v>
      </c>
      <c r="AG20" s="334">
        <v>13</v>
      </c>
    </row>
    <row r="21" spans="1:33" x14ac:dyDescent="0.25">
      <c r="A21" s="329" t="s">
        <v>100</v>
      </c>
      <c r="B21" s="335" t="s">
        <v>101</v>
      </c>
      <c r="C21" s="331">
        <v>3972</v>
      </c>
      <c r="D21" s="331">
        <v>69</v>
      </c>
      <c r="E21" s="331">
        <v>227</v>
      </c>
      <c r="F21" s="331">
        <v>464</v>
      </c>
      <c r="G21" s="331">
        <v>820</v>
      </c>
      <c r="H21" s="331">
        <v>5552</v>
      </c>
      <c r="I21" s="330">
        <v>4732</v>
      </c>
      <c r="J21" s="330">
        <v>2</v>
      </c>
      <c r="K21" s="332">
        <v>128.51</v>
      </c>
      <c r="L21" s="332">
        <v>120.34</v>
      </c>
      <c r="M21" s="332">
        <v>7.08</v>
      </c>
      <c r="N21" s="332">
        <v>132.28</v>
      </c>
      <c r="O21" s="333">
        <v>2958</v>
      </c>
      <c r="P21" s="330">
        <v>103.43</v>
      </c>
      <c r="Q21" s="330">
        <v>102.09</v>
      </c>
      <c r="R21" s="330">
        <v>58.25</v>
      </c>
      <c r="S21" s="330">
        <v>158.63999999999999</v>
      </c>
      <c r="T21" s="330">
        <v>691</v>
      </c>
      <c r="U21" s="330">
        <v>174</v>
      </c>
      <c r="V21" s="330">
        <v>590</v>
      </c>
      <c r="W21" s="330">
        <v>0</v>
      </c>
      <c r="X21" s="330">
        <v>0</v>
      </c>
      <c r="Y21" s="330">
        <v>26</v>
      </c>
      <c r="Z21" s="330">
        <v>1</v>
      </c>
      <c r="AA21" s="330">
        <v>9</v>
      </c>
      <c r="AB21" s="330">
        <v>19</v>
      </c>
      <c r="AC21" s="330">
        <v>31</v>
      </c>
      <c r="AD21" s="334">
        <v>3972</v>
      </c>
      <c r="AE21" s="334">
        <v>17</v>
      </c>
      <c r="AF21" s="334">
        <v>8</v>
      </c>
      <c r="AG21" s="334">
        <v>25</v>
      </c>
    </row>
    <row r="22" spans="1:33" x14ac:dyDescent="0.25">
      <c r="A22" s="329" t="s">
        <v>102</v>
      </c>
      <c r="B22" s="335" t="s">
        <v>103</v>
      </c>
      <c r="C22" s="331">
        <v>6513</v>
      </c>
      <c r="D22" s="331">
        <v>9</v>
      </c>
      <c r="E22" s="331">
        <v>464</v>
      </c>
      <c r="F22" s="331">
        <v>1130</v>
      </c>
      <c r="G22" s="331">
        <v>1289</v>
      </c>
      <c r="H22" s="331">
        <v>9405</v>
      </c>
      <c r="I22" s="330">
        <v>8116</v>
      </c>
      <c r="J22" s="330">
        <v>26</v>
      </c>
      <c r="K22" s="332">
        <v>132.13</v>
      </c>
      <c r="L22" s="332">
        <v>131.91</v>
      </c>
      <c r="M22" s="332">
        <v>11.49</v>
      </c>
      <c r="N22" s="332">
        <v>141.62</v>
      </c>
      <c r="O22" s="333">
        <v>5588</v>
      </c>
      <c r="P22" s="330">
        <v>112.73</v>
      </c>
      <c r="Q22" s="330">
        <v>115.07</v>
      </c>
      <c r="R22" s="330">
        <v>46.36</v>
      </c>
      <c r="S22" s="330">
        <v>155.79</v>
      </c>
      <c r="T22" s="330">
        <v>802</v>
      </c>
      <c r="U22" s="330">
        <v>197.84</v>
      </c>
      <c r="V22" s="330">
        <v>508</v>
      </c>
      <c r="W22" s="330">
        <v>248.63</v>
      </c>
      <c r="X22" s="330">
        <v>9</v>
      </c>
      <c r="Y22" s="330">
        <v>48</v>
      </c>
      <c r="Z22" s="330">
        <v>2</v>
      </c>
      <c r="AA22" s="330">
        <v>21</v>
      </c>
      <c r="AB22" s="330">
        <v>24</v>
      </c>
      <c r="AC22" s="330">
        <v>53</v>
      </c>
      <c r="AD22" s="334">
        <v>6262</v>
      </c>
      <c r="AE22" s="334">
        <v>43</v>
      </c>
      <c r="AF22" s="334">
        <v>71</v>
      </c>
      <c r="AG22" s="334">
        <v>114</v>
      </c>
    </row>
    <row r="23" spans="1:33" x14ac:dyDescent="0.25">
      <c r="A23" s="329" t="s">
        <v>104</v>
      </c>
      <c r="B23" s="335" t="s">
        <v>105</v>
      </c>
      <c r="C23" s="331">
        <v>2598</v>
      </c>
      <c r="D23" s="331">
        <v>0</v>
      </c>
      <c r="E23" s="331">
        <v>357</v>
      </c>
      <c r="F23" s="331">
        <v>748</v>
      </c>
      <c r="G23" s="331">
        <v>257</v>
      </c>
      <c r="H23" s="331">
        <v>3960</v>
      </c>
      <c r="I23" s="330">
        <v>3703</v>
      </c>
      <c r="J23" s="330">
        <v>2</v>
      </c>
      <c r="K23" s="332">
        <v>87.88</v>
      </c>
      <c r="L23" s="332">
        <v>86.49</v>
      </c>
      <c r="M23" s="332">
        <v>5.35</v>
      </c>
      <c r="N23" s="332">
        <v>90.25</v>
      </c>
      <c r="O23" s="333">
        <v>1878</v>
      </c>
      <c r="P23" s="330">
        <v>88.5</v>
      </c>
      <c r="Q23" s="330">
        <v>82.56</v>
      </c>
      <c r="R23" s="330">
        <v>30.41</v>
      </c>
      <c r="S23" s="330">
        <v>117.49</v>
      </c>
      <c r="T23" s="330">
        <v>1048</v>
      </c>
      <c r="U23" s="330">
        <v>94.56</v>
      </c>
      <c r="V23" s="330">
        <v>602</v>
      </c>
      <c r="W23" s="330">
        <v>101.53</v>
      </c>
      <c r="X23" s="330">
        <v>2</v>
      </c>
      <c r="Y23" s="330">
        <v>1</v>
      </c>
      <c r="Z23" s="330">
        <v>1</v>
      </c>
      <c r="AA23" s="330">
        <v>3</v>
      </c>
      <c r="AB23" s="330">
        <v>5</v>
      </c>
      <c r="AC23" s="330">
        <v>0</v>
      </c>
      <c r="AD23" s="334">
        <v>2597</v>
      </c>
      <c r="AE23" s="334">
        <v>16</v>
      </c>
      <c r="AF23" s="334">
        <v>13</v>
      </c>
      <c r="AG23" s="334">
        <v>29</v>
      </c>
    </row>
    <row r="24" spans="1:33" x14ac:dyDescent="0.25">
      <c r="A24" s="329" t="s">
        <v>106</v>
      </c>
      <c r="B24" s="335" t="s">
        <v>107</v>
      </c>
      <c r="C24" s="331">
        <v>426</v>
      </c>
      <c r="D24" s="331">
        <v>0</v>
      </c>
      <c r="E24" s="331">
        <v>78</v>
      </c>
      <c r="F24" s="331">
        <v>291</v>
      </c>
      <c r="G24" s="331">
        <v>2</v>
      </c>
      <c r="H24" s="331">
        <v>797</v>
      </c>
      <c r="I24" s="330">
        <v>795</v>
      </c>
      <c r="J24" s="330">
        <v>60</v>
      </c>
      <c r="K24" s="332">
        <v>83.9</v>
      </c>
      <c r="L24" s="332">
        <v>84.25</v>
      </c>
      <c r="M24" s="332">
        <v>3.91</v>
      </c>
      <c r="N24" s="332">
        <v>85.91</v>
      </c>
      <c r="O24" s="333">
        <v>384</v>
      </c>
      <c r="P24" s="330">
        <v>81.27</v>
      </c>
      <c r="Q24" s="330">
        <v>82.13</v>
      </c>
      <c r="R24" s="330">
        <v>30.82</v>
      </c>
      <c r="S24" s="330">
        <v>110.29</v>
      </c>
      <c r="T24" s="330">
        <v>343</v>
      </c>
      <c r="U24" s="330">
        <v>112.03</v>
      </c>
      <c r="V24" s="330">
        <v>27</v>
      </c>
      <c r="W24" s="330">
        <v>0</v>
      </c>
      <c r="X24" s="330">
        <v>0</v>
      </c>
      <c r="Y24" s="330">
        <v>0</v>
      </c>
      <c r="Z24" s="330">
        <v>1</v>
      </c>
      <c r="AA24" s="330">
        <v>0</v>
      </c>
      <c r="AB24" s="330">
        <v>0</v>
      </c>
      <c r="AC24" s="330">
        <v>0</v>
      </c>
      <c r="AD24" s="334">
        <v>426</v>
      </c>
      <c r="AE24" s="334">
        <v>1</v>
      </c>
      <c r="AF24" s="334">
        <v>0</v>
      </c>
      <c r="AG24" s="334">
        <v>1</v>
      </c>
    </row>
    <row r="25" spans="1:33" x14ac:dyDescent="0.25">
      <c r="A25" s="329" t="s">
        <v>108</v>
      </c>
      <c r="B25" s="335" t="s">
        <v>109</v>
      </c>
      <c r="C25" s="331">
        <v>5253</v>
      </c>
      <c r="D25" s="331">
        <v>10</v>
      </c>
      <c r="E25" s="331">
        <v>232</v>
      </c>
      <c r="F25" s="331">
        <v>340</v>
      </c>
      <c r="G25" s="331">
        <v>633</v>
      </c>
      <c r="H25" s="331">
        <v>6468</v>
      </c>
      <c r="I25" s="330">
        <v>5835</v>
      </c>
      <c r="J25" s="330">
        <v>0</v>
      </c>
      <c r="K25" s="332">
        <v>110.5</v>
      </c>
      <c r="L25" s="332">
        <v>111.43</v>
      </c>
      <c r="M25" s="332">
        <v>4.9000000000000004</v>
      </c>
      <c r="N25" s="332">
        <v>112.82</v>
      </c>
      <c r="O25" s="333">
        <v>4906</v>
      </c>
      <c r="P25" s="330">
        <v>94.55</v>
      </c>
      <c r="Q25" s="330">
        <v>92.35</v>
      </c>
      <c r="R25" s="330">
        <v>40.53</v>
      </c>
      <c r="S25" s="330">
        <v>134.07</v>
      </c>
      <c r="T25" s="330">
        <v>437</v>
      </c>
      <c r="U25" s="330">
        <v>128.83000000000001</v>
      </c>
      <c r="V25" s="330">
        <v>157</v>
      </c>
      <c r="W25" s="330">
        <v>0</v>
      </c>
      <c r="X25" s="330">
        <v>0</v>
      </c>
      <c r="Y25" s="330">
        <v>0</v>
      </c>
      <c r="Z25" s="330">
        <v>3</v>
      </c>
      <c r="AA25" s="330">
        <v>33</v>
      </c>
      <c r="AB25" s="330">
        <v>24</v>
      </c>
      <c r="AC25" s="330">
        <v>8</v>
      </c>
      <c r="AD25" s="334">
        <v>5253</v>
      </c>
      <c r="AE25" s="334">
        <v>13</v>
      </c>
      <c r="AF25" s="334">
        <v>15</v>
      </c>
      <c r="AG25" s="334">
        <v>28</v>
      </c>
    </row>
    <row r="26" spans="1:33" x14ac:dyDescent="0.25">
      <c r="A26" s="329" t="s">
        <v>110</v>
      </c>
      <c r="B26" s="335" t="s">
        <v>111</v>
      </c>
      <c r="C26" s="331">
        <v>12011</v>
      </c>
      <c r="D26" s="331">
        <v>0</v>
      </c>
      <c r="E26" s="331">
        <v>363</v>
      </c>
      <c r="F26" s="331">
        <v>897</v>
      </c>
      <c r="G26" s="331">
        <v>938</v>
      </c>
      <c r="H26" s="331">
        <v>14209</v>
      </c>
      <c r="I26" s="330">
        <v>13271</v>
      </c>
      <c r="J26" s="330">
        <v>0</v>
      </c>
      <c r="K26" s="332">
        <v>115.9</v>
      </c>
      <c r="L26" s="332">
        <v>115.3</v>
      </c>
      <c r="M26" s="332">
        <v>4.59</v>
      </c>
      <c r="N26" s="332">
        <v>117.67</v>
      </c>
      <c r="O26" s="333">
        <v>11135</v>
      </c>
      <c r="P26" s="330">
        <v>95.75</v>
      </c>
      <c r="Q26" s="330">
        <v>94.76</v>
      </c>
      <c r="R26" s="330">
        <v>29.23</v>
      </c>
      <c r="S26" s="330">
        <v>124.69</v>
      </c>
      <c r="T26" s="330">
        <v>1092</v>
      </c>
      <c r="U26" s="330">
        <v>141.07</v>
      </c>
      <c r="V26" s="330">
        <v>554</v>
      </c>
      <c r="W26" s="330">
        <v>0</v>
      </c>
      <c r="X26" s="330">
        <v>0</v>
      </c>
      <c r="Y26" s="330">
        <v>3</v>
      </c>
      <c r="Z26" s="330">
        <v>6</v>
      </c>
      <c r="AA26" s="330">
        <v>2</v>
      </c>
      <c r="AB26" s="330">
        <v>39</v>
      </c>
      <c r="AC26" s="330">
        <v>60</v>
      </c>
      <c r="AD26" s="334">
        <v>12011</v>
      </c>
      <c r="AE26" s="334">
        <v>24</v>
      </c>
      <c r="AF26" s="334">
        <v>14</v>
      </c>
      <c r="AG26" s="334">
        <v>38</v>
      </c>
    </row>
    <row r="27" spans="1:33" x14ac:dyDescent="0.25">
      <c r="A27" s="329" t="s">
        <v>112</v>
      </c>
      <c r="B27" s="335" t="s">
        <v>113</v>
      </c>
      <c r="C27" s="331">
        <v>861</v>
      </c>
      <c r="D27" s="331">
        <v>0</v>
      </c>
      <c r="E27" s="331">
        <v>264</v>
      </c>
      <c r="F27" s="331">
        <v>154</v>
      </c>
      <c r="G27" s="331">
        <v>73</v>
      </c>
      <c r="H27" s="331">
        <v>1352</v>
      </c>
      <c r="I27" s="330">
        <v>1279</v>
      </c>
      <c r="J27" s="330">
        <v>3</v>
      </c>
      <c r="K27" s="332">
        <v>88.77</v>
      </c>
      <c r="L27" s="332">
        <v>87.06</v>
      </c>
      <c r="M27" s="332">
        <v>2.89</v>
      </c>
      <c r="N27" s="332">
        <v>90.49</v>
      </c>
      <c r="O27" s="333">
        <v>799</v>
      </c>
      <c r="P27" s="330">
        <v>127.08</v>
      </c>
      <c r="Q27" s="330">
        <v>69.650000000000006</v>
      </c>
      <c r="R27" s="330">
        <v>41.86</v>
      </c>
      <c r="S27" s="330">
        <v>168.26</v>
      </c>
      <c r="T27" s="330">
        <v>312</v>
      </c>
      <c r="U27" s="330">
        <v>94.05</v>
      </c>
      <c r="V27" s="330">
        <v>32</v>
      </c>
      <c r="W27" s="330">
        <v>173.18</v>
      </c>
      <c r="X27" s="330">
        <v>4</v>
      </c>
      <c r="Y27" s="330">
        <v>0</v>
      </c>
      <c r="Z27" s="330">
        <v>0</v>
      </c>
      <c r="AA27" s="330">
        <v>23</v>
      </c>
      <c r="AB27" s="330">
        <v>2</v>
      </c>
      <c r="AC27" s="330">
        <v>5</v>
      </c>
      <c r="AD27" s="334">
        <v>858</v>
      </c>
      <c r="AE27" s="334">
        <v>6</v>
      </c>
      <c r="AF27" s="334">
        <v>1</v>
      </c>
      <c r="AG27" s="334">
        <v>7</v>
      </c>
    </row>
    <row r="28" spans="1:33" x14ac:dyDescent="0.25">
      <c r="A28" s="329" t="s">
        <v>114</v>
      </c>
      <c r="B28" s="335" t="s">
        <v>115</v>
      </c>
      <c r="C28" s="331">
        <v>8808</v>
      </c>
      <c r="D28" s="331">
        <v>0</v>
      </c>
      <c r="E28" s="331">
        <v>357</v>
      </c>
      <c r="F28" s="331">
        <v>2178</v>
      </c>
      <c r="G28" s="331">
        <v>425</v>
      </c>
      <c r="H28" s="331">
        <v>11768</v>
      </c>
      <c r="I28" s="330">
        <v>11343</v>
      </c>
      <c r="J28" s="330">
        <v>43</v>
      </c>
      <c r="K28" s="332">
        <v>102.38</v>
      </c>
      <c r="L28" s="332">
        <v>103.87</v>
      </c>
      <c r="M28" s="332">
        <v>4.8099999999999996</v>
      </c>
      <c r="N28" s="332">
        <v>105.2</v>
      </c>
      <c r="O28" s="333">
        <v>8076</v>
      </c>
      <c r="P28" s="330">
        <v>92.15</v>
      </c>
      <c r="Q28" s="330">
        <v>93.64</v>
      </c>
      <c r="R28" s="330">
        <v>14.43</v>
      </c>
      <c r="S28" s="330">
        <v>105.16</v>
      </c>
      <c r="T28" s="330">
        <v>2269</v>
      </c>
      <c r="U28" s="330">
        <v>132.43</v>
      </c>
      <c r="V28" s="330">
        <v>616</v>
      </c>
      <c r="W28" s="330">
        <v>118.85</v>
      </c>
      <c r="X28" s="330">
        <v>76</v>
      </c>
      <c r="Y28" s="330">
        <v>0</v>
      </c>
      <c r="Z28" s="330">
        <v>19</v>
      </c>
      <c r="AA28" s="330">
        <v>20</v>
      </c>
      <c r="AB28" s="330">
        <v>37</v>
      </c>
      <c r="AC28" s="330">
        <v>16</v>
      </c>
      <c r="AD28" s="334">
        <v>8725</v>
      </c>
      <c r="AE28" s="334">
        <v>16</v>
      </c>
      <c r="AF28" s="334">
        <v>38</v>
      </c>
      <c r="AG28" s="334">
        <v>54</v>
      </c>
    </row>
    <row r="29" spans="1:33" x14ac:dyDescent="0.25">
      <c r="A29" s="329" t="s">
        <v>116</v>
      </c>
      <c r="B29" s="335" t="s">
        <v>117</v>
      </c>
      <c r="C29" s="331">
        <v>10386</v>
      </c>
      <c r="D29" s="331">
        <v>0</v>
      </c>
      <c r="E29" s="331">
        <v>281</v>
      </c>
      <c r="F29" s="331">
        <v>1192</v>
      </c>
      <c r="G29" s="331">
        <v>1013</v>
      </c>
      <c r="H29" s="331">
        <v>12872</v>
      </c>
      <c r="I29" s="330">
        <v>11859</v>
      </c>
      <c r="J29" s="330">
        <v>4</v>
      </c>
      <c r="K29" s="332">
        <v>100.89</v>
      </c>
      <c r="L29" s="332">
        <v>100.38</v>
      </c>
      <c r="M29" s="332">
        <v>7.23</v>
      </c>
      <c r="N29" s="332">
        <v>106.11</v>
      </c>
      <c r="O29" s="333">
        <v>9264</v>
      </c>
      <c r="P29" s="330">
        <v>96.27</v>
      </c>
      <c r="Q29" s="330">
        <v>94.44</v>
      </c>
      <c r="R29" s="330">
        <v>41.12</v>
      </c>
      <c r="S29" s="330">
        <v>137.04</v>
      </c>
      <c r="T29" s="330">
        <v>1319</v>
      </c>
      <c r="U29" s="330">
        <v>127.26</v>
      </c>
      <c r="V29" s="330">
        <v>778</v>
      </c>
      <c r="W29" s="330">
        <v>102.65</v>
      </c>
      <c r="X29" s="330">
        <v>5</v>
      </c>
      <c r="Y29" s="330">
        <v>0</v>
      </c>
      <c r="Z29" s="330">
        <v>8</v>
      </c>
      <c r="AA29" s="330">
        <v>20</v>
      </c>
      <c r="AB29" s="330">
        <v>74</v>
      </c>
      <c r="AC29" s="330">
        <v>80</v>
      </c>
      <c r="AD29" s="334">
        <v>10323</v>
      </c>
      <c r="AE29" s="334">
        <v>43</v>
      </c>
      <c r="AF29" s="334">
        <v>9</v>
      </c>
      <c r="AG29" s="334">
        <v>52</v>
      </c>
    </row>
    <row r="30" spans="1:33" x14ac:dyDescent="0.25">
      <c r="A30" s="329" t="s">
        <v>118</v>
      </c>
      <c r="B30" s="335" t="s">
        <v>119</v>
      </c>
      <c r="C30" s="331">
        <v>12027</v>
      </c>
      <c r="D30" s="331">
        <v>4</v>
      </c>
      <c r="E30" s="331">
        <v>133</v>
      </c>
      <c r="F30" s="331">
        <v>1327</v>
      </c>
      <c r="G30" s="331">
        <v>974</v>
      </c>
      <c r="H30" s="331">
        <v>14465</v>
      </c>
      <c r="I30" s="330">
        <v>13491</v>
      </c>
      <c r="J30" s="330">
        <v>27</v>
      </c>
      <c r="K30" s="332">
        <v>112.89</v>
      </c>
      <c r="L30" s="332">
        <v>110.66</v>
      </c>
      <c r="M30" s="332">
        <v>9.4499999999999993</v>
      </c>
      <c r="N30" s="332">
        <v>121.64</v>
      </c>
      <c r="O30" s="333">
        <v>10150</v>
      </c>
      <c r="P30" s="330">
        <v>94.65</v>
      </c>
      <c r="Q30" s="330">
        <v>94.44</v>
      </c>
      <c r="R30" s="330">
        <v>26.37</v>
      </c>
      <c r="S30" s="330">
        <v>120.59</v>
      </c>
      <c r="T30" s="330">
        <v>1284</v>
      </c>
      <c r="U30" s="330">
        <v>156.53</v>
      </c>
      <c r="V30" s="330">
        <v>1143</v>
      </c>
      <c r="W30" s="330">
        <v>0</v>
      </c>
      <c r="X30" s="330">
        <v>0</v>
      </c>
      <c r="Y30" s="330">
        <v>135</v>
      </c>
      <c r="Z30" s="330">
        <v>23</v>
      </c>
      <c r="AA30" s="330">
        <v>5</v>
      </c>
      <c r="AB30" s="330">
        <v>118</v>
      </c>
      <c r="AC30" s="330">
        <v>42</v>
      </c>
      <c r="AD30" s="334">
        <v>11358</v>
      </c>
      <c r="AE30" s="334">
        <v>56</v>
      </c>
      <c r="AF30" s="334">
        <v>92</v>
      </c>
      <c r="AG30" s="334">
        <v>148</v>
      </c>
    </row>
    <row r="31" spans="1:33" x14ac:dyDescent="0.25">
      <c r="A31" s="329" t="s">
        <v>120</v>
      </c>
      <c r="B31" s="335" t="s">
        <v>121</v>
      </c>
      <c r="C31" s="331">
        <v>32644</v>
      </c>
      <c r="D31" s="331">
        <v>145</v>
      </c>
      <c r="E31" s="331">
        <v>5319</v>
      </c>
      <c r="F31" s="331">
        <v>5303</v>
      </c>
      <c r="G31" s="331">
        <v>3476</v>
      </c>
      <c r="H31" s="331">
        <v>46887</v>
      </c>
      <c r="I31" s="330">
        <v>43411</v>
      </c>
      <c r="J31" s="330">
        <v>407</v>
      </c>
      <c r="K31" s="332">
        <v>95.05</v>
      </c>
      <c r="L31" s="332">
        <v>96.25</v>
      </c>
      <c r="M31" s="332">
        <v>6.95</v>
      </c>
      <c r="N31" s="332">
        <v>100.26</v>
      </c>
      <c r="O31" s="333">
        <v>29433</v>
      </c>
      <c r="P31" s="330">
        <v>86.98</v>
      </c>
      <c r="Q31" s="330">
        <v>84.87</v>
      </c>
      <c r="R31" s="330">
        <v>42.81</v>
      </c>
      <c r="S31" s="330">
        <v>126.87</v>
      </c>
      <c r="T31" s="330">
        <v>6497</v>
      </c>
      <c r="U31" s="330">
        <v>115.81</v>
      </c>
      <c r="V31" s="330">
        <v>946</v>
      </c>
      <c r="W31" s="330">
        <v>167.3</v>
      </c>
      <c r="X31" s="330">
        <v>145</v>
      </c>
      <c r="Y31" s="330">
        <v>13</v>
      </c>
      <c r="Z31" s="330">
        <v>26</v>
      </c>
      <c r="AA31" s="330">
        <v>26</v>
      </c>
      <c r="AB31" s="330">
        <v>13</v>
      </c>
      <c r="AC31" s="330">
        <v>126</v>
      </c>
      <c r="AD31" s="334">
        <v>30761</v>
      </c>
      <c r="AE31" s="334">
        <v>150</v>
      </c>
      <c r="AF31" s="334">
        <v>72</v>
      </c>
      <c r="AG31" s="334">
        <v>222</v>
      </c>
    </row>
    <row r="32" spans="1:33" x14ac:dyDescent="0.25">
      <c r="A32" s="329" t="s">
        <v>122</v>
      </c>
      <c r="B32" s="335" t="s">
        <v>123</v>
      </c>
      <c r="C32" s="331">
        <v>1927</v>
      </c>
      <c r="D32" s="331">
        <v>0</v>
      </c>
      <c r="E32" s="331">
        <v>115</v>
      </c>
      <c r="F32" s="331">
        <v>1348</v>
      </c>
      <c r="G32" s="331">
        <v>306</v>
      </c>
      <c r="H32" s="331">
        <v>3696</v>
      </c>
      <c r="I32" s="330">
        <v>3390</v>
      </c>
      <c r="J32" s="330">
        <v>3</v>
      </c>
      <c r="K32" s="332">
        <v>88.24</v>
      </c>
      <c r="L32" s="332">
        <v>88.21</v>
      </c>
      <c r="M32" s="332">
        <v>3.79</v>
      </c>
      <c r="N32" s="332">
        <v>90.23</v>
      </c>
      <c r="O32" s="333">
        <v>1626</v>
      </c>
      <c r="P32" s="330">
        <v>78.709999999999994</v>
      </c>
      <c r="Q32" s="330">
        <v>77.89</v>
      </c>
      <c r="R32" s="330">
        <v>17.829999999999998</v>
      </c>
      <c r="S32" s="330">
        <v>96.39</v>
      </c>
      <c r="T32" s="330">
        <v>1457</v>
      </c>
      <c r="U32" s="330">
        <v>106.91</v>
      </c>
      <c r="V32" s="330">
        <v>205</v>
      </c>
      <c r="W32" s="330">
        <v>0</v>
      </c>
      <c r="X32" s="330">
        <v>0</v>
      </c>
      <c r="Y32" s="330">
        <v>0</v>
      </c>
      <c r="Z32" s="330">
        <v>8</v>
      </c>
      <c r="AA32" s="330">
        <v>1</v>
      </c>
      <c r="AB32" s="330">
        <v>38</v>
      </c>
      <c r="AC32" s="330">
        <v>11</v>
      </c>
      <c r="AD32" s="334">
        <v>1927</v>
      </c>
      <c r="AE32" s="334">
        <v>11</v>
      </c>
      <c r="AF32" s="334">
        <v>16</v>
      </c>
      <c r="AG32" s="334">
        <v>27</v>
      </c>
    </row>
    <row r="33" spans="1:33" x14ac:dyDescent="0.25">
      <c r="A33" s="329" t="s">
        <v>124</v>
      </c>
      <c r="B33" s="335" t="s">
        <v>125</v>
      </c>
      <c r="C33" s="331">
        <v>9535</v>
      </c>
      <c r="D33" s="331">
        <v>0</v>
      </c>
      <c r="E33" s="331">
        <v>428</v>
      </c>
      <c r="F33" s="331">
        <v>1511</v>
      </c>
      <c r="G33" s="331">
        <v>293</v>
      </c>
      <c r="H33" s="331">
        <v>11767</v>
      </c>
      <c r="I33" s="330">
        <v>11474</v>
      </c>
      <c r="J33" s="330">
        <v>4</v>
      </c>
      <c r="K33" s="332">
        <v>81.2</v>
      </c>
      <c r="L33" s="332">
        <v>80.7</v>
      </c>
      <c r="M33" s="332">
        <v>1.87</v>
      </c>
      <c r="N33" s="332">
        <v>82.84</v>
      </c>
      <c r="O33" s="333">
        <v>8698</v>
      </c>
      <c r="P33" s="330">
        <v>78.64</v>
      </c>
      <c r="Q33" s="330">
        <v>72.14</v>
      </c>
      <c r="R33" s="330">
        <v>30.4</v>
      </c>
      <c r="S33" s="330">
        <v>108.83</v>
      </c>
      <c r="T33" s="330">
        <v>1769</v>
      </c>
      <c r="U33" s="330">
        <v>95.38</v>
      </c>
      <c r="V33" s="330">
        <v>829</v>
      </c>
      <c r="W33" s="330">
        <v>142.99</v>
      </c>
      <c r="X33" s="330">
        <v>55</v>
      </c>
      <c r="Y33" s="330">
        <v>0</v>
      </c>
      <c r="Z33" s="330">
        <v>34</v>
      </c>
      <c r="AA33" s="330">
        <v>13</v>
      </c>
      <c r="AB33" s="330">
        <v>8</v>
      </c>
      <c r="AC33" s="330">
        <v>8</v>
      </c>
      <c r="AD33" s="334">
        <v>9527</v>
      </c>
      <c r="AE33" s="334">
        <v>53</v>
      </c>
      <c r="AF33" s="334">
        <v>69</v>
      </c>
      <c r="AG33" s="334">
        <v>122</v>
      </c>
    </row>
    <row r="34" spans="1:33" x14ac:dyDescent="0.25">
      <c r="A34" s="329" t="s">
        <v>126</v>
      </c>
      <c r="B34" s="335" t="s">
        <v>127</v>
      </c>
      <c r="C34" s="331">
        <v>1672</v>
      </c>
      <c r="D34" s="331">
        <v>0</v>
      </c>
      <c r="E34" s="331">
        <v>352</v>
      </c>
      <c r="F34" s="331">
        <v>198</v>
      </c>
      <c r="G34" s="331">
        <v>141</v>
      </c>
      <c r="H34" s="331">
        <v>2363</v>
      </c>
      <c r="I34" s="330">
        <v>2222</v>
      </c>
      <c r="J34" s="330">
        <v>0</v>
      </c>
      <c r="K34" s="332">
        <v>88.21</v>
      </c>
      <c r="L34" s="332">
        <v>85.44</v>
      </c>
      <c r="M34" s="332">
        <v>4.8099999999999996</v>
      </c>
      <c r="N34" s="332">
        <v>91.9</v>
      </c>
      <c r="O34" s="333">
        <v>1251</v>
      </c>
      <c r="P34" s="330">
        <v>96.82</v>
      </c>
      <c r="Q34" s="330">
        <v>84.16</v>
      </c>
      <c r="R34" s="330">
        <v>48.39</v>
      </c>
      <c r="S34" s="330">
        <v>143.47999999999999</v>
      </c>
      <c r="T34" s="330">
        <v>506</v>
      </c>
      <c r="U34" s="330">
        <v>107.15</v>
      </c>
      <c r="V34" s="330">
        <v>281</v>
      </c>
      <c r="W34" s="330">
        <v>97.13</v>
      </c>
      <c r="X34" s="330">
        <v>1</v>
      </c>
      <c r="Y34" s="330">
        <v>0</v>
      </c>
      <c r="Z34" s="330">
        <v>0</v>
      </c>
      <c r="AA34" s="330">
        <v>43</v>
      </c>
      <c r="AB34" s="330">
        <v>0</v>
      </c>
      <c r="AC34" s="330">
        <v>6</v>
      </c>
      <c r="AD34" s="334">
        <v>1614</v>
      </c>
      <c r="AE34" s="334">
        <v>13</v>
      </c>
      <c r="AF34" s="334">
        <v>12</v>
      </c>
      <c r="AG34" s="334">
        <v>25</v>
      </c>
    </row>
    <row r="35" spans="1:33" x14ac:dyDescent="0.25">
      <c r="A35" s="329" t="s">
        <v>128</v>
      </c>
      <c r="B35" s="335" t="s">
        <v>129</v>
      </c>
      <c r="C35" s="331">
        <v>759</v>
      </c>
      <c r="D35" s="331">
        <v>0</v>
      </c>
      <c r="E35" s="331">
        <v>55</v>
      </c>
      <c r="F35" s="331">
        <v>262</v>
      </c>
      <c r="G35" s="331">
        <v>23</v>
      </c>
      <c r="H35" s="331">
        <v>1099</v>
      </c>
      <c r="I35" s="330">
        <v>1076</v>
      </c>
      <c r="J35" s="330">
        <v>1</v>
      </c>
      <c r="K35" s="332">
        <v>91.27</v>
      </c>
      <c r="L35" s="332">
        <v>90.87</v>
      </c>
      <c r="M35" s="332">
        <v>3.14</v>
      </c>
      <c r="N35" s="332">
        <v>93.06</v>
      </c>
      <c r="O35" s="333">
        <v>675</v>
      </c>
      <c r="P35" s="330">
        <v>91.64</v>
      </c>
      <c r="Q35" s="330">
        <v>91.4</v>
      </c>
      <c r="R35" s="330">
        <v>15.74</v>
      </c>
      <c r="S35" s="330">
        <v>106.8</v>
      </c>
      <c r="T35" s="330">
        <v>299</v>
      </c>
      <c r="U35" s="330">
        <v>92.82</v>
      </c>
      <c r="V35" s="330">
        <v>45</v>
      </c>
      <c r="W35" s="330">
        <v>0</v>
      </c>
      <c r="X35" s="330">
        <v>0</v>
      </c>
      <c r="Y35" s="330">
        <v>0</v>
      </c>
      <c r="Z35" s="330">
        <v>0</v>
      </c>
      <c r="AA35" s="330">
        <v>2</v>
      </c>
      <c r="AB35" s="330">
        <v>9</v>
      </c>
      <c r="AC35" s="330">
        <v>1</v>
      </c>
      <c r="AD35" s="334">
        <v>755</v>
      </c>
      <c r="AE35" s="334">
        <v>9</v>
      </c>
      <c r="AF35" s="334">
        <v>2</v>
      </c>
      <c r="AG35" s="334">
        <v>11</v>
      </c>
    </row>
    <row r="36" spans="1:33" x14ac:dyDescent="0.25">
      <c r="A36" s="329" t="s">
        <v>130</v>
      </c>
      <c r="B36" s="335" t="s">
        <v>131</v>
      </c>
      <c r="C36" s="331">
        <v>20850</v>
      </c>
      <c r="D36" s="331">
        <v>6</v>
      </c>
      <c r="E36" s="331">
        <v>657</v>
      </c>
      <c r="F36" s="331">
        <v>4117</v>
      </c>
      <c r="G36" s="331">
        <v>470</v>
      </c>
      <c r="H36" s="331">
        <v>26100</v>
      </c>
      <c r="I36" s="330">
        <v>25630</v>
      </c>
      <c r="J36" s="330">
        <v>1</v>
      </c>
      <c r="K36" s="332">
        <v>79.459999999999994</v>
      </c>
      <c r="L36" s="332">
        <v>81.819999999999993</v>
      </c>
      <c r="M36" s="332">
        <v>8.25</v>
      </c>
      <c r="N36" s="332">
        <v>81.89</v>
      </c>
      <c r="O36" s="333">
        <v>18303</v>
      </c>
      <c r="P36" s="330">
        <v>73.66</v>
      </c>
      <c r="Q36" s="330">
        <v>71.28</v>
      </c>
      <c r="R36" s="330">
        <v>26.84</v>
      </c>
      <c r="S36" s="330">
        <v>99.6</v>
      </c>
      <c r="T36" s="330">
        <v>4757</v>
      </c>
      <c r="U36" s="330">
        <v>98.36</v>
      </c>
      <c r="V36" s="330">
        <v>2454</v>
      </c>
      <c r="W36" s="330">
        <v>0</v>
      </c>
      <c r="X36" s="330">
        <v>0</v>
      </c>
      <c r="Y36" s="330">
        <v>0</v>
      </c>
      <c r="Z36" s="330">
        <v>115</v>
      </c>
      <c r="AA36" s="330">
        <v>10</v>
      </c>
      <c r="AB36" s="330">
        <v>2</v>
      </c>
      <c r="AC36" s="330">
        <v>6</v>
      </c>
      <c r="AD36" s="334">
        <v>20815</v>
      </c>
      <c r="AE36" s="334">
        <v>156</v>
      </c>
      <c r="AF36" s="334">
        <v>176</v>
      </c>
      <c r="AG36" s="334">
        <v>332</v>
      </c>
    </row>
    <row r="37" spans="1:33" x14ac:dyDescent="0.25">
      <c r="A37" s="329" t="s">
        <v>132</v>
      </c>
      <c r="B37" s="335" t="s">
        <v>133</v>
      </c>
      <c r="C37" s="331">
        <v>4230</v>
      </c>
      <c r="D37" s="331">
        <v>0</v>
      </c>
      <c r="E37" s="331">
        <v>136</v>
      </c>
      <c r="F37" s="331">
        <v>947</v>
      </c>
      <c r="G37" s="331">
        <v>188</v>
      </c>
      <c r="H37" s="331">
        <v>5501</v>
      </c>
      <c r="I37" s="330">
        <v>5313</v>
      </c>
      <c r="J37" s="330">
        <v>0</v>
      </c>
      <c r="K37" s="332">
        <v>82.13</v>
      </c>
      <c r="L37" s="332">
        <v>79.42</v>
      </c>
      <c r="M37" s="332">
        <v>1.71</v>
      </c>
      <c r="N37" s="332">
        <v>83.63</v>
      </c>
      <c r="O37" s="333">
        <v>4069</v>
      </c>
      <c r="P37" s="330">
        <v>76.3</v>
      </c>
      <c r="Q37" s="330">
        <v>72.150000000000006</v>
      </c>
      <c r="R37" s="330">
        <v>15.46</v>
      </c>
      <c r="S37" s="330">
        <v>91.55</v>
      </c>
      <c r="T37" s="330">
        <v>1031</v>
      </c>
      <c r="U37" s="330">
        <v>101.04</v>
      </c>
      <c r="V37" s="330">
        <v>100</v>
      </c>
      <c r="W37" s="330">
        <v>266.35000000000002</v>
      </c>
      <c r="X37" s="330">
        <v>6</v>
      </c>
      <c r="Y37" s="330">
        <v>17</v>
      </c>
      <c r="Z37" s="330">
        <v>12</v>
      </c>
      <c r="AA37" s="330">
        <v>4</v>
      </c>
      <c r="AB37" s="330">
        <v>13</v>
      </c>
      <c r="AC37" s="330">
        <v>10</v>
      </c>
      <c r="AD37" s="334">
        <v>4184</v>
      </c>
      <c r="AE37" s="334">
        <v>13</v>
      </c>
      <c r="AF37" s="334">
        <v>8</v>
      </c>
      <c r="AG37" s="334">
        <v>21</v>
      </c>
    </row>
    <row r="38" spans="1:33" x14ac:dyDescent="0.25">
      <c r="A38" s="329" t="s">
        <v>134</v>
      </c>
      <c r="B38" s="335" t="s">
        <v>135</v>
      </c>
      <c r="C38" s="331">
        <v>6252</v>
      </c>
      <c r="D38" s="331">
        <v>13</v>
      </c>
      <c r="E38" s="331">
        <v>966</v>
      </c>
      <c r="F38" s="331">
        <v>1643</v>
      </c>
      <c r="G38" s="331">
        <v>875</v>
      </c>
      <c r="H38" s="331">
        <v>9749</v>
      </c>
      <c r="I38" s="330">
        <v>8874</v>
      </c>
      <c r="J38" s="330">
        <v>1</v>
      </c>
      <c r="K38" s="332">
        <v>106.46</v>
      </c>
      <c r="L38" s="332">
        <v>106.06</v>
      </c>
      <c r="M38" s="332">
        <v>5.64</v>
      </c>
      <c r="N38" s="332">
        <v>110.48</v>
      </c>
      <c r="O38" s="333">
        <v>5489</v>
      </c>
      <c r="P38" s="330">
        <v>90.26</v>
      </c>
      <c r="Q38" s="330">
        <v>88.15</v>
      </c>
      <c r="R38" s="330">
        <v>43.64</v>
      </c>
      <c r="S38" s="330">
        <v>131.41</v>
      </c>
      <c r="T38" s="330">
        <v>1856</v>
      </c>
      <c r="U38" s="330">
        <v>143.66999999999999</v>
      </c>
      <c r="V38" s="330">
        <v>393</v>
      </c>
      <c r="W38" s="330">
        <v>0</v>
      </c>
      <c r="X38" s="330">
        <v>0</v>
      </c>
      <c r="Y38" s="330">
        <v>76</v>
      </c>
      <c r="Z38" s="330">
        <v>4</v>
      </c>
      <c r="AA38" s="330">
        <v>13</v>
      </c>
      <c r="AB38" s="330">
        <v>1</v>
      </c>
      <c r="AC38" s="330">
        <v>22</v>
      </c>
      <c r="AD38" s="334">
        <v>5902</v>
      </c>
      <c r="AE38" s="334">
        <v>7</v>
      </c>
      <c r="AF38" s="334">
        <v>11</v>
      </c>
      <c r="AG38" s="334">
        <v>18</v>
      </c>
    </row>
    <row r="39" spans="1:33" x14ac:dyDescent="0.25">
      <c r="A39" s="329" t="s">
        <v>136</v>
      </c>
      <c r="B39" s="335" t="s">
        <v>137</v>
      </c>
      <c r="C39" s="331">
        <v>7226</v>
      </c>
      <c r="D39" s="331">
        <v>5</v>
      </c>
      <c r="E39" s="331">
        <v>218</v>
      </c>
      <c r="F39" s="331">
        <v>579</v>
      </c>
      <c r="G39" s="331">
        <v>559</v>
      </c>
      <c r="H39" s="331">
        <v>8587</v>
      </c>
      <c r="I39" s="330">
        <v>8028</v>
      </c>
      <c r="J39" s="330">
        <v>2</v>
      </c>
      <c r="K39" s="332">
        <v>111.85</v>
      </c>
      <c r="L39" s="332">
        <v>112.15</v>
      </c>
      <c r="M39" s="332">
        <v>7.39</v>
      </c>
      <c r="N39" s="332">
        <v>113.99</v>
      </c>
      <c r="O39" s="333">
        <v>6750</v>
      </c>
      <c r="P39" s="330">
        <v>94.87</v>
      </c>
      <c r="Q39" s="330">
        <v>98.16</v>
      </c>
      <c r="R39" s="330">
        <v>30.52</v>
      </c>
      <c r="S39" s="330">
        <v>124.22</v>
      </c>
      <c r="T39" s="330">
        <v>781</v>
      </c>
      <c r="U39" s="330">
        <v>155.79</v>
      </c>
      <c r="V39" s="330">
        <v>408</v>
      </c>
      <c r="W39" s="330">
        <v>0</v>
      </c>
      <c r="X39" s="330">
        <v>0</v>
      </c>
      <c r="Y39" s="330">
        <v>16</v>
      </c>
      <c r="Z39" s="330">
        <v>15</v>
      </c>
      <c r="AA39" s="330">
        <v>1</v>
      </c>
      <c r="AB39" s="330">
        <v>10</v>
      </c>
      <c r="AC39" s="330">
        <v>14</v>
      </c>
      <c r="AD39" s="334">
        <v>7204</v>
      </c>
      <c r="AE39" s="334">
        <v>53</v>
      </c>
      <c r="AF39" s="334">
        <v>44</v>
      </c>
      <c r="AG39" s="334">
        <v>97</v>
      </c>
    </row>
    <row r="40" spans="1:33" x14ac:dyDescent="0.25">
      <c r="A40" s="329" t="s">
        <v>138</v>
      </c>
      <c r="B40" s="335" t="s">
        <v>139</v>
      </c>
      <c r="C40" s="331">
        <v>27029</v>
      </c>
      <c r="D40" s="331">
        <v>169</v>
      </c>
      <c r="E40" s="331">
        <v>1202</v>
      </c>
      <c r="F40" s="331">
        <v>3299</v>
      </c>
      <c r="G40" s="331">
        <v>772</v>
      </c>
      <c r="H40" s="331">
        <v>32471</v>
      </c>
      <c r="I40" s="330">
        <v>31699</v>
      </c>
      <c r="J40" s="330">
        <v>169</v>
      </c>
      <c r="K40" s="332">
        <v>80.91</v>
      </c>
      <c r="L40" s="332">
        <v>81.16</v>
      </c>
      <c r="M40" s="332">
        <v>5.56</v>
      </c>
      <c r="N40" s="332">
        <v>86.17</v>
      </c>
      <c r="O40" s="333">
        <v>25275</v>
      </c>
      <c r="P40" s="330">
        <v>81.72</v>
      </c>
      <c r="Q40" s="330">
        <v>76.819999999999993</v>
      </c>
      <c r="R40" s="330">
        <v>28.81</v>
      </c>
      <c r="S40" s="330">
        <v>109.85</v>
      </c>
      <c r="T40" s="330">
        <v>3860</v>
      </c>
      <c r="U40" s="330">
        <v>101.61</v>
      </c>
      <c r="V40" s="330">
        <v>1773</v>
      </c>
      <c r="W40" s="330">
        <v>145.21</v>
      </c>
      <c r="X40" s="330">
        <v>82</v>
      </c>
      <c r="Y40" s="330">
        <v>4</v>
      </c>
      <c r="Z40" s="330">
        <v>76</v>
      </c>
      <c r="AA40" s="330">
        <v>222</v>
      </c>
      <c r="AB40" s="330">
        <v>0</v>
      </c>
      <c r="AC40" s="330">
        <v>7</v>
      </c>
      <c r="AD40" s="334">
        <v>26997</v>
      </c>
      <c r="AE40" s="334">
        <v>750</v>
      </c>
      <c r="AF40" s="334">
        <v>53</v>
      </c>
      <c r="AG40" s="334">
        <v>803</v>
      </c>
    </row>
    <row r="41" spans="1:33" x14ac:dyDescent="0.25">
      <c r="A41" s="329" t="s">
        <v>140</v>
      </c>
      <c r="B41" s="335" t="s">
        <v>141</v>
      </c>
      <c r="C41" s="331">
        <v>9424</v>
      </c>
      <c r="D41" s="331">
        <v>37</v>
      </c>
      <c r="E41" s="331">
        <v>286</v>
      </c>
      <c r="F41" s="331">
        <v>686</v>
      </c>
      <c r="G41" s="331">
        <v>280</v>
      </c>
      <c r="H41" s="331">
        <v>10713</v>
      </c>
      <c r="I41" s="330">
        <v>10433</v>
      </c>
      <c r="J41" s="330">
        <v>40</v>
      </c>
      <c r="K41" s="332">
        <v>98.67</v>
      </c>
      <c r="L41" s="332">
        <v>98.71</v>
      </c>
      <c r="M41" s="332">
        <v>2.94</v>
      </c>
      <c r="N41" s="332">
        <v>99.46</v>
      </c>
      <c r="O41" s="333">
        <v>8919</v>
      </c>
      <c r="P41" s="330">
        <v>87.9</v>
      </c>
      <c r="Q41" s="330">
        <v>86.01</v>
      </c>
      <c r="R41" s="330">
        <v>33.43</v>
      </c>
      <c r="S41" s="330">
        <v>120.73</v>
      </c>
      <c r="T41" s="330">
        <v>793</v>
      </c>
      <c r="U41" s="330">
        <v>131.53</v>
      </c>
      <c r="V41" s="330">
        <v>473</v>
      </c>
      <c r="W41" s="330">
        <v>118.38</v>
      </c>
      <c r="X41" s="330">
        <v>4</v>
      </c>
      <c r="Y41" s="330">
        <v>0</v>
      </c>
      <c r="Z41" s="330">
        <v>24</v>
      </c>
      <c r="AA41" s="330">
        <v>3</v>
      </c>
      <c r="AB41" s="330">
        <v>11</v>
      </c>
      <c r="AC41" s="330">
        <v>7</v>
      </c>
      <c r="AD41" s="334">
        <v>9420</v>
      </c>
      <c r="AE41" s="334">
        <v>10</v>
      </c>
      <c r="AF41" s="334">
        <v>41</v>
      </c>
      <c r="AG41" s="334">
        <v>51</v>
      </c>
    </row>
    <row r="42" spans="1:33" x14ac:dyDescent="0.25">
      <c r="A42" s="329" t="s">
        <v>142</v>
      </c>
      <c r="B42" s="335" t="s">
        <v>143</v>
      </c>
      <c r="C42" s="331">
        <v>7090</v>
      </c>
      <c r="D42" s="331">
        <v>0</v>
      </c>
      <c r="E42" s="331">
        <v>215</v>
      </c>
      <c r="F42" s="331">
        <v>1029</v>
      </c>
      <c r="G42" s="331">
        <v>216</v>
      </c>
      <c r="H42" s="331">
        <v>8550</v>
      </c>
      <c r="I42" s="330">
        <v>8334</v>
      </c>
      <c r="J42" s="330">
        <v>20</v>
      </c>
      <c r="K42" s="332">
        <v>90.88</v>
      </c>
      <c r="L42" s="332">
        <v>89.28</v>
      </c>
      <c r="M42" s="332">
        <v>3.04</v>
      </c>
      <c r="N42" s="332">
        <v>91.5</v>
      </c>
      <c r="O42" s="333">
        <v>6740</v>
      </c>
      <c r="P42" s="330">
        <v>80.72</v>
      </c>
      <c r="Q42" s="330">
        <v>79.27</v>
      </c>
      <c r="R42" s="330">
        <v>23.36</v>
      </c>
      <c r="S42" s="330">
        <v>103.18</v>
      </c>
      <c r="T42" s="330">
        <v>1205</v>
      </c>
      <c r="U42" s="330">
        <v>113.58</v>
      </c>
      <c r="V42" s="330">
        <v>273</v>
      </c>
      <c r="W42" s="330">
        <v>0</v>
      </c>
      <c r="X42" s="330">
        <v>0</v>
      </c>
      <c r="Y42" s="330">
        <v>0</v>
      </c>
      <c r="Z42" s="330">
        <v>9</v>
      </c>
      <c r="AA42" s="330">
        <v>3</v>
      </c>
      <c r="AB42" s="330">
        <v>1</v>
      </c>
      <c r="AC42" s="330">
        <v>8</v>
      </c>
      <c r="AD42" s="334">
        <v>7086</v>
      </c>
      <c r="AE42" s="334">
        <v>39</v>
      </c>
      <c r="AF42" s="334">
        <v>10</v>
      </c>
      <c r="AG42" s="334">
        <v>49</v>
      </c>
    </row>
    <row r="43" spans="1:33" x14ac:dyDescent="0.25">
      <c r="A43" s="329" t="s">
        <v>144</v>
      </c>
      <c r="B43" s="335" t="s">
        <v>145</v>
      </c>
      <c r="C43" s="331">
        <v>15702</v>
      </c>
      <c r="D43" s="331">
        <v>168</v>
      </c>
      <c r="E43" s="331">
        <v>986</v>
      </c>
      <c r="F43" s="331">
        <v>969</v>
      </c>
      <c r="G43" s="331">
        <v>2430</v>
      </c>
      <c r="H43" s="331">
        <v>20255</v>
      </c>
      <c r="I43" s="330">
        <v>17825</v>
      </c>
      <c r="J43" s="330">
        <v>108</v>
      </c>
      <c r="K43" s="332">
        <v>136.19</v>
      </c>
      <c r="L43" s="332">
        <v>128.65</v>
      </c>
      <c r="M43" s="332">
        <v>10.08</v>
      </c>
      <c r="N43" s="332">
        <v>142.96</v>
      </c>
      <c r="O43" s="333">
        <v>12255</v>
      </c>
      <c r="P43" s="330">
        <v>109.53</v>
      </c>
      <c r="Q43" s="330">
        <v>104.61</v>
      </c>
      <c r="R43" s="330">
        <v>50.48</v>
      </c>
      <c r="S43" s="330">
        <v>154.97999999999999</v>
      </c>
      <c r="T43" s="330">
        <v>893</v>
      </c>
      <c r="U43" s="330">
        <v>209.49</v>
      </c>
      <c r="V43" s="330">
        <v>969</v>
      </c>
      <c r="W43" s="330">
        <v>199.62</v>
      </c>
      <c r="X43" s="330">
        <v>40</v>
      </c>
      <c r="Y43" s="330">
        <v>18</v>
      </c>
      <c r="Z43" s="330">
        <v>12</v>
      </c>
      <c r="AA43" s="330">
        <v>29</v>
      </c>
      <c r="AB43" s="330">
        <v>301</v>
      </c>
      <c r="AC43" s="330">
        <v>95</v>
      </c>
      <c r="AD43" s="334">
        <v>14175</v>
      </c>
      <c r="AE43" s="334">
        <v>44</v>
      </c>
      <c r="AF43" s="334">
        <v>110</v>
      </c>
      <c r="AG43" s="334">
        <v>154</v>
      </c>
    </row>
    <row r="44" spans="1:33" x14ac:dyDescent="0.25">
      <c r="A44" s="329" t="s">
        <v>146</v>
      </c>
      <c r="B44" s="335" t="s">
        <v>147</v>
      </c>
      <c r="C44" s="331">
        <v>753</v>
      </c>
      <c r="D44" s="331">
        <v>7</v>
      </c>
      <c r="E44" s="331">
        <v>119</v>
      </c>
      <c r="F44" s="331">
        <v>162</v>
      </c>
      <c r="G44" s="331">
        <v>165</v>
      </c>
      <c r="H44" s="331">
        <v>1206</v>
      </c>
      <c r="I44" s="330">
        <v>1041</v>
      </c>
      <c r="J44" s="330">
        <v>12</v>
      </c>
      <c r="K44" s="332">
        <v>120.17</v>
      </c>
      <c r="L44" s="332">
        <v>117.69</v>
      </c>
      <c r="M44" s="332">
        <v>7.75</v>
      </c>
      <c r="N44" s="332">
        <v>126.99</v>
      </c>
      <c r="O44" s="333">
        <v>525</v>
      </c>
      <c r="P44" s="330">
        <v>95.75</v>
      </c>
      <c r="Q44" s="330">
        <v>85.17</v>
      </c>
      <c r="R44" s="330">
        <v>47.2</v>
      </c>
      <c r="S44" s="330">
        <v>142.94</v>
      </c>
      <c r="T44" s="330">
        <v>281</v>
      </c>
      <c r="U44" s="330">
        <v>144.54</v>
      </c>
      <c r="V44" s="330">
        <v>73</v>
      </c>
      <c r="W44" s="330">
        <v>0</v>
      </c>
      <c r="X44" s="330">
        <v>0</v>
      </c>
      <c r="Y44" s="330">
        <v>0</v>
      </c>
      <c r="Z44" s="330">
        <v>0</v>
      </c>
      <c r="AA44" s="330">
        <v>0</v>
      </c>
      <c r="AB44" s="330">
        <v>1</v>
      </c>
      <c r="AC44" s="330">
        <v>12</v>
      </c>
      <c r="AD44" s="334">
        <v>601</v>
      </c>
      <c r="AE44" s="334">
        <v>2</v>
      </c>
      <c r="AF44" s="334">
        <v>1</v>
      </c>
      <c r="AG44" s="334">
        <v>3</v>
      </c>
    </row>
    <row r="45" spans="1:33" x14ac:dyDescent="0.25">
      <c r="A45" s="329" t="s">
        <v>148</v>
      </c>
      <c r="B45" s="335" t="s">
        <v>149</v>
      </c>
      <c r="C45" s="331">
        <v>4691</v>
      </c>
      <c r="D45" s="331">
        <v>65</v>
      </c>
      <c r="E45" s="331">
        <v>1043</v>
      </c>
      <c r="F45" s="331">
        <v>1025</v>
      </c>
      <c r="G45" s="331">
        <v>840</v>
      </c>
      <c r="H45" s="331">
        <v>7664</v>
      </c>
      <c r="I45" s="330">
        <v>6824</v>
      </c>
      <c r="J45" s="330">
        <v>6</v>
      </c>
      <c r="K45" s="332">
        <v>100.04</v>
      </c>
      <c r="L45" s="332">
        <v>99.98</v>
      </c>
      <c r="M45" s="332">
        <v>9.61</v>
      </c>
      <c r="N45" s="332">
        <v>107.86</v>
      </c>
      <c r="O45" s="333">
        <v>3863</v>
      </c>
      <c r="P45" s="330">
        <v>86.56</v>
      </c>
      <c r="Q45" s="330">
        <v>84.58</v>
      </c>
      <c r="R45" s="330">
        <v>43</v>
      </c>
      <c r="S45" s="330">
        <v>126.84</v>
      </c>
      <c r="T45" s="330">
        <v>1249</v>
      </c>
      <c r="U45" s="330">
        <v>162.88</v>
      </c>
      <c r="V45" s="330">
        <v>377</v>
      </c>
      <c r="W45" s="330">
        <v>186.26</v>
      </c>
      <c r="X45" s="330">
        <v>9</v>
      </c>
      <c r="Y45" s="330">
        <v>0</v>
      </c>
      <c r="Z45" s="330">
        <v>17</v>
      </c>
      <c r="AA45" s="330">
        <v>6</v>
      </c>
      <c r="AB45" s="330">
        <v>71</v>
      </c>
      <c r="AC45" s="330">
        <v>27</v>
      </c>
      <c r="AD45" s="334">
        <v>4304</v>
      </c>
      <c r="AE45" s="334">
        <v>34</v>
      </c>
      <c r="AF45" s="334">
        <v>24</v>
      </c>
      <c r="AG45" s="334">
        <v>58</v>
      </c>
    </row>
    <row r="46" spans="1:33" x14ac:dyDescent="0.25">
      <c r="A46" s="329" t="s">
        <v>150</v>
      </c>
      <c r="B46" s="335" t="s">
        <v>151</v>
      </c>
      <c r="C46" s="331">
        <v>8239</v>
      </c>
      <c r="D46" s="331">
        <v>9</v>
      </c>
      <c r="E46" s="331">
        <v>1458</v>
      </c>
      <c r="F46" s="331">
        <v>2206</v>
      </c>
      <c r="G46" s="331">
        <v>1037</v>
      </c>
      <c r="H46" s="331">
        <v>12949</v>
      </c>
      <c r="I46" s="330">
        <v>11912</v>
      </c>
      <c r="J46" s="330">
        <v>40</v>
      </c>
      <c r="K46" s="332">
        <v>98.66</v>
      </c>
      <c r="L46" s="332">
        <v>97.69</v>
      </c>
      <c r="M46" s="332">
        <v>7</v>
      </c>
      <c r="N46" s="332">
        <v>103.84</v>
      </c>
      <c r="O46" s="333">
        <v>6282</v>
      </c>
      <c r="P46" s="330">
        <v>89.11</v>
      </c>
      <c r="Q46" s="330">
        <v>88.62</v>
      </c>
      <c r="R46" s="330">
        <v>35.65</v>
      </c>
      <c r="S46" s="330">
        <v>124.35</v>
      </c>
      <c r="T46" s="330">
        <v>3037</v>
      </c>
      <c r="U46" s="330">
        <v>128.56</v>
      </c>
      <c r="V46" s="330">
        <v>744</v>
      </c>
      <c r="W46" s="330">
        <v>116.46</v>
      </c>
      <c r="X46" s="330">
        <v>5</v>
      </c>
      <c r="Y46" s="330">
        <v>0</v>
      </c>
      <c r="Z46" s="330">
        <v>6</v>
      </c>
      <c r="AA46" s="330">
        <v>15</v>
      </c>
      <c r="AB46" s="330">
        <v>25</v>
      </c>
      <c r="AC46" s="330">
        <v>37</v>
      </c>
      <c r="AD46" s="334">
        <v>7221</v>
      </c>
      <c r="AE46" s="334">
        <v>25</v>
      </c>
      <c r="AF46" s="334">
        <v>29</v>
      </c>
      <c r="AG46" s="334">
        <v>54</v>
      </c>
    </row>
    <row r="47" spans="1:33" x14ac:dyDescent="0.25">
      <c r="A47" s="329" t="s">
        <v>152</v>
      </c>
      <c r="B47" s="335" t="s">
        <v>153</v>
      </c>
      <c r="C47" s="331">
        <v>4384</v>
      </c>
      <c r="D47" s="331">
        <v>0</v>
      </c>
      <c r="E47" s="331">
        <v>190</v>
      </c>
      <c r="F47" s="331">
        <v>537</v>
      </c>
      <c r="G47" s="331">
        <v>298</v>
      </c>
      <c r="H47" s="331">
        <v>5409</v>
      </c>
      <c r="I47" s="330">
        <v>5111</v>
      </c>
      <c r="J47" s="330">
        <v>8</v>
      </c>
      <c r="K47" s="332">
        <v>94.86</v>
      </c>
      <c r="L47" s="332">
        <v>91.16</v>
      </c>
      <c r="M47" s="332">
        <v>1.92</v>
      </c>
      <c r="N47" s="332">
        <v>95.57</v>
      </c>
      <c r="O47" s="333">
        <v>3676</v>
      </c>
      <c r="P47" s="330">
        <v>90.29</v>
      </c>
      <c r="Q47" s="330">
        <v>77.88</v>
      </c>
      <c r="R47" s="330">
        <v>22.11</v>
      </c>
      <c r="S47" s="330">
        <v>112.16</v>
      </c>
      <c r="T47" s="330">
        <v>717</v>
      </c>
      <c r="U47" s="330">
        <v>106.59</v>
      </c>
      <c r="V47" s="330">
        <v>651</v>
      </c>
      <c r="W47" s="330">
        <v>0</v>
      </c>
      <c r="X47" s="330">
        <v>0</v>
      </c>
      <c r="Y47" s="330">
        <v>0</v>
      </c>
      <c r="Z47" s="330">
        <v>4</v>
      </c>
      <c r="AA47" s="330">
        <v>9</v>
      </c>
      <c r="AB47" s="330">
        <v>20</v>
      </c>
      <c r="AC47" s="330">
        <v>9</v>
      </c>
      <c r="AD47" s="334">
        <v>4384</v>
      </c>
      <c r="AE47" s="334">
        <v>41</v>
      </c>
      <c r="AF47" s="334">
        <v>7</v>
      </c>
      <c r="AG47" s="334">
        <v>48</v>
      </c>
    </row>
    <row r="48" spans="1:33" x14ac:dyDescent="0.25">
      <c r="A48" s="329" t="s">
        <v>154</v>
      </c>
      <c r="B48" s="335" t="s">
        <v>155</v>
      </c>
      <c r="C48" s="331">
        <v>15996</v>
      </c>
      <c r="D48" s="331">
        <v>71</v>
      </c>
      <c r="E48" s="331">
        <v>609</v>
      </c>
      <c r="F48" s="331">
        <v>2200</v>
      </c>
      <c r="G48" s="331">
        <v>905</v>
      </c>
      <c r="H48" s="331">
        <v>19781</v>
      </c>
      <c r="I48" s="330">
        <v>18876</v>
      </c>
      <c r="J48" s="330">
        <v>26</v>
      </c>
      <c r="K48" s="332">
        <v>118.13</v>
      </c>
      <c r="L48" s="332">
        <v>118.49</v>
      </c>
      <c r="M48" s="332">
        <v>12.28</v>
      </c>
      <c r="N48" s="332">
        <v>125.06</v>
      </c>
      <c r="O48" s="333">
        <v>13463</v>
      </c>
      <c r="P48" s="330">
        <v>106.76</v>
      </c>
      <c r="Q48" s="330">
        <v>106.47</v>
      </c>
      <c r="R48" s="330">
        <v>41.23</v>
      </c>
      <c r="S48" s="330">
        <v>146.63999999999999</v>
      </c>
      <c r="T48" s="330">
        <v>2316</v>
      </c>
      <c r="U48" s="330">
        <v>171.54</v>
      </c>
      <c r="V48" s="330">
        <v>1414</v>
      </c>
      <c r="W48" s="330">
        <v>0</v>
      </c>
      <c r="X48" s="330">
        <v>0</v>
      </c>
      <c r="Y48" s="330">
        <v>27</v>
      </c>
      <c r="Z48" s="330">
        <v>15</v>
      </c>
      <c r="AA48" s="330">
        <v>20</v>
      </c>
      <c r="AB48" s="330">
        <v>57</v>
      </c>
      <c r="AC48" s="330">
        <v>39</v>
      </c>
      <c r="AD48" s="334">
        <v>15193</v>
      </c>
      <c r="AE48" s="334">
        <v>148</v>
      </c>
      <c r="AF48" s="334">
        <v>44</v>
      </c>
      <c r="AG48" s="334">
        <v>192</v>
      </c>
    </row>
    <row r="49" spans="1:33" x14ac:dyDescent="0.25">
      <c r="A49" s="329" t="s">
        <v>156</v>
      </c>
      <c r="B49" s="335" t="s">
        <v>157</v>
      </c>
      <c r="C49" s="331">
        <v>3189</v>
      </c>
      <c r="D49" s="331">
        <v>0</v>
      </c>
      <c r="E49" s="331">
        <v>97</v>
      </c>
      <c r="F49" s="331">
        <v>991</v>
      </c>
      <c r="G49" s="331">
        <v>354</v>
      </c>
      <c r="H49" s="331">
        <v>4631</v>
      </c>
      <c r="I49" s="330">
        <v>4277</v>
      </c>
      <c r="J49" s="330">
        <v>0</v>
      </c>
      <c r="K49" s="332">
        <v>92.91</v>
      </c>
      <c r="L49" s="332">
        <v>92.92</v>
      </c>
      <c r="M49" s="332">
        <v>4.2699999999999996</v>
      </c>
      <c r="N49" s="332">
        <v>95.23</v>
      </c>
      <c r="O49" s="333">
        <v>2878</v>
      </c>
      <c r="P49" s="330">
        <v>83.31</v>
      </c>
      <c r="Q49" s="330">
        <v>85.57</v>
      </c>
      <c r="R49" s="330">
        <v>22.48</v>
      </c>
      <c r="S49" s="330">
        <v>105.64</v>
      </c>
      <c r="T49" s="330">
        <v>1013</v>
      </c>
      <c r="U49" s="330">
        <v>116.58</v>
      </c>
      <c r="V49" s="330">
        <v>264</v>
      </c>
      <c r="W49" s="330">
        <v>0</v>
      </c>
      <c r="X49" s="330">
        <v>0</v>
      </c>
      <c r="Y49" s="330">
        <v>0</v>
      </c>
      <c r="Z49" s="330">
        <v>7</v>
      </c>
      <c r="AA49" s="330">
        <v>1</v>
      </c>
      <c r="AB49" s="330">
        <v>44</v>
      </c>
      <c r="AC49" s="330">
        <v>10</v>
      </c>
      <c r="AD49" s="334">
        <v>3189</v>
      </c>
      <c r="AE49" s="334">
        <v>15</v>
      </c>
      <c r="AF49" s="334">
        <v>3</v>
      </c>
      <c r="AG49" s="334">
        <v>18</v>
      </c>
    </row>
    <row r="50" spans="1:33" x14ac:dyDescent="0.25">
      <c r="A50" s="329" t="s">
        <v>158</v>
      </c>
      <c r="B50" s="335" t="s">
        <v>159</v>
      </c>
      <c r="C50" s="331">
        <v>4334</v>
      </c>
      <c r="D50" s="331">
        <v>0</v>
      </c>
      <c r="E50" s="331">
        <v>178</v>
      </c>
      <c r="F50" s="331">
        <v>717</v>
      </c>
      <c r="G50" s="331">
        <v>383</v>
      </c>
      <c r="H50" s="331">
        <v>5612</v>
      </c>
      <c r="I50" s="330">
        <v>5229</v>
      </c>
      <c r="J50" s="330">
        <v>0</v>
      </c>
      <c r="K50" s="332">
        <v>117.23</v>
      </c>
      <c r="L50" s="332">
        <v>118.04</v>
      </c>
      <c r="M50" s="332">
        <v>6.59</v>
      </c>
      <c r="N50" s="332">
        <v>121.03</v>
      </c>
      <c r="O50" s="333">
        <v>3722</v>
      </c>
      <c r="P50" s="330">
        <v>105.85</v>
      </c>
      <c r="Q50" s="330">
        <v>109.2</v>
      </c>
      <c r="R50" s="330">
        <v>27.36</v>
      </c>
      <c r="S50" s="330">
        <v>129.03</v>
      </c>
      <c r="T50" s="330">
        <v>881</v>
      </c>
      <c r="U50" s="330">
        <v>158.46</v>
      </c>
      <c r="V50" s="330">
        <v>507</v>
      </c>
      <c r="W50" s="330">
        <v>145.88999999999999</v>
      </c>
      <c r="X50" s="330">
        <v>13</v>
      </c>
      <c r="Y50" s="330">
        <v>0</v>
      </c>
      <c r="Z50" s="330">
        <v>24</v>
      </c>
      <c r="AA50" s="330">
        <v>3</v>
      </c>
      <c r="AB50" s="330">
        <v>34</v>
      </c>
      <c r="AC50" s="330">
        <v>4</v>
      </c>
      <c r="AD50" s="334">
        <v>4334</v>
      </c>
      <c r="AE50" s="334">
        <v>8</v>
      </c>
      <c r="AF50" s="334">
        <v>18</v>
      </c>
      <c r="AG50" s="334">
        <v>26</v>
      </c>
    </row>
    <row r="51" spans="1:33" x14ac:dyDescent="0.25">
      <c r="A51" s="329" t="s">
        <v>160</v>
      </c>
      <c r="B51" s="335" t="s">
        <v>161</v>
      </c>
      <c r="C51" s="331">
        <v>1053</v>
      </c>
      <c r="D51" s="331">
        <v>0</v>
      </c>
      <c r="E51" s="331">
        <v>92</v>
      </c>
      <c r="F51" s="331">
        <v>120</v>
      </c>
      <c r="G51" s="331">
        <v>83</v>
      </c>
      <c r="H51" s="331">
        <v>1348</v>
      </c>
      <c r="I51" s="330">
        <v>1265</v>
      </c>
      <c r="J51" s="330">
        <v>7</v>
      </c>
      <c r="K51" s="332">
        <v>82.43</v>
      </c>
      <c r="L51" s="332">
        <v>80.47</v>
      </c>
      <c r="M51" s="332">
        <v>7.13</v>
      </c>
      <c r="N51" s="332">
        <v>88.34</v>
      </c>
      <c r="O51" s="333">
        <v>928</v>
      </c>
      <c r="P51" s="330">
        <v>86.7</v>
      </c>
      <c r="Q51" s="330">
        <v>66.680000000000007</v>
      </c>
      <c r="R51" s="330">
        <v>37.93</v>
      </c>
      <c r="S51" s="330">
        <v>121.83</v>
      </c>
      <c r="T51" s="330">
        <v>149</v>
      </c>
      <c r="U51" s="330">
        <v>97.71</v>
      </c>
      <c r="V51" s="330">
        <v>104</v>
      </c>
      <c r="W51" s="330">
        <v>177.73</v>
      </c>
      <c r="X51" s="330">
        <v>29</v>
      </c>
      <c r="Y51" s="330">
        <v>0</v>
      </c>
      <c r="Z51" s="330">
        <v>0</v>
      </c>
      <c r="AA51" s="330">
        <v>2</v>
      </c>
      <c r="AB51" s="330">
        <v>10</v>
      </c>
      <c r="AC51" s="330">
        <v>2</v>
      </c>
      <c r="AD51" s="334">
        <v>1047</v>
      </c>
      <c r="AE51" s="334">
        <v>8</v>
      </c>
      <c r="AF51" s="334">
        <v>5</v>
      </c>
      <c r="AG51" s="334">
        <v>13</v>
      </c>
    </row>
    <row r="52" spans="1:33" x14ac:dyDescent="0.25">
      <c r="A52" s="329" t="s">
        <v>775</v>
      </c>
      <c r="B52" s="335" t="s">
        <v>770</v>
      </c>
      <c r="C52" s="331">
        <v>23439</v>
      </c>
      <c r="D52" s="331">
        <v>29</v>
      </c>
      <c r="E52" s="331">
        <v>961</v>
      </c>
      <c r="F52" s="331">
        <v>3821</v>
      </c>
      <c r="G52" s="331">
        <v>1988</v>
      </c>
      <c r="H52" s="331">
        <v>30238</v>
      </c>
      <c r="I52" s="330">
        <v>28250</v>
      </c>
      <c r="J52" s="330">
        <v>37</v>
      </c>
      <c r="K52" s="332">
        <v>113.24</v>
      </c>
      <c r="L52" s="332">
        <v>114.7</v>
      </c>
      <c r="M52" s="332">
        <v>3.95</v>
      </c>
      <c r="N52" s="332">
        <v>115.66</v>
      </c>
      <c r="O52" s="333">
        <v>21075</v>
      </c>
      <c r="P52" s="330">
        <v>101.13</v>
      </c>
      <c r="Q52" s="330">
        <v>98.64</v>
      </c>
      <c r="R52" s="330">
        <v>23.5</v>
      </c>
      <c r="S52" s="330">
        <v>122.1</v>
      </c>
      <c r="T52" s="330">
        <v>4435</v>
      </c>
      <c r="U52" s="330">
        <v>153.93</v>
      </c>
      <c r="V52" s="330">
        <v>1994</v>
      </c>
      <c r="W52" s="330">
        <v>147.88</v>
      </c>
      <c r="X52" s="330">
        <v>40</v>
      </c>
      <c r="Y52" s="330">
        <v>24</v>
      </c>
      <c r="Z52" s="330">
        <v>67</v>
      </c>
      <c r="AA52" s="330">
        <v>22</v>
      </c>
      <c r="AB52" s="330">
        <v>108</v>
      </c>
      <c r="AC52" s="330">
        <v>70</v>
      </c>
      <c r="AD52" s="334">
        <v>23116</v>
      </c>
      <c r="AE52" s="334">
        <v>67</v>
      </c>
      <c r="AF52" s="334">
        <v>152</v>
      </c>
      <c r="AG52" s="334">
        <v>219</v>
      </c>
    </row>
    <row r="53" spans="1:33" x14ac:dyDescent="0.25">
      <c r="A53" s="329" t="s">
        <v>162</v>
      </c>
      <c r="B53" s="335" t="s">
        <v>163</v>
      </c>
      <c r="C53" s="331">
        <v>4142</v>
      </c>
      <c r="D53" s="331">
        <v>0</v>
      </c>
      <c r="E53" s="331">
        <v>182</v>
      </c>
      <c r="F53" s="331">
        <v>1574</v>
      </c>
      <c r="G53" s="331">
        <v>12</v>
      </c>
      <c r="H53" s="331">
        <v>5910</v>
      </c>
      <c r="I53" s="330">
        <v>5898</v>
      </c>
      <c r="J53" s="330">
        <v>16</v>
      </c>
      <c r="K53" s="332">
        <v>82.9</v>
      </c>
      <c r="L53" s="332">
        <v>79.989999999999995</v>
      </c>
      <c r="M53" s="332">
        <v>2.2799999999999998</v>
      </c>
      <c r="N53" s="332">
        <v>84.97</v>
      </c>
      <c r="O53" s="333">
        <v>3869</v>
      </c>
      <c r="P53" s="330">
        <v>78.180000000000007</v>
      </c>
      <c r="Q53" s="330">
        <v>69.83</v>
      </c>
      <c r="R53" s="330">
        <v>17.079999999999998</v>
      </c>
      <c r="S53" s="330">
        <v>94.85</v>
      </c>
      <c r="T53" s="330">
        <v>1672</v>
      </c>
      <c r="U53" s="330">
        <v>97.8</v>
      </c>
      <c r="V53" s="330">
        <v>266</v>
      </c>
      <c r="W53" s="330">
        <v>87.36</v>
      </c>
      <c r="X53" s="330">
        <v>1</v>
      </c>
      <c r="Y53" s="330">
        <v>0</v>
      </c>
      <c r="Z53" s="330">
        <v>18</v>
      </c>
      <c r="AA53" s="330">
        <v>13</v>
      </c>
      <c r="AB53" s="330">
        <v>0</v>
      </c>
      <c r="AC53" s="330">
        <v>0</v>
      </c>
      <c r="AD53" s="334">
        <v>4142</v>
      </c>
      <c r="AE53" s="334">
        <v>64</v>
      </c>
      <c r="AF53" s="334">
        <v>8</v>
      </c>
      <c r="AG53" s="334">
        <v>72</v>
      </c>
    </row>
    <row r="54" spans="1:33" x14ac:dyDescent="0.25">
      <c r="A54" s="329" t="s">
        <v>164</v>
      </c>
      <c r="B54" s="335" t="s">
        <v>165</v>
      </c>
      <c r="C54" s="331">
        <v>3727</v>
      </c>
      <c r="D54" s="331">
        <v>0</v>
      </c>
      <c r="E54" s="331">
        <v>319</v>
      </c>
      <c r="F54" s="331">
        <v>593</v>
      </c>
      <c r="G54" s="331">
        <v>144</v>
      </c>
      <c r="H54" s="331">
        <v>4783</v>
      </c>
      <c r="I54" s="330">
        <v>4639</v>
      </c>
      <c r="J54" s="330">
        <v>0</v>
      </c>
      <c r="K54" s="332">
        <v>83.88</v>
      </c>
      <c r="L54" s="332">
        <v>83.21</v>
      </c>
      <c r="M54" s="332">
        <v>5.59</v>
      </c>
      <c r="N54" s="332">
        <v>86.97</v>
      </c>
      <c r="O54" s="333">
        <v>3108</v>
      </c>
      <c r="P54" s="330">
        <v>85.54</v>
      </c>
      <c r="Q54" s="330">
        <v>78.650000000000006</v>
      </c>
      <c r="R54" s="330">
        <v>33.700000000000003</v>
      </c>
      <c r="S54" s="330">
        <v>116.83</v>
      </c>
      <c r="T54" s="330">
        <v>742</v>
      </c>
      <c r="U54" s="330">
        <v>105.76</v>
      </c>
      <c r="V54" s="330">
        <v>347</v>
      </c>
      <c r="W54" s="330">
        <v>87.69</v>
      </c>
      <c r="X54" s="330">
        <v>1</v>
      </c>
      <c r="Y54" s="330">
        <v>0</v>
      </c>
      <c r="Z54" s="330">
        <v>7</v>
      </c>
      <c r="AA54" s="330">
        <v>6</v>
      </c>
      <c r="AB54" s="330">
        <v>0</v>
      </c>
      <c r="AC54" s="330">
        <v>1</v>
      </c>
      <c r="AD54" s="334">
        <v>3421</v>
      </c>
      <c r="AE54" s="334">
        <v>13</v>
      </c>
      <c r="AF54" s="334">
        <v>26</v>
      </c>
      <c r="AG54" s="334">
        <v>39</v>
      </c>
    </row>
    <row r="55" spans="1:33" x14ac:dyDescent="0.25">
      <c r="A55" s="329" t="s">
        <v>166</v>
      </c>
      <c r="B55" s="335" t="s">
        <v>167</v>
      </c>
      <c r="C55" s="331">
        <v>12823</v>
      </c>
      <c r="D55" s="331">
        <v>0</v>
      </c>
      <c r="E55" s="331">
        <v>243</v>
      </c>
      <c r="F55" s="331">
        <v>1159</v>
      </c>
      <c r="G55" s="331">
        <v>280</v>
      </c>
      <c r="H55" s="331">
        <v>14505</v>
      </c>
      <c r="I55" s="330">
        <v>14225</v>
      </c>
      <c r="J55" s="330">
        <v>22</v>
      </c>
      <c r="K55" s="332">
        <v>79.36</v>
      </c>
      <c r="L55" s="332">
        <v>81.75</v>
      </c>
      <c r="M55" s="332">
        <v>6.46</v>
      </c>
      <c r="N55" s="332">
        <v>85.51</v>
      </c>
      <c r="O55" s="333">
        <v>12375</v>
      </c>
      <c r="P55" s="330">
        <v>83.4</v>
      </c>
      <c r="Q55" s="330">
        <v>77.290000000000006</v>
      </c>
      <c r="R55" s="330">
        <v>29.42</v>
      </c>
      <c r="S55" s="330">
        <v>112.68</v>
      </c>
      <c r="T55" s="330">
        <v>1281</v>
      </c>
      <c r="U55" s="330">
        <v>97.67</v>
      </c>
      <c r="V55" s="330">
        <v>375</v>
      </c>
      <c r="W55" s="330">
        <v>0</v>
      </c>
      <c r="X55" s="330">
        <v>0</v>
      </c>
      <c r="Y55" s="330">
        <v>0</v>
      </c>
      <c r="Z55" s="330">
        <v>29</v>
      </c>
      <c r="AA55" s="330">
        <v>6</v>
      </c>
      <c r="AB55" s="330">
        <v>5</v>
      </c>
      <c r="AC55" s="330">
        <v>9</v>
      </c>
      <c r="AD55" s="334">
        <v>12797</v>
      </c>
      <c r="AE55" s="334">
        <v>335</v>
      </c>
      <c r="AF55" s="334">
        <v>135</v>
      </c>
      <c r="AG55" s="334">
        <v>470</v>
      </c>
    </row>
    <row r="56" spans="1:33" x14ac:dyDescent="0.25">
      <c r="A56" s="329" t="s">
        <v>168</v>
      </c>
      <c r="B56" s="335" t="s">
        <v>169</v>
      </c>
      <c r="C56" s="331">
        <v>3354</v>
      </c>
      <c r="D56" s="331">
        <v>607</v>
      </c>
      <c r="E56" s="331">
        <v>530</v>
      </c>
      <c r="F56" s="331">
        <v>395</v>
      </c>
      <c r="G56" s="331">
        <v>445</v>
      </c>
      <c r="H56" s="331">
        <v>5331</v>
      </c>
      <c r="I56" s="330">
        <v>4886</v>
      </c>
      <c r="J56" s="330">
        <v>3</v>
      </c>
      <c r="K56" s="332">
        <v>112.14</v>
      </c>
      <c r="L56" s="332">
        <v>113.85</v>
      </c>
      <c r="M56" s="332">
        <v>6.61</v>
      </c>
      <c r="N56" s="332">
        <v>116.59</v>
      </c>
      <c r="O56" s="333">
        <v>2555</v>
      </c>
      <c r="P56" s="330">
        <v>91.23</v>
      </c>
      <c r="Q56" s="330">
        <v>91.09</v>
      </c>
      <c r="R56" s="330">
        <v>52.77</v>
      </c>
      <c r="S56" s="330">
        <v>140.75</v>
      </c>
      <c r="T56" s="330">
        <v>778</v>
      </c>
      <c r="U56" s="330">
        <v>150.71</v>
      </c>
      <c r="V56" s="330">
        <v>424</v>
      </c>
      <c r="W56" s="330">
        <v>142</v>
      </c>
      <c r="X56" s="330">
        <v>19</v>
      </c>
      <c r="Y56" s="330">
        <v>52</v>
      </c>
      <c r="Z56" s="330">
        <v>1</v>
      </c>
      <c r="AA56" s="330">
        <v>4</v>
      </c>
      <c r="AB56" s="330">
        <v>27</v>
      </c>
      <c r="AC56" s="330">
        <v>76</v>
      </c>
      <c r="AD56" s="334">
        <v>3081</v>
      </c>
      <c r="AE56" s="334">
        <v>40</v>
      </c>
      <c r="AF56" s="334">
        <v>17</v>
      </c>
      <c r="AG56" s="334">
        <v>57</v>
      </c>
    </row>
    <row r="57" spans="1:33" x14ac:dyDescent="0.25">
      <c r="A57" s="329" t="s">
        <v>170</v>
      </c>
      <c r="B57" s="335" t="s">
        <v>171</v>
      </c>
      <c r="C57" s="331">
        <v>7933</v>
      </c>
      <c r="D57" s="331">
        <v>716</v>
      </c>
      <c r="E57" s="331">
        <v>1607</v>
      </c>
      <c r="F57" s="331">
        <v>1004</v>
      </c>
      <c r="G57" s="331">
        <v>591</v>
      </c>
      <c r="H57" s="331">
        <v>11851</v>
      </c>
      <c r="I57" s="330">
        <v>11260</v>
      </c>
      <c r="J57" s="330">
        <v>77</v>
      </c>
      <c r="K57" s="332">
        <v>134.18</v>
      </c>
      <c r="L57" s="332">
        <v>141.59</v>
      </c>
      <c r="M57" s="332">
        <v>11.16</v>
      </c>
      <c r="N57" s="332">
        <v>143.24</v>
      </c>
      <c r="O57" s="333">
        <v>6201</v>
      </c>
      <c r="P57" s="330">
        <v>111.79</v>
      </c>
      <c r="Q57" s="330">
        <v>112.8</v>
      </c>
      <c r="R57" s="330">
        <v>55.63</v>
      </c>
      <c r="S57" s="330">
        <v>159.69</v>
      </c>
      <c r="T57" s="330">
        <v>2439</v>
      </c>
      <c r="U57" s="330">
        <v>215.66</v>
      </c>
      <c r="V57" s="330">
        <v>207</v>
      </c>
      <c r="W57" s="330">
        <v>0</v>
      </c>
      <c r="X57" s="330">
        <v>0</v>
      </c>
      <c r="Y57" s="330">
        <v>0</v>
      </c>
      <c r="Z57" s="330">
        <v>3</v>
      </c>
      <c r="AA57" s="330">
        <v>7</v>
      </c>
      <c r="AB57" s="330">
        <v>8</v>
      </c>
      <c r="AC57" s="330">
        <v>32</v>
      </c>
      <c r="AD57" s="334">
        <v>6550</v>
      </c>
      <c r="AE57" s="334">
        <v>43</v>
      </c>
      <c r="AF57" s="334">
        <v>53</v>
      </c>
      <c r="AG57" s="334">
        <v>96</v>
      </c>
    </row>
    <row r="58" spans="1:33" x14ac:dyDescent="0.25">
      <c r="A58" s="329" t="s">
        <v>172</v>
      </c>
      <c r="B58" s="335" t="s">
        <v>173</v>
      </c>
      <c r="C58" s="331">
        <v>1300</v>
      </c>
      <c r="D58" s="331">
        <v>3</v>
      </c>
      <c r="E58" s="331">
        <v>210</v>
      </c>
      <c r="F58" s="331">
        <v>268</v>
      </c>
      <c r="G58" s="331">
        <v>228</v>
      </c>
      <c r="H58" s="331">
        <v>2009</v>
      </c>
      <c r="I58" s="330">
        <v>1781</v>
      </c>
      <c r="J58" s="330">
        <v>7</v>
      </c>
      <c r="K58" s="332">
        <v>91.89</v>
      </c>
      <c r="L58" s="332">
        <v>92.02</v>
      </c>
      <c r="M58" s="332">
        <v>4.8</v>
      </c>
      <c r="N58" s="332">
        <v>95.08</v>
      </c>
      <c r="O58" s="333">
        <v>1140</v>
      </c>
      <c r="P58" s="330">
        <v>86.29</v>
      </c>
      <c r="Q58" s="330">
        <v>86.1</v>
      </c>
      <c r="R58" s="330">
        <v>53.17</v>
      </c>
      <c r="S58" s="330">
        <v>137.72</v>
      </c>
      <c r="T58" s="330">
        <v>337</v>
      </c>
      <c r="U58" s="330">
        <v>111.72</v>
      </c>
      <c r="V58" s="330">
        <v>113</v>
      </c>
      <c r="W58" s="330">
        <v>160.38</v>
      </c>
      <c r="X58" s="330">
        <v>69</v>
      </c>
      <c r="Y58" s="330">
        <v>0</v>
      </c>
      <c r="Z58" s="330">
        <v>1</v>
      </c>
      <c r="AA58" s="330">
        <v>2</v>
      </c>
      <c r="AB58" s="330">
        <v>1</v>
      </c>
      <c r="AC58" s="330">
        <v>10</v>
      </c>
      <c r="AD58" s="334">
        <v>1281</v>
      </c>
      <c r="AE58" s="334">
        <v>6</v>
      </c>
      <c r="AF58" s="334">
        <v>0</v>
      </c>
      <c r="AG58" s="334">
        <v>6</v>
      </c>
    </row>
    <row r="59" spans="1:33" x14ac:dyDescent="0.25">
      <c r="A59" s="329" t="s">
        <v>174</v>
      </c>
      <c r="B59" s="335" t="s">
        <v>175</v>
      </c>
      <c r="C59" s="331">
        <v>1937</v>
      </c>
      <c r="D59" s="331">
        <v>0</v>
      </c>
      <c r="E59" s="331">
        <v>127</v>
      </c>
      <c r="F59" s="331">
        <v>380</v>
      </c>
      <c r="G59" s="331">
        <v>423</v>
      </c>
      <c r="H59" s="331">
        <v>2867</v>
      </c>
      <c r="I59" s="330">
        <v>2444</v>
      </c>
      <c r="J59" s="330">
        <v>0</v>
      </c>
      <c r="K59" s="332">
        <v>105.64</v>
      </c>
      <c r="L59" s="332">
        <v>106.93</v>
      </c>
      <c r="M59" s="332">
        <v>7.7</v>
      </c>
      <c r="N59" s="332">
        <v>111.98</v>
      </c>
      <c r="O59" s="333">
        <v>1378</v>
      </c>
      <c r="P59" s="330">
        <v>85.22</v>
      </c>
      <c r="Q59" s="330">
        <v>82.87</v>
      </c>
      <c r="R59" s="330">
        <v>47.77</v>
      </c>
      <c r="S59" s="330">
        <v>132.71</v>
      </c>
      <c r="T59" s="330">
        <v>497</v>
      </c>
      <c r="U59" s="330">
        <v>147.09</v>
      </c>
      <c r="V59" s="330">
        <v>270</v>
      </c>
      <c r="W59" s="330">
        <v>0</v>
      </c>
      <c r="X59" s="330">
        <v>0</v>
      </c>
      <c r="Y59" s="330">
        <v>0</v>
      </c>
      <c r="Z59" s="330">
        <v>7</v>
      </c>
      <c r="AA59" s="330">
        <v>2</v>
      </c>
      <c r="AB59" s="330">
        <v>4</v>
      </c>
      <c r="AC59" s="330">
        <v>10</v>
      </c>
      <c r="AD59" s="334">
        <v>1752</v>
      </c>
      <c r="AE59" s="334">
        <v>2</v>
      </c>
      <c r="AF59" s="334">
        <v>14</v>
      </c>
      <c r="AG59" s="334">
        <v>16</v>
      </c>
    </row>
    <row r="60" spans="1:33" x14ac:dyDescent="0.25">
      <c r="A60" s="329" t="s">
        <v>176</v>
      </c>
      <c r="B60" s="335" t="s">
        <v>177</v>
      </c>
      <c r="C60" s="331">
        <v>6971</v>
      </c>
      <c r="D60" s="331">
        <v>0</v>
      </c>
      <c r="E60" s="331">
        <v>242</v>
      </c>
      <c r="F60" s="331">
        <v>344</v>
      </c>
      <c r="G60" s="331">
        <v>353</v>
      </c>
      <c r="H60" s="331">
        <v>7910</v>
      </c>
      <c r="I60" s="330">
        <v>7557</v>
      </c>
      <c r="J60" s="330">
        <v>5</v>
      </c>
      <c r="K60" s="332">
        <v>85.14</v>
      </c>
      <c r="L60" s="332">
        <v>85.03</v>
      </c>
      <c r="M60" s="332">
        <v>2.94</v>
      </c>
      <c r="N60" s="332">
        <v>86.6</v>
      </c>
      <c r="O60" s="333">
        <v>6167</v>
      </c>
      <c r="P60" s="330">
        <v>81.63</v>
      </c>
      <c r="Q60" s="330">
        <v>78.27</v>
      </c>
      <c r="R60" s="330">
        <v>28.86</v>
      </c>
      <c r="S60" s="330">
        <v>105.53</v>
      </c>
      <c r="T60" s="330">
        <v>506</v>
      </c>
      <c r="U60" s="330">
        <v>93.31</v>
      </c>
      <c r="V60" s="330">
        <v>789</v>
      </c>
      <c r="W60" s="330">
        <v>93.13</v>
      </c>
      <c r="X60" s="330">
        <v>4</v>
      </c>
      <c r="Y60" s="330">
        <v>0</v>
      </c>
      <c r="Z60" s="330">
        <v>27</v>
      </c>
      <c r="AA60" s="330">
        <v>8</v>
      </c>
      <c r="AB60" s="330">
        <v>0</v>
      </c>
      <c r="AC60" s="330">
        <v>2</v>
      </c>
      <c r="AD60" s="334">
        <v>6961</v>
      </c>
      <c r="AE60" s="334">
        <v>68</v>
      </c>
      <c r="AF60" s="334">
        <v>31</v>
      </c>
      <c r="AG60" s="334">
        <v>99</v>
      </c>
    </row>
    <row r="61" spans="1:33" x14ac:dyDescent="0.25">
      <c r="A61" s="329" t="s">
        <v>178</v>
      </c>
      <c r="B61" s="335" t="s">
        <v>179</v>
      </c>
      <c r="C61" s="331">
        <v>442</v>
      </c>
      <c r="D61" s="331">
        <v>0</v>
      </c>
      <c r="E61" s="331">
        <v>52</v>
      </c>
      <c r="F61" s="331">
        <v>73</v>
      </c>
      <c r="G61" s="331">
        <v>85</v>
      </c>
      <c r="H61" s="331">
        <v>652</v>
      </c>
      <c r="I61" s="330">
        <v>567</v>
      </c>
      <c r="J61" s="330">
        <v>0</v>
      </c>
      <c r="K61" s="332">
        <v>109.72</v>
      </c>
      <c r="L61" s="332">
        <v>107.16</v>
      </c>
      <c r="M61" s="332">
        <v>6.08</v>
      </c>
      <c r="N61" s="332">
        <v>113.28</v>
      </c>
      <c r="O61" s="333">
        <v>381</v>
      </c>
      <c r="P61" s="330">
        <v>88.77</v>
      </c>
      <c r="Q61" s="330">
        <v>85.42</v>
      </c>
      <c r="R61" s="330">
        <v>54.71</v>
      </c>
      <c r="S61" s="330">
        <v>142.47999999999999</v>
      </c>
      <c r="T61" s="330">
        <v>109</v>
      </c>
      <c r="U61" s="330">
        <v>143.61000000000001</v>
      </c>
      <c r="V61" s="330">
        <v>49</v>
      </c>
      <c r="W61" s="330">
        <v>0</v>
      </c>
      <c r="X61" s="330">
        <v>0</v>
      </c>
      <c r="Y61" s="330">
        <v>12</v>
      </c>
      <c r="Z61" s="330">
        <v>0</v>
      </c>
      <c r="AA61" s="330">
        <v>18</v>
      </c>
      <c r="AB61" s="330">
        <v>3</v>
      </c>
      <c r="AC61" s="330">
        <v>0</v>
      </c>
      <c r="AD61" s="334">
        <v>442</v>
      </c>
      <c r="AE61" s="334">
        <v>1</v>
      </c>
      <c r="AF61" s="334">
        <v>0</v>
      </c>
      <c r="AG61" s="334">
        <v>1</v>
      </c>
    </row>
    <row r="62" spans="1:33" x14ac:dyDescent="0.25">
      <c r="A62" s="329" t="s">
        <v>180</v>
      </c>
      <c r="B62" s="335" t="s">
        <v>181</v>
      </c>
      <c r="C62" s="331">
        <v>7855</v>
      </c>
      <c r="D62" s="331">
        <v>0</v>
      </c>
      <c r="E62" s="331">
        <v>242</v>
      </c>
      <c r="F62" s="331">
        <v>1821</v>
      </c>
      <c r="G62" s="331">
        <v>1263</v>
      </c>
      <c r="H62" s="331">
        <v>11181</v>
      </c>
      <c r="I62" s="330">
        <v>9918</v>
      </c>
      <c r="J62" s="330">
        <v>15</v>
      </c>
      <c r="K62" s="332">
        <v>106.57</v>
      </c>
      <c r="L62" s="332">
        <v>107.42</v>
      </c>
      <c r="M62" s="332">
        <v>4.46</v>
      </c>
      <c r="N62" s="332">
        <v>107.93</v>
      </c>
      <c r="O62" s="333">
        <v>7173</v>
      </c>
      <c r="P62" s="330">
        <v>88.75</v>
      </c>
      <c r="Q62" s="330">
        <v>88.5</v>
      </c>
      <c r="R62" s="330">
        <v>23.12</v>
      </c>
      <c r="S62" s="330">
        <v>97.11</v>
      </c>
      <c r="T62" s="330">
        <v>1963</v>
      </c>
      <c r="U62" s="330">
        <v>136.41</v>
      </c>
      <c r="V62" s="330">
        <v>514</v>
      </c>
      <c r="W62" s="330">
        <v>91.71</v>
      </c>
      <c r="X62" s="330">
        <v>17</v>
      </c>
      <c r="Y62" s="330">
        <v>0</v>
      </c>
      <c r="Z62" s="330">
        <v>9</v>
      </c>
      <c r="AA62" s="330">
        <v>3</v>
      </c>
      <c r="AB62" s="330">
        <v>65</v>
      </c>
      <c r="AC62" s="330">
        <v>62</v>
      </c>
      <c r="AD62" s="334">
        <v>7750</v>
      </c>
      <c r="AE62" s="334">
        <v>42</v>
      </c>
      <c r="AF62" s="334">
        <v>8</v>
      </c>
      <c r="AG62" s="334">
        <v>50</v>
      </c>
    </row>
    <row r="63" spans="1:33" x14ac:dyDescent="0.25">
      <c r="A63" s="329" t="s">
        <v>182</v>
      </c>
      <c r="B63" s="335" t="s">
        <v>183</v>
      </c>
      <c r="C63" s="331">
        <v>2649</v>
      </c>
      <c r="D63" s="331">
        <v>0</v>
      </c>
      <c r="E63" s="331">
        <v>199</v>
      </c>
      <c r="F63" s="331">
        <v>297</v>
      </c>
      <c r="G63" s="331">
        <v>488</v>
      </c>
      <c r="H63" s="331">
        <v>3633</v>
      </c>
      <c r="I63" s="330">
        <v>3145</v>
      </c>
      <c r="J63" s="330">
        <v>1</v>
      </c>
      <c r="K63" s="332">
        <v>94.03</v>
      </c>
      <c r="L63" s="332">
        <v>92.54</v>
      </c>
      <c r="M63" s="332">
        <v>5.96</v>
      </c>
      <c r="N63" s="332">
        <v>98.53</v>
      </c>
      <c r="O63" s="333">
        <v>2273</v>
      </c>
      <c r="P63" s="330">
        <v>88.33</v>
      </c>
      <c r="Q63" s="330">
        <v>81.540000000000006</v>
      </c>
      <c r="R63" s="330">
        <v>47.7</v>
      </c>
      <c r="S63" s="330">
        <v>133.72</v>
      </c>
      <c r="T63" s="330">
        <v>454</v>
      </c>
      <c r="U63" s="330">
        <v>106.65</v>
      </c>
      <c r="V63" s="330">
        <v>306</v>
      </c>
      <c r="W63" s="330">
        <v>0</v>
      </c>
      <c r="X63" s="330">
        <v>0</v>
      </c>
      <c r="Y63" s="330">
        <v>0</v>
      </c>
      <c r="Z63" s="330">
        <v>1</v>
      </c>
      <c r="AA63" s="330">
        <v>22</v>
      </c>
      <c r="AB63" s="330">
        <v>51</v>
      </c>
      <c r="AC63" s="330">
        <v>17</v>
      </c>
      <c r="AD63" s="334">
        <v>2649</v>
      </c>
      <c r="AE63" s="334">
        <v>15</v>
      </c>
      <c r="AF63" s="334">
        <v>13</v>
      </c>
      <c r="AG63" s="334">
        <v>28</v>
      </c>
    </row>
    <row r="64" spans="1:33" x14ac:dyDescent="0.25">
      <c r="A64" s="329" t="s">
        <v>184</v>
      </c>
      <c r="B64" s="335" t="s">
        <v>185</v>
      </c>
      <c r="C64" s="331">
        <v>7079</v>
      </c>
      <c r="D64" s="331">
        <v>250</v>
      </c>
      <c r="E64" s="331">
        <v>1215</v>
      </c>
      <c r="F64" s="331">
        <v>1520</v>
      </c>
      <c r="G64" s="331">
        <v>412</v>
      </c>
      <c r="H64" s="331">
        <v>10476</v>
      </c>
      <c r="I64" s="330">
        <v>10064</v>
      </c>
      <c r="J64" s="330">
        <v>1</v>
      </c>
      <c r="K64" s="332">
        <v>107.07</v>
      </c>
      <c r="L64" s="332">
        <v>107.24</v>
      </c>
      <c r="M64" s="332">
        <v>6.12</v>
      </c>
      <c r="N64" s="332">
        <v>109.86</v>
      </c>
      <c r="O64" s="333">
        <v>6552</v>
      </c>
      <c r="P64" s="330">
        <v>92</v>
      </c>
      <c r="Q64" s="330">
        <v>91.52</v>
      </c>
      <c r="R64" s="330">
        <v>25.81</v>
      </c>
      <c r="S64" s="330">
        <v>109.15</v>
      </c>
      <c r="T64" s="330">
        <v>2647</v>
      </c>
      <c r="U64" s="330">
        <v>132.49</v>
      </c>
      <c r="V64" s="330">
        <v>372</v>
      </c>
      <c r="W64" s="330">
        <v>0</v>
      </c>
      <c r="X64" s="330">
        <v>0</v>
      </c>
      <c r="Y64" s="330">
        <v>0</v>
      </c>
      <c r="Z64" s="330">
        <v>7</v>
      </c>
      <c r="AA64" s="330">
        <v>18</v>
      </c>
      <c r="AB64" s="330">
        <v>38</v>
      </c>
      <c r="AC64" s="330">
        <v>13</v>
      </c>
      <c r="AD64" s="334">
        <v>7071</v>
      </c>
      <c r="AE64" s="334">
        <v>32</v>
      </c>
      <c r="AF64" s="334">
        <v>12</v>
      </c>
      <c r="AG64" s="334">
        <v>44</v>
      </c>
    </row>
    <row r="65" spans="1:33" x14ac:dyDescent="0.25">
      <c r="A65" s="329" t="s">
        <v>186</v>
      </c>
      <c r="B65" s="335" t="s">
        <v>187</v>
      </c>
      <c r="C65" s="331">
        <v>1700</v>
      </c>
      <c r="D65" s="331">
        <v>11</v>
      </c>
      <c r="E65" s="331">
        <v>443</v>
      </c>
      <c r="F65" s="331">
        <v>242</v>
      </c>
      <c r="G65" s="331">
        <v>321</v>
      </c>
      <c r="H65" s="331">
        <v>2717</v>
      </c>
      <c r="I65" s="330">
        <v>2396</v>
      </c>
      <c r="J65" s="330">
        <v>0</v>
      </c>
      <c r="K65" s="332">
        <v>96.9</v>
      </c>
      <c r="L65" s="332">
        <v>95.2</v>
      </c>
      <c r="M65" s="332">
        <v>5.34</v>
      </c>
      <c r="N65" s="332">
        <v>100.84</v>
      </c>
      <c r="O65" s="333">
        <v>1452</v>
      </c>
      <c r="P65" s="330">
        <v>85.75</v>
      </c>
      <c r="Q65" s="330">
        <v>83.57</v>
      </c>
      <c r="R65" s="330">
        <v>46.43</v>
      </c>
      <c r="S65" s="330">
        <v>121.94</v>
      </c>
      <c r="T65" s="330">
        <v>535</v>
      </c>
      <c r="U65" s="330">
        <v>132.9</v>
      </c>
      <c r="V65" s="330">
        <v>164</v>
      </c>
      <c r="W65" s="330">
        <v>202.97</v>
      </c>
      <c r="X65" s="330">
        <v>110</v>
      </c>
      <c r="Y65" s="330">
        <v>0</v>
      </c>
      <c r="Z65" s="330">
        <v>1</v>
      </c>
      <c r="AA65" s="330">
        <v>27</v>
      </c>
      <c r="AB65" s="330">
        <v>9</v>
      </c>
      <c r="AC65" s="330">
        <v>9</v>
      </c>
      <c r="AD65" s="334">
        <v>1577</v>
      </c>
      <c r="AE65" s="334">
        <v>10</v>
      </c>
      <c r="AF65" s="334">
        <v>1</v>
      </c>
      <c r="AG65" s="334">
        <v>11</v>
      </c>
    </row>
    <row r="66" spans="1:33" x14ac:dyDescent="0.25">
      <c r="A66" s="329" t="s">
        <v>188</v>
      </c>
      <c r="B66" s="335" t="s">
        <v>189</v>
      </c>
      <c r="C66" s="331">
        <v>5904</v>
      </c>
      <c r="D66" s="331">
        <v>10</v>
      </c>
      <c r="E66" s="331">
        <v>210</v>
      </c>
      <c r="F66" s="331">
        <v>1485</v>
      </c>
      <c r="G66" s="331">
        <v>503</v>
      </c>
      <c r="H66" s="331">
        <v>8112</v>
      </c>
      <c r="I66" s="330">
        <v>7609</v>
      </c>
      <c r="J66" s="330">
        <v>1</v>
      </c>
      <c r="K66" s="332">
        <v>107.69</v>
      </c>
      <c r="L66" s="332">
        <v>107.66</v>
      </c>
      <c r="M66" s="332">
        <v>6.02</v>
      </c>
      <c r="N66" s="332">
        <v>109.38</v>
      </c>
      <c r="O66" s="333">
        <v>5079</v>
      </c>
      <c r="P66" s="330">
        <v>97.85</v>
      </c>
      <c r="Q66" s="330">
        <v>97.55</v>
      </c>
      <c r="R66" s="330">
        <v>21.31</v>
      </c>
      <c r="S66" s="330">
        <v>117.08</v>
      </c>
      <c r="T66" s="330">
        <v>1571</v>
      </c>
      <c r="U66" s="330">
        <v>153.18</v>
      </c>
      <c r="V66" s="330">
        <v>718</v>
      </c>
      <c r="W66" s="330">
        <v>199.51</v>
      </c>
      <c r="X66" s="330">
        <v>95</v>
      </c>
      <c r="Y66" s="330">
        <v>0</v>
      </c>
      <c r="Z66" s="330">
        <v>14</v>
      </c>
      <c r="AA66" s="330">
        <v>0</v>
      </c>
      <c r="AB66" s="330">
        <v>74</v>
      </c>
      <c r="AC66" s="330">
        <v>14</v>
      </c>
      <c r="AD66" s="334">
        <v>5829</v>
      </c>
      <c r="AE66" s="334">
        <v>27</v>
      </c>
      <c r="AF66" s="334">
        <v>30</v>
      </c>
      <c r="AG66" s="334">
        <v>57</v>
      </c>
    </row>
    <row r="67" spans="1:33" x14ac:dyDescent="0.25">
      <c r="A67" s="329" t="s">
        <v>190</v>
      </c>
      <c r="B67" s="335" t="s">
        <v>191</v>
      </c>
      <c r="C67" s="331">
        <v>14787</v>
      </c>
      <c r="D67" s="331">
        <v>0</v>
      </c>
      <c r="E67" s="331">
        <v>1723</v>
      </c>
      <c r="F67" s="331">
        <v>3420</v>
      </c>
      <c r="G67" s="331">
        <v>714</v>
      </c>
      <c r="H67" s="331">
        <v>20644</v>
      </c>
      <c r="I67" s="330">
        <v>19930</v>
      </c>
      <c r="J67" s="330">
        <v>18</v>
      </c>
      <c r="K67" s="332">
        <v>92.6</v>
      </c>
      <c r="L67" s="332">
        <v>94.55</v>
      </c>
      <c r="M67" s="332">
        <v>5.95</v>
      </c>
      <c r="N67" s="332">
        <v>94.62</v>
      </c>
      <c r="O67" s="333">
        <v>12156</v>
      </c>
      <c r="P67" s="330">
        <v>87.67</v>
      </c>
      <c r="Q67" s="330">
        <v>88.62</v>
      </c>
      <c r="R67" s="330">
        <v>36.619999999999997</v>
      </c>
      <c r="S67" s="330">
        <v>101.94</v>
      </c>
      <c r="T67" s="330">
        <v>4795</v>
      </c>
      <c r="U67" s="330">
        <v>111.85</v>
      </c>
      <c r="V67" s="330">
        <v>2572</v>
      </c>
      <c r="W67" s="330">
        <v>106.97</v>
      </c>
      <c r="X67" s="330">
        <v>134</v>
      </c>
      <c r="Y67" s="330">
        <v>0</v>
      </c>
      <c r="Z67" s="330">
        <v>54</v>
      </c>
      <c r="AA67" s="330">
        <v>34</v>
      </c>
      <c r="AB67" s="330">
        <v>102</v>
      </c>
      <c r="AC67" s="330">
        <v>19</v>
      </c>
      <c r="AD67" s="334">
        <v>14783</v>
      </c>
      <c r="AE67" s="334">
        <v>85</v>
      </c>
      <c r="AF67" s="334">
        <v>55</v>
      </c>
      <c r="AG67" s="334">
        <v>140</v>
      </c>
    </row>
    <row r="68" spans="1:33" x14ac:dyDescent="0.25">
      <c r="A68" s="329" t="s">
        <v>192</v>
      </c>
      <c r="B68" s="335" t="s">
        <v>193</v>
      </c>
      <c r="C68" s="330">
        <v>11900</v>
      </c>
      <c r="D68" s="330">
        <v>44</v>
      </c>
      <c r="E68" s="330">
        <v>577</v>
      </c>
      <c r="F68" s="330">
        <v>5067</v>
      </c>
      <c r="G68" s="330">
        <v>1143</v>
      </c>
      <c r="H68" s="330">
        <v>18731</v>
      </c>
      <c r="I68" s="330">
        <v>17588</v>
      </c>
      <c r="J68" s="330">
        <v>10</v>
      </c>
      <c r="K68" s="330">
        <v>95.12</v>
      </c>
      <c r="L68" s="330">
        <v>97.63</v>
      </c>
      <c r="M68" s="330">
        <v>4.84</v>
      </c>
      <c r="N68" s="330">
        <v>96.72</v>
      </c>
      <c r="O68" s="333">
        <v>10281</v>
      </c>
      <c r="P68" s="330">
        <v>87.42</v>
      </c>
      <c r="Q68" s="330">
        <v>88.1</v>
      </c>
      <c r="R68" s="330">
        <v>21.86</v>
      </c>
      <c r="S68" s="330">
        <v>100.11</v>
      </c>
      <c r="T68" s="330">
        <v>5003</v>
      </c>
      <c r="U68" s="330">
        <v>113.33</v>
      </c>
      <c r="V68" s="330">
        <v>1407</v>
      </c>
      <c r="W68" s="330">
        <v>145.96</v>
      </c>
      <c r="X68" s="330">
        <v>394</v>
      </c>
      <c r="Y68" s="330">
        <v>0</v>
      </c>
      <c r="Z68" s="330">
        <v>45</v>
      </c>
      <c r="AA68" s="330">
        <v>22</v>
      </c>
      <c r="AB68" s="330">
        <v>66</v>
      </c>
      <c r="AC68" s="330">
        <v>18</v>
      </c>
      <c r="AD68" s="330">
        <v>11793</v>
      </c>
      <c r="AE68" s="330">
        <v>64</v>
      </c>
      <c r="AF68" s="330">
        <v>18</v>
      </c>
      <c r="AG68" s="330">
        <v>82</v>
      </c>
    </row>
    <row r="69" spans="1:33" x14ac:dyDescent="0.25">
      <c r="A69" s="329" t="s">
        <v>194</v>
      </c>
      <c r="B69" s="335" t="s">
        <v>195</v>
      </c>
      <c r="C69" s="330">
        <v>802</v>
      </c>
      <c r="D69" s="330">
        <v>0</v>
      </c>
      <c r="E69" s="330">
        <v>141</v>
      </c>
      <c r="F69" s="330">
        <v>538</v>
      </c>
      <c r="G69" s="330">
        <v>89</v>
      </c>
      <c r="H69" s="330">
        <v>1570</v>
      </c>
      <c r="I69" s="330">
        <v>1481</v>
      </c>
      <c r="J69" s="330">
        <v>0</v>
      </c>
      <c r="K69" s="330">
        <v>88.99</v>
      </c>
      <c r="L69" s="332">
        <v>87.93</v>
      </c>
      <c r="M69" s="332">
        <v>6.37</v>
      </c>
      <c r="N69" s="332">
        <v>92</v>
      </c>
      <c r="O69" s="333">
        <v>655</v>
      </c>
      <c r="P69" s="330">
        <v>91.03</v>
      </c>
      <c r="Q69" s="330">
        <v>91</v>
      </c>
      <c r="R69" s="330">
        <v>24.99</v>
      </c>
      <c r="S69" s="330">
        <v>113.7</v>
      </c>
      <c r="T69" s="330">
        <v>624</v>
      </c>
      <c r="U69" s="330">
        <v>95.71</v>
      </c>
      <c r="V69" s="330">
        <v>50</v>
      </c>
      <c r="W69" s="330">
        <v>0</v>
      </c>
      <c r="X69" s="330">
        <v>0</v>
      </c>
      <c r="Y69" s="330">
        <v>0</v>
      </c>
      <c r="Z69" s="330">
        <v>1</v>
      </c>
      <c r="AA69" s="330">
        <v>6</v>
      </c>
      <c r="AB69" s="330">
        <v>4</v>
      </c>
      <c r="AC69" s="330">
        <v>4</v>
      </c>
      <c r="AD69" s="330">
        <v>705</v>
      </c>
      <c r="AE69" s="330">
        <v>12</v>
      </c>
      <c r="AF69" s="330">
        <v>3</v>
      </c>
      <c r="AG69" s="330">
        <v>15</v>
      </c>
    </row>
    <row r="70" spans="1:33" ht="14.5" x14ac:dyDescent="0.35">
      <c r="A70" s="336" t="s">
        <v>196</v>
      </c>
      <c r="B70" s="336" t="s">
        <v>197</v>
      </c>
      <c r="C70" s="330">
        <v>6942</v>
      </c>
      <c r="D70" s="330">
        <v>0</v>
      </c>
      <c r="E70" s="330">
        <v>178</v>
      </c>
      <c r="F70" s="330">
        <v>735</v>
      </c>
      <c r="G70" s="330">
        <v>442</v>
      </c>
      <c r="H70" s="330">
        <v>8297</v>
      </c>
      <c r="I70" s="330">
        <v>7855</v>
      </c>
      <c r="J70" s="330">
        <v>2</v>
      </c>
      <c r="K70" s="337">
        <v>114.65</v>
      </c>
      <c r="L70" s="337">
        <v>116.22</v>
      </c>
      <c r="M70" s="337">
        <v>7.2</v>
      </c>
      <c r="N70" s="337">
        <v>118.09</v>
      </c>
      <c r="O70" s="330">
        <v>6334</v>
      </c>
      <c r="P70" s="337">
        <v>94.77</v>
      </c>
      <c r="Q70" s="337">
        <v>96.98</v>
      </c>
      <c r="R70" s="337">
        <v>33.96</v>
      </c>
      <c r="S70" s="337">
        <v>127.87</v>
      </c>
      <c r="T70" s="330">
        <v>712</v>
      </c>
      <c r="U70" s="337">
        <v>152.94</v>
      </c>
      <c r="V70" s="330">
        <v>557</v>
      </c>
      <c r="W70" s="337">
        <v>0</v>
      </c>
      <c r="X70" s="330">
        <v>0</v>
      </c>
      <c r="Y70" s="330">
        <v>2</v>
      </c>
      <c r="Z70" s="330">
        <v>12</v>
      </c>
      <c r="AA70" s="330">
        <v>3</v>
      </c>
      <c r="AB70" s="330">
        <v>69</v>
      </c>
      <c r="AC70" s="330">
        <v>13</v>
      </c>
      <c r="AD70" s="330">
        <v>6890</v>
      </c>
      <c r="AE70" s="330">
        <v>123</v>
      </c>
      <c r="AF70" s="330">
        <v>34</v>
      </c>
      <c r="AG70" s="330">
        <v>157</v>
      </c>
    </row>
    <row r="71" spans="1:33" x14ac:dyDescent="0.25">
      <c r="A71" s="329" t="s">
        <v>198</v>
      </c>
      <c r="B71" s="335" t="s">
        <v>199</v>
      </c>
      <c r="C71" s="331">
        <v>5646</v>
      </c>
      <c r="D71" s="331">
        <v>1</v>
      </c>
      <c r="E71" s="331">
        <v>305</v>
      </c>
      <c r="F71" s="331">
        <v>652</v>
      </c>
      <c r="G71" s="331">
        <v>286</v>
      </c>
      <c r="H71" s="331">
        <v>6890</v>
      </c>
      <c r="I71" s="330">
        <v>6604</v>
      </c>
      <c r="J71" s="330">
        <v>85</v>
      </c>
      <c r="K71" s="332">
        <v>82.47</v>
      </c>
      <c r="L71" s="332">
        <v>79.930000000000007</v>
      </c>
      <c r="M71" s="332">
        <v>5.04</v>
      </c>
      <c r="N71" s="332">
        <v>85.89</v>
      </c>
      <c r="O71" s="333">
        <v>5239</v>
      </c>
      <c r="P71" s="330">
        <v>86.68</v>
      </c>
      <c r="Q71" s="330">
        <v>69.84</v>
      </c>
      <c r="R71" s="330">
        <v>22.69</v>
      </c>
      <c r="S71" s="330">
        <v>108.93</v>
      </c>
      <c r="T71" s="330">
        <v>887</v>
      </c>
      <c r="U71" s="330">
        <v>103.95</v>
      </c>
      <c r="V71" s="330">
        <v>384</v>
      </c>
      <c r="W71" s="330">
        <v>0</v>
      </c>
      <c r="X71" s="330">
        <v>0</v>
      </c>
      <c r="Y71" s="330">
        <v>0</v>
      </c>
      <c r="Z71" s="330">
        <v>11</v>
      </c>
      <c r="AA71" s="330">
        <v>1</v>
      </c>
      <c r="AB71" s="330">
        <v>26</v>
      </c>
      <c r="AC71" s="330">
        <v>1</v>
      </c>
      <c r="AD71" s="334">
        <v>5639</v>
      </c>
      <c r="AE71" s="334">
        <v>32</v>
      </c>
      <c r="AF71" s="334">
        <v>6</v>
      </c>
      <c r="AG71" s="334">
        <v>38</v>
      </c>
    </row>
    <row r="72" spans="1:33" x14ac:dyDescent="0.25">
      <c r="A72" s="329" t="s">
        <v>200</v>
      </c>
      <c r="B72" s="335" t="s">
        <v>201</v>
      </c>
      <c r="C72" s="331">
        <v>194</v>
      </c>
      <c r="D72" s="331">
        <v>0</v>
      </c>
      <c r="E72" s="331">
        <v>20</v>
      </c>
      <c r="F72" s="331">
        <v>18</v>
      </c>
      <c r="G72" s="331">
        <v>0</v>
      </c>
      <c r="H72" s="331">
        <v>232</v>
      </c>
      <c r="I72" s="330">
        <v>232</v>
      </c>
      <c r="J72" s="330">
        <v>0</v>
      </c>
      <c r="K72" s="332">
        <v>126.67</v>
      </c>
      <c r="L72" s="332">
        <v>134.35</v>
      </c>
      <c r="M72" s="332">
        <v>11.16</v>
      </c>
      <c r="N72" s="332">
        <v>137.83000000000001</v>
      </c>
      <c r="O72" s="333">
        <v>173</v>
      </c>
      <c r="P72" s="330">
        <v>109.3</v>
      </c>
      <c r="Q72" s="330">
        <v>122.86</v>
      </c>
      <c r="R72" s="330">
        <v>33.869999999999997</v>
      </c>
      <c r="S72" s="330">
        <v>143.16999999999999</v>
      </c>
      <c r="T72" s="330">
        <v>18</v>
      </c>
      <c r="U72" s="330">
        <v>232.57</v>
      </c>
      <c r="V72" s="330">
        <v>21</v>
      </c>
      <c r="W72" s="330">
        <v>0</v>
      </c>
      <c r="X72" s="330">
        <v>0</v>
      </c>
      <c r="Y72" s="330">
        <v>0</v>
      </c>
      <c r="Z72" s="330">
        <v>0</v>
      </c>
      <c r="AA72" s="330">
        <v>0</v>
      </c>
      <c r="AB72" s="330">
        <v>0</v>
      </c>
      <c r="AC72" s="330">
        <v>0</v>
      </c>
      <c r="AD72" s="334">
        <v>194</v>
      </c>
      <c r="AE72" s="334">
        <v>1</v>
      </c>
      <c r="AF72" s="334">
        <v>0</v>
      </c>
      <c r="AG72" s="334">
        <v>1</v>
      </c>
    </row>
    <row r="73" spans="1:33" x14ac:dyDescent="0.25">
      <c r="A73" s="329" t="s">
        <v>202</v>
      </c>
      <c r="B73" s="335" t="s">
        <v>203</v>
      </c>
      <c r="C73" s="331">
        <v>3796</v>
      </c>
      <c r="D73" s="331">
        <v>184</v>
      </c>
      <c r="E73" s="331">
        <v>575</v>
      </c>
      <c r="F73" s="331">
        <v>348</v>
      </c>
      <c r="G73" s="331">
        <v>273</v>
      </c>
      <c r="H73" s="331">
        <v>5176</v>
      </c>
      <c r="I73" s="330">
        <v>4903</v>
      </c>
      <c r="J73" s="330">
        <v>6</v>
      </c>
      <c r="K73" s="332">
        <v>105.25</v>
      </c>
      <c r="L73" s="332">
        <v>105.24</v>
      </c>
      <c r="M73" s="332">
        <v>5.19</v>
      </c>
      <c r="N73" s="332">
        <v>109.41</v>
      </c>
      <c r="O73" s="333">
        <v>2888</v>
      </c>
      <c r="P73" s="330">
        <v>94.47</v>
      </c>
      <c r="Q73" s="330">
        <v>88.18</v>
      </c>
      <c r="R73" s="330">
        <v>36.299999999999997</v>
      </c>
      <c r="S73" s="330">
        <v>128.49</v>
      </c>
      <c r="T73" s="330">
        <v>605</v>
      </c>
      <c r="U73" s="330">
        <v>133.68</v>
      </c>
      <c r="V73" s="330">
        <v>642</v>
      </c>
      <c r="W73" s="330">
        <v>111.61</v>
      </c>
      <c r="X73" s="330">
        <v>34</v>
      </c>
      <c r="Y73" s="330">
        <v>0</v>
      </c>
      <c r="Z73" s="330">
        <v>2</v>
      </c>
      <c r="AA73" s="330">
        <v>4</v>
      </c>
      <c r="AB73" s="330">
        <v>3</v>
      </c>
      <c r="AC73" s="330">
        <v>7</v>
      </c>
      <c r="AD73" s="334">
        <v>3735</v>
      </c>
      <c r="AE73" s="334">
        <v>15</v>
      </c>
      <c r="AF73" s="334">
        <v>3</v>
      </c>
      <c r="AG73" s="334">
        <v>18</v>
      </c>
    </row>
    <row r="74" spans="1:33" x14ac:dyDescent="0.25">
      <c r="A74" s="329" t="s">
        <v>204</v>
      </c>
      <c r="B74" s="335" t="s">
        <v>205</v>
      </c>
      <c r="C74" s="331">
        <v>5673</v>
      </c>
      <c r="D74" s="331">
        <v>27</v>
      </c>
      <c r="E74" s="331">
        <v>79</v>
      </c>
      <c r="F74" s="331">
        <v>307</v>
      </c>
      <c r="G74" s="331">
        <v>46</v>
      </c>
      <c r="H74" s="331">
        <v>6132</v>
      </c>
      <c r="I74" s="330">
        <v>6086</v>
      </c>
      <c r="J74" s="330">
        <v>12</v>
      </c>
      <c r="K74" s="332">
        <v>86.62</v>
      </c>
      <c r="L74" s="332">
        <v>88.05</v>
      </c>
      <c r="M74" s="332">
        <v>1.2</v>
      </c>
      <c r="N74" s="332">
        <v>87.59</v>
      </c>
      <c r="O74" s="333">
        <v>5543</v>
      </c>
      <c r="P74" s="330">
        <v>81.260000000000005</v>
      </c>
      <c r="Q74" s="330">
        <v>77.27</v>
      </c>
      <c r="R74" s="330">
        <v>29.05</v>
      </c>
      <c r="S74" s="330">
        <v>109.28</v>
      </c>
      <c r="T74" s="330">
        <v>368</v>
      </c>
      <c r="U74" s="330">
        <v>96.26</v>
      </c>
      <c r="V74" s="330">
        <v>144</v>
      </c>
      <c r="W74" s="330">
        <v>0</v>
      </c>
      <c r="X74" s="330">
        <v>0</v>
      </c>
      <c r="Y74" s="330">
        <v>0</v>
      </c>
      <c r="Z74" s="330">
        <v>25</v>
      </c>
      <c r="AA74" s="330">
        <v>4</v>
      </c>
      <c r="AB74" s="330">
        <v>0</v>
      </c>
      <c r="AC74" s="330">
        <v>0</v>
      </c>
      <c r="AD74" s="334">
        <v>5660</v>
      </c>
      <c r="AE74" s="334">
        <v>109</v>
      </c>
      <c r="AF74" s="334">
        <v>92</v>
      </c>
      <c r="AG74" s="334">
        <v>201</v>
      </c>
    </row>
    <row r="75" spans="1:33" x14ac:dyDescent="0.25">
      <c r="A75" s="329" t="s">
        <v>206</v>
      </c>
      <c r="B75" s="335" t="s">
        <v>207</v>
      </c>
      <c r="C75" s="331">
        <v>16768</v>
      </c>
      <c r="D75" s="331">
        <v>15</v>
      </c>
      <c r="E75" s="331">
        <v>819</v>
      </c>
      <c r="F75" s="331">
        <v>3132</v>
      </c>
      <c r="G75" s="331">
        <v>1683</v>
      </c>
      <c r="H75" s="331">
        <v>22417</v>
      </c>
      <c r="I75" s="330">
        <v>20734</v>
      </c>
      <c r="J75" s="330">
        <v>28</v>
      </c>
      <c r="K75" s="332">
        <v>86.91</v>
      </c>
      <c r="L75" s="332">
        <v>82.48</v>
      </c>
      <c r="M75" s="332">
        <v>3.33</v>
      </c>
      <c r="N75" s="332">
        <v>89.31</v>
      </c>
      <c r="O75" s="333">
        <v>14058</v>
      </c>
      <c r="P75" s="330">
        <v>79.260000000000005</v>
      </c>
      <c r="Q75" s="330">
        <v>72.349999999999994</v>
      </c>
      <c r="R75" s="330">
        <v>32.130000000000003</v>
      </c>
      <c r="S75" s="330">
        <v>107.84</v>
      </c>
      <c r="T75" s="330">
        <v>3751</v>
      </c>
      <c r="U75" s="330">
        <v>119.58</v>
      </c>
      <c r="V75" s="330">
        <v>2023</v>
      </c>
      <c r="W75" s="330">
        <v>130.06</v>
      </c>
      <c r="X75" s="330">
        <v>53</v>
      </c>
      <c r="Y75" s="330">
        <v>0</v>
      </c>
      <c r="Z75" s="330">
        <v>12</v>
      </c>
      <c r="AA75" s="330">
        <v>45</v>
      </c>
      <c r="AB75" s="330">
        <v>119</v>
      </c>
      <c r="AC75" s="330">
        <v>37</v>
      </c>
      <c r="AD75" s="334">
        <v>16363</v>
      </c>
      <c r="AE75" s="334">
        <v>56</v>
      </c>
      <c r="AF75" s="334">
        <v>27</v>
      </c>
      <c r="AG75" s="334">
        <v>83</v>
      </c>
    </row>
    <row r="76" spans="1:33" x14ac:dyDescent="0.25">
      <c r="A76" s="329" t="s">
        <v>208</v>
      </c>
      <c r="B76" s="335" t="s">
        <v>209</v>
      </c>
      <c r="C76" s="331">
        <v>5015</v>
      </c>
      <c r="D76" s="331">
        <v>0</v>
      </c>
      <c r="E76" s="331">
        <v>64</v>
      </c>
      <c r="F76" s="331">
        <v>576</v>
      </c>
      <c r="G76" s="331">
        <v>584</v>
      </c>
      <c r="H76" s="331">
        <v>6239</v>
      </c>
      <c r="I76" s="330">
        <v>5655</v>
      </c>
      <c r="J76" s="330">
        <v>0</v>
      </c>
      <c r="K76" s="332">
        <v>106.06</v>
      </c>
      <c r="L76" s="332">
        <v>101.83</v>
      </c>
      <c r="M76" s="332">
        <v>4.32</v>
      </c>
      <c r="N76" s="332">
        <v>107.24</v>
      </c>
      <c r="O76" s="333">
        <v>4425</v>
      </c>
      <c r="P76" s="330">
        <v>97.14</v>
      </c>
      <c r="Q76" s="330">
        <v>90.61</v>
      </c>
      <c r="R76" s="330">
        <v>41.07</v>
      </c>
      <c r="S76" s="330">
        <v>113.22</v>
      </c>
      <c r="T76" s="330">
        <v>572</v>
      </c>
      <c r="U76" s="330">
        <v>137.1</v>
      </c>
      <c r="V76" s="330">
        <v>375</v>
      </c>
      <c r="W76" s="330">
        <v>173.08</v>
      </c>
      <c r="X76" s="330">
        <v>38</v>
      </c>
      <c r="Y76" s="330">
        <v>0</v>
      </c>
      <c r="Z76" s="330">
        <v>5</v>
      </c>
      <c r="AA76" s="330">
        <v>12</v>
      </c>
      <c r="AB76" s="330">
        <v>19</v>
      </c>
      <c r="AC76" s="330">
        <v>28</v>
      </c>
      <c r="AD76" s="334">
        <v>4794</v>
      </c>
      <c r="AE76" s="334">
        <v>7</v>
      </c>
      <c r="AF76" s="334">
        <v>6</v>
      </c>
      <c r="AG76" s="334">
        <v>13</v>
      </c>
    </row>
    <row r="77" spans="1:33" x14ac:dyDescent="0.25">
      <c r="A77" s="329" t="s">
        <v>210</v>
      </c>
      <c r="B77" s="335" t="s">
        <v>211</v>
      </c>
      <c r="C77" s="331">
        <v>41384</v>
      </c>
      <c r="D77" s="331">
        <v>102</v>
      </c>
      <c r="E77" s="331">
        <v>1202</v>
      </c>
      <c r="F77" s="331">
        <v>5264</v>
      </c>
      <c r="G77" s="331">
        <v>214</v>
      </c>
      <c r="H77" s="331">
        <v>48166</v>
      </c>
      <c r="I77" s="330">
        <v>47952</v>
      </c>
      <c r="J77" s="330">
        <v>94</v>
      </c>
      <c r="K77" s="332">
        <v>74.42</v>
      </c>
      <c r="L77" s="332">
        <v>77.180000000000007</v>
      </c>
      <c r="M77" s="332">
        <v>6.66</v>
      </c>
      <c r="N77" s="332">
        <v>75.349999999999994</v>
      </c>
      <c r="O77" s="333">
        <v>38578</v>
      </c>
      <c r="P77" s="330">
        <v>79.680000000000007</v>
      </c>
      <c r="Q77" s="330">
        <v>75.33</v>
      </c>
      <c r="R77" s="330">
        <v>40.409999999999997</v>
      </c>
      <c r="S77" s="330">
        <v>95.43</v>
      </c>
      <c r="T77" s="330">
        <v>5803</v>
      </c>
      <c r="U77" s="330">
        <v>90.89</v>
      </c>
      <c r="V77" s="330">
        <v>2182</v>
      </c>
      <c r="W77" s="330">
        <v>101.57</v>
      </c>
      <c r="X77" s="330">
        <v>439</v>
      </c>
      <c r="Y77" s="330">
        <v>0</v>
      </c>
      <c r="Z77" s="330">
        <v>173</v>
      </c>
      <c r="AA77" s="330">
        <v>150</v>
      </c>
      <c r="AB77" s="330">
        <v>7</v>
      </c>
      <c r="AC77" s="330">
        <v>4</v>
      </c>
      <c r="AD77" s="334">
        <v>40545</v>
      </c>
      <c r="AE77" s="334">
        <v>328</v>
      </c>
      <c r="AF77" s="334">
        <v>453</v>
      </c>
      <c r="AG77" s="334">
        <v>781</v>
      </c>
    </row>
    <row r="78" spans="1:33" x14ac:dyDescent="0.25">
      <c r="A78" s="329" t="s">
        <v>212</v>
      </c>
      <c r="B78" s="335" t="s">
        <v>213</v>
      </c>
      <c r="C78" s="331">
        <v>22150</v>
      </c>
      <c r="D78" s="331">
        <v>1</v>
      </c>
      <c r="E78" s="331">
        <v>641</v>
      </c>
      <c r="F78" s="331">
        <v>1934</v>
      </c>
      <c r="G78" s="331">
        <v>623</v>
      </c>
      <c r="H78" s="331">
        <v>25349</v>
      </c>
      <c r="I78" s="330">
        <v>24726</v>
      </c>
      <c r="J78" s="330">
        <v>147</v>
      </c>
      <c r="K78" s="332">
        <v>86.63</v>
      </c>
      <c r="L78" s="332">
        <v>87.48</v>
      </c>
      <c r="M78" s="332">
        <v>5.01</v>
      </c>
      <c r="N78" s="332">
        <v>91.27</v>
      </c>
      <c r="O78" s="333">
        <v>20087</v>
      </c>
      <c r="P78" s="330">
        <v>88.95</v>
      </c>
      <c r="Q78" s="330">
        <v>85.14</v>
      </c>
      <c r="R78" s="330">
        <v>45.3</v>
      </c>
      <c r="S78" s="330">
        <v>133.72999999999999</v>
      </c>
      <c r="T78" s="330">
        <v>2330</v>
      </c>
      <c r="U78" s="330">
        <v>107.65</v>
      </c>
      <c r="V78" s="330">
        <v>1576</v>
      </c>
      <c r="W78" s="330">
        <v>0</v>
      </c>
      <c r="X78" s="330">
        <v>0</v>
      </c>
      <c r="Y78" s="330">
        <v>0</v>
      </c>
      <c r="Z78" s="330">
        <v>86</v>
      </c>
      <c r="AA78" s="330">
        <v>25</v>
      </c>
      <c r="AB78" s="330">
        <v>31</v>
      </c>
      <c r="AC78" s="330">
        <v>32</v>
      </c>
      <c r="AD78" s="334">
        <v>21881</v>
      </c>
      <c r="AE78" s="334">
        <v>150</v>
      </c>
      <c r="AF78" s="334">
        <v>64</v>
      </c>
      <c r="AG78" s="334">
        <v>214</v>
      </c>
    </row>
    <row r="79" spans="1:33" x14ac:dyDescent="0.25">
      <c r="A79" s="329" t="s">
        <v>214</v>
      </c>
      <c r="B79" s="335" t="s">
        <v>215</v>
      </c>
      <c r="C79" s="331">
        <v>2129</v>
      </c>
      <c r="D79" s="331">
        <v>22</v>
      </c>
      <c r="E79" s="331">
        <v>44</v>
      </c>
      <c r="F79" s="331">
        <v>217</v>
      </c>
      <c r="G79" s="331">
        <v>57</v>
      </c>
      <c r="H79" s="331">
        <v>2469</v>
      </c>
      <c r="I79" s="330">
        <v>2412</v>
      </c>
      <c r="J79" s="330">
        <v>6</v>
      </c>
      <c r="K79" s="332">
        <v>87.36</v>
      </c>
      <c r="L79" s="332">
        <v>84.1</v>
      </c>
      <c r="M79" s="332">
        <v>6.81</v>
      </c>
      <c r="N79" s="332">
        <v>91.33</v>
      </c>
      <c r="O79" s="333">
        <v>1661</v>
      </c>
      <c r="P79" s="330">
        <v>79.87</v>
      </c>
      <c r="Q79" s="330">
        <v>70.12</v>
      </c>
      <c r="R79" s="330">
        <v>42.59</v>
      </c>
      <c r="S79" s="330">
        <v>121</v>
      </c>
      <c r="T79" s="330">
        <v>206</v>
      </c>
      <c r="U79" s="330">
        <v>97.52</v>
      </c>
      <c r="V79" s="330">
        <v>443</v>
      </c>
      <c r="W79" s="330">
        <v>139.43</v>
      </c>
      <c r="X79" s="330">
        <v>45</v>
      </c>
      <c r="Y79" s="330">
        <v>0</v>
      </c>
      <c r="Z79" s="330">
        <v>0</v>
      </c>
      <c r="AA79" s="330">
        <v>0</v>
      </c>
      <c r="AB79" s="330">
        <v>0</v>
      </c>
      <c r="AC79" s="330">
        <v>5</v>
      </c>
      <c r="AD79" s="334">
        <v>2113</v>
      </c>
      <c r="AE79" s="334">
        <v>23</v>
      </c>
      <c r="AF79" s="334">
        <v>10</v>
      </c>
      <c r="AG79" s="334">
        <v>33</v>
      </c>
    </row>
    <row r="80" spans="1:33" x14ac:dyDescent="0.25">
      <c r="A80" s="329" t="s">
        <v>216</v>
      </c>
      <c r="B80" s="335" t="s">
        <v>217</v>
      </c>
      <c r="C80" s="331">
        <v>1886</v>
      </c>
      <c r="D80" s="331">
        <v>0</v>
      </c>
      <c r="E80" s="331">
        <v>285</v>
      </c>
      <c r="F80" s="331">
        <v>285</v>
      </c>
      <c r="G80" s="331">
        <v>370</v>
      </c>
      <c r="H80" s="331">
        <v>2826</v>
      </c>
      <c r="I80" s="330">
        <v>2456</v>
      </c>
      <c r="J80" s="330">
        <v>0</v>
      </c>
      <c r="K80" s="332">
        <v>109.4</v>
      </c>
      <c r="L80" s="332">
        <v>110.87</v>
      </c>
      <c r="M80" s="332">
        <v>8.15</v>
      </c>
      <c r="N80" s="332">
        <v>117.02</v>
      </c>
      <c r="O80" s="333">
        <v>1548</v>
      </c>
      <c r="P80" s="330">
        <v>122.89</v>
      </c>
      <c r="Q80" s="330">
        <v>105.28</v>
      </c>
      <c r="R80" s="330">
        <v>30.56</v>
      </c>
      <c r="S80" s="330">
        <v>146.5</v>
      </c>
      <c r="T80" s="330">
        <v>290</v>
      </c>
      <c r="U80" s="330">
        <v>154.63</v>
      </c>
      <c r="V80" s="330">
        <v>223</v>
      </c>
      <c r="W80" s="330">
        <v>186.76</v>
      </c>
      <c r="X80" s="330">
        <v>90</v>
      </c>
      <c r="Y80" s="330">
        <v>0</v>
      </c>
      <c r="Z80" s="330">
        <v>3</v>
      </c>
      <c r="AA80" s="330">
        <v>3</v>
      </c>
      <c r="AB80" s="330">
        <v>9</v>
      </c>
      <c r="AC80" s="330">
        <v>10</v>
      </c>
      <c r="AD80" s="334">
        <v>1857</v>
      </c>
      <c r="AE80" s="334">
        <v>25</v>
      </c>
      <c r="AF80" s="334">
        <v>2</v>
      </c>
      <c r="AG80" s="334">
        <v>27</v>
      </c>
    </row>
    <row r="81" spans="1:33" x14ac:dyDescent="0.25">
      <c r="A81" s="329" t="s">
        <v>218</v>
      </c>
      <c r="B81" s="335" t="s">
        <v>219</v>
      </c>
      <c r="C81" s="331">
        <v>10763</v>
      </c>
      <c r="D81" s="331">
        <v>44</v>
      </c>
      <c r="E81" s="331">
        <v>1039</v>
      </c>
      <c r="F81" s="331">
        <v>867</v>
      </c>
      <c r="G81" s="331">
        <v>1795</v>
      </c>
      <c r="H81" s="331">
        <v>14508</v>
      </c>
      <c r="I81" s="330">
        <v>12713</v>
      </c>
      <c r="J81" s="330">
        <v>8</v>
      </c>
      <c r="K81" s="332">
        <v>125.93</v>
      </c>
      <c r="L81" s="332">
        <v>125.27</v>
      </c>
      <c r="M81" s="332">
        <v>7.83</v>
      </c>
      <c r="N81" s="332">
        <v>131.28</v>
      </c>
      <c r="O81" s="333">
        <v>9066</v>
      </c>
      <c r="P81" s="330">
        <v>100.82</v>
      </c>
      <c r="Q81" s="330">
        <v>98.25</v>
      </c>
      <c r="R81" s="330">
        <v>54.52</v>
      </c>
      <c r="S81" s="330">
        <v>151.02000000000001</v>
      </c>
      <c r="T81" s="330">
        <v>1174</v>
      </c>
      <c r="U81" s="330">
        <v>182.16</v>
      </c>
      <c r="V81" s="330">
        <v>1309</v>
      </c>
      <c r="W81" s="330">
        <v>211.25</v>
      </c>
      <c r="X81" s="330">
        <v>21</v>
      </c>
      <c r="Y81" s="330">
        <v>791</v>
      </c>
      <c r="Z81" s="330">
        <v>9</v>
      </c>
      <c r="AA81" s="330">
        <v>57</v>
      </c>
      <c r="AB81" s="330">
        <v>175</v>
      </c>
      <c r="AC81" s="330">
        <v>72</v>
      </c>
      <c r="AD81" s="334">
        <v>10541</v>
      </c>
      <c r="AE81" s="334">
        <v>46</v>
      </c>
      <c r="AF81" s="334">
        <v>70</v>
      </c>
      <c r="AG81" s="334">
        <v>116</v>
      </c>
    </row>
    <row r="82" spans="1:33" x14ac:dyDescent="0.25">
      <c r="A82" s="329" t="s">
        <v>220</v>
      </c>
      <c r="B82" s="335" t="s">
        <v>221</v>
      </c>
      <c r="C82" s="331">
        <v>2516</v>
      </c>
      <c r="D82" s="331">
        <v>0</v>
      </c>
      <c r="E82" s="331">
        <v>260</v>
      </c>
      <c r="F82" s="331">
        <v>272</v>
      </c>
      <c r="G82" s="331">
        <v>344</v>
      </c>
      <c r="H82" s="331">
        <v>3392</v>
      </c>
      <c r="I82" s="330">
        <v>3048</v>
      </c>
      <c r="J82" s="330">
        <v>7</v>
      </c>
      <c r="K82" s="332">
        <v>119.33</v>
      </c>
      <c r="L82" s="332">
        <v>120.79</v>
      </c>
      <c r="M82" s="332">
        <v>6.24</v>
      </c>
      <c r="N82" s="332">
        <v>124.71</v>
      </c>
      <c r="O82" s="333">
        <v>1974</v>
      </c>
      <c r="P82" s="330">
        <v>107.82</v>
      </c>
      <c r="Q82" s="330">
        <v>100.14</v>
      </c>
      <c r="R82" s="330">
        <v>30.12</v>
      </c>
      <c r="S82" s="330">
        <v>137.79</v>
      </c>
      <c r="T82" s="330">
        <v>414</v>
      </c>
      <c r="U82" s="330">
        <v>156.69999999999999</v>
      </c>
      <c r="V82" s="330">
        <v>394</v>
      </c>
      <c r="W82" s="330">
        <v>0</v>
      </c>
      <c r="X82" s="330">
        <v>0</v>
      </c>
      <c r="Y82" s="330">
        <v>0</v>
      </c>
      <c r="Z82" s="330">
        <v>0</v>
      </c>
      <c r="AA82" s="330">
        <v>7</v>
      </c>
      <c r="AB82" s="330">
        <v>7</v>
      </c>
      <c r="AC82" s="330">
        <v>13</v>
      </c>
      <c r="AD82" s="334">
        <v>2483</v>
      </c>
      <c r="AE82" s="334">
        <v>17</v>
      </c>
      <c r="AF82" s="334">
        <v>6</v>
      </c>
      <c r="AG82" s="334">
        <v>23</v>
      </c>
    </row>
    <row r="83" spans="1:33" x14ac:dyDescent="0.25">
      <c r="A83" s="329" t="s">
        <v>222</v>
      </c>
      <c r="B83" s="335" t="s">
        <v>223</v>
      </c>
      <c r="C83" s="331">
        <v>1730</v>
      </c>
      <c r="D83" s="331">
        <v>44</v>
      </c>
      <c r="E83" s="331">
        <v>286</v>
      </c>
      <c r="F83" s="331">
        <v>563</v>
      </c>
      <c r="G83" s="331">
        <v>123</v>
      </c>
      <c r="H83" s="331">
        <v>2746</v>
      </c>
      <c r="I83" s="330">
        <v>2623</v>
      </c>
      <c r="J83" s="330">
        <v>0</v>
      </c>
      <c r="K83" s="332">
        <v>82.32</v>
      </c>
      <c r="L83" s="332">
        <v>80.27</v>
      </c>
      <c r="M83" s="332">
        <v>6.47</v>
      </c>
      <c r="N83" s="332">
        <v>86.19</v>
      </c>
      <c r="O83" s="333">
        <v>1127</v>
      </c>
      <c r="P83" s="330">
        <v>84.44</v>
      </c>
      <c r="Q83" s="330">
        <v>75.900000000000006</v>
      </c>
      <c r="R83" s="330">
        <v>35.39</v>
      </c>
      <c r="S83" s="330">
        <v>119.03</v>
      </c>
      <c r="T83" s="330">
        <v>616</v>
      </c>
      <c r="U83" s="330">
        <v>95.22</v>
      </c>
      <c r="V83" s="330">
        <v>306</v>
      </c>
      <c r="W83" s="330">
        <v>92.31</v>
      </c>
      <c r="X83" s="330">
        <v>10</v>
      </c>
      <c r="Y83" s="330">
        <v>0</v>
      </c>
      <c r="Z83" s="330">
        <v>0</v>
      </c>
      <c r="AA83" s="330">
        <v>3</v>
      </c>
      <c r="AB83" s="330">
        <v>10</v>
      </c>
      <c r="AC83" s="330">
        <v>4</v>
      </c>
      <c r="AD83" s="334">
        <v>1511</v>
      </c>
      <c r="AE83" s="334">
        <v>28</v>
      </c>
      <c r="AF83" s="334">
        <v>6</v>
      </c>
      <c r="AG83" s="334">
        <v>34</v>
      </c>
    </row>
    <row r="84" spans="1:33" x14ac:dyDescent="0.25">
      <c r="A84" s="329" t="s">
        <v>224</v>
      </c>
      <c r="B84" s="335" t="s">
        <v>225</v>
      </c>
      <c r="C84" s="331">
        <v>1471</v>
      </c>
      <c r="D84" s="331">
        <v>11</v>
      </c>
      <c r="E84" s="331">
        <v>154</v>
      </c>
      <c r="F84" s="331">
        <v>67</v>
      </c>
      <c r="G84" s="331">
        <v>581</v>
      </c>
      <c r="H84" s="331">
        <v>2284</v>
      </c>
      <c r="I84" s="330">
        <v>1703</v>
      </c>
      <c r="J84" s="330">
        <v>0</v>
      </c>
      <c r="K84" s="332">
        <v>111.02</v>
      </c>
      <c r="L84" s="332">
        <v>110.21</v>
      </c>
      <c r="M84" s="332">
        <v>6.4</v>
      </c>
      <c r="N84" s="332">
        <v>116.58</v>
      </c>
      <c r="O84" s="333">
        <v>856</v>
      </c>
      <c r="P84" s="330">
        <v>91.36</v>
      </c>
      <c r="Q84" s="330">
        <v>89.95</v>
      </c>
      <c r="R84" s="330">
        <v>30.17</v>
      </c>
      <c r="S84" s="330">
        <v>117.22</v>
      </c>
      <c r="T84" s="330">
        <v>105</v>
      </c>
      <c r="U84" s="330">
        <v>150.85</v>
      </c>
      <c r="V84" s="330">
        <v>161</v>
      </c>
      <c r="W84" s="330">
        <v>0</v>
      </c>
      <c r="X84" s="330">
        <v>0</v>
      </c>
      <c r="Y84" s="330">
        <v>0</v>
      </c>
      <c r="Z84" s="330">
        <v>11</v>
      </c>
      <c r="AA84" s="330">
        <v>4</v>
      </c>
      <c r="AB84" s="330">
        <v>38</v>
      </c>
      <c r="AC84" s="330">
        <v>29</v>
      </c>
      <c r="AD84" s="334">
        <v>1080</v>
      </c>
      <c r="AE84" s="334">
        <v>5</v>
      </c>
      <c r="AF84" s="334">
        <v>5</v>
      </c>
      <c r="AG84" s="334">
        <v>10</v>
      </c>
    </row>
    <row r="85" spans="1:33" x14ac:dyDescent="0.25">
      <c r="A85" s="329" t="s">
        <v>226</v>
      </c>
      <c r="B85" s="335" t="s">
        <v>227</v>
      </c>
      <c r="C85" s="331">
        <v>5780</v>
      </c>
      <c r="D85" s="331">
        <v>0</v>
      </c>
      <c r="E85" s="331">
        <v>571</v>
      </c>
      <c r="F85" s="331">
        <v>1351</v>
      </c>
      <c r="G85" s="331">
        <v>535</v>
      </c>
      <c r="H85" s="331">
        <v>8237</v>
      </c>
      <c r="I85" s="330">
        <v>7702</v>
      </c>
      <c r="J85" s="330">
        <v>1</v>
      </c>
      <c r="K85" s="332">
        <v>89.95</v>
      </c>
      <c r="L85" s="332">
        <v>91.99</v>
      </c>
      <c r="M85" s="332">
        <v>5.85</v>
      </c>
      <c r="N85" s="332">
        <v>94.05</v>
      </c>
      <c r="O85" s="333">
        <v>5481</v>
      </c>
      <c r="P85" s="330">
        <v>80.88</v>
      </c>
      <c r="Q85" s="330">
        <v>81.47</v>
      </c>
      <c r="R85" s="330">
        <v>43.78</v>
      </c>
      <c r="S85" s="330">
        <v>122.14</v>
      </c>
      <c r="T85" s="330">
        <v>1438</v>
      </c>
      <c r="U85" s="330">
        <v>103.24</v>
      </c>
      <c r="V85" s="330">
        <v>170</v>
      </c>
      <c r="W85" s="330">
        <v>156.19</v>
      </c>
      <c r="X85" s="330">
        <v>95</v>
      </c>
      <c r="Y85" s="330">
        <v>0</v>
      </c>
      <c r="Z85" s="330">
        <v>4</v>
      </c>
      <c r="AA85" s="330">
        <v>14</v>
      </c>
      <c r="AB85" s="330">
        <v>3</v>
      </c>
      <c r="AC85" s="330">
        <v>10</v>
      </c>
      <c r="AD85" s="334">
        <v>5683</v>
      </c>
      <c r="AE85" s="334">
        <v>58</v>
      </c>
      <c r="AF85" s="334">
        <v>10</v>
      </c>
      <c r="AG85" s="334">
        <v>68</v>
      </c>
    </row>
    <row r="86" spans="1:33" x14ac:dyDescent="0.25">
      <c r="A86" s="329" t="s">
        <v>228</v>
      </c>
      <c r="B86" s="335" t="s">
        <v>229</v>
      </c>
      <c r="C86" s="331">
        <v>3662</v>
      </c>
      <c r="D86" s="331">
        <v>0</v>
      </c>
      <c r="E86" s="331">
        <v>65</v>
      </c>
      <c r="F86" s="331">
        <v>294</v>
      </c>
      <c r="G86" s="331">
        <v>159</v>
      </c>
      <c r="H86" s="331">
        <v>4180</v>
      </c>
      <c r="I86" s="330">
        <v>4021</v>
      </c>
      <c r="J86" s="330">
        <v>0</v>
      </c>
      <c r="K86" s="332">
        <v>93.89</v>
      </c>
      <c r="L86" s="332">
        <v>95.28</v>
      </c>
      <c r="M86" s="332">
        <v>2.4700000000000002</v>
      </c>
      <c r="N86" s="332">
        <v>96.05</v>
      </c>
      <c r="O86" s="333">
        <v>3400</v>
      </c>
      <c r="P86" s="330">
        <v>84.58</v>
      </c>
      <c r="Q86" s="330">
        <v>83.16</v>
      </c>
      <c r="R86" s="330">
        <v>36.21</v>
      </c>
      <c r="S86" s="330">
        <v>119.94</v>
      </c>
      <c r="T86" s="330">
        <v>340</v>
      </c>
      <c r="U86" s="330">
        <v>115.34</v>
      </c>
      <c r="V86" s="330">
        <v>151</v>
      </c>
      <c r="W86" s="330">
        <v>0</v>
      </c>
      <c r="X86" s="330">
        <v>0</v>
      </c>
      <c r="Y86" s="330">
        <v>2</v>
      </c>
      <c r="Z86" s="330">
        <v>6</v>
      </c>
      <c r="AA86" s="330">
        <v>3</v>
      </c>
      <c r="AB86" s="330">
        <v>8</v>
      </c>
      <c r="AC86" s="330">
        <v>5</v>
      </c>
      <c r="AD86" s="334">
        <v>3551</v>
      </c>
      <c r="AE86" s="334">
        <v>26</v>
      </c>
      <c r="AF86" s="334">
        <v>36</v>
      </c>
      <c r="AG86" s="334">
        <v>62</v>
      </c>
    </row>
    <row r="87" spans="1:33" x14ac:dyDescent="0.25">
      <c r="A87" s="329" t="s">
        <v>230</v>
      </c>
      <c r="B87" s="335" t="s">
        <v>231</v>
      </c>
      <c r="C87" s="331">
        <v>2129</v>
      </c>
      <c r="D87" s="331">
        <v>0</v>
      </c>
      <c r="E87" s="331">
        <v>561</v>
      </c>
      <c r="F87" s="331">
        <v>1026</v>
      </c>
      <c r="G87" s="331">
        <v>220</v>
      </c>
      <c r="H87" s="331">
        <v>3936</v>
      </c>
      <c r="I87" s="330">
        <v>3716</v>
      </c>
      <c r="J87" s="330">
        <v>0</v>
      </c>
      <c r="K87" s="332">
        <v>84.55</v>
      </c>
      <c r="L87" s="332">
        <v>82.78</v>
      </c>
      <c r="M87" s="332">
        <v>5.16</v>
      </c>
      <c r="N87" s="332">
        <v>87.47</v>
      </c>
      <c r="O87" s="333">
        <v>1726</v>
      </c>
      <c r="P87" s="330">
        <v>94.32</v>
      </c>
      <c r="Q87" s="330">
        <v>79.03</v>
      </c>
      <c r="R87" s="330">
        <v>24.47</v>
      </c>
      <c r="S87" s="330">
        <v>117.88</v>
      </c>
      <c r="T87" s="330">
        <v>1370</v>
      </c>
      <c r="U87" s="330">
        <v>93.37</v>
      </c>
      <c r="V87" s="330">
        <v>265</v>
      </c>
      <c r="W87" s="330">
        <v>145.53</v>
      </c>
      <c r="X87" s="330">
        <v>77</v>
      </c>
      <c r="Y87" s="330">
        <v>0</v>
      </c>
      <c r="Z87" s="330">
        <v>0</v>
      </c>
      <c r="AA87" s="330">
        <v>5</v>
      </c>
      <c r="AB87" s="330">
        <v>11</v>
      </c>
      <c r="AC87" s="330">
        <v>12</v>
      </c>
      <c r="AD87" s="334">
        <v>2071</v>
      </c>
      <c r="AE87" s="334">
        <v>12</v>
      </c>
      <c r="AF87" s="334">
        <v>9</v>
      </c>
      <c r="AG87" s="334">
        <v>21</v>
      </c>
    </row>
    <row r="88" spans="1:33" x14ac:dyDescent="0.25">
      <c r="A88" s="329" t="s">
        <v>232</v>
      </c>
      <c r="B88" s="335" t="s">
        <v>233</v>
      </c>
      <c r="C88" s="331">
        <v>15659</v>
      </c>
      <c r="D88" s="331">
        <v>51</v>
      </c>
      <c r="E88" s="331">
        <v>563</v>
      </c>
      <c r="F88" s="331">
        <v>4374</v>
      </c>
      <c r="G88" s="331">
        <v>921</v>
      </c>
      <c r="H88" s="331">
        <v>21568</v>
      </c>
      <c r="I88" s="330">
        <v>20647</v>
      </c>
      <c r="J88" s="330">
        <v>30</v>
      </c>
      <c r="K88" s="332">
        <v>101.71</v>
      </c>
      <c r="L88" s="332">
        <v>102</v>
      </c>
      <c r="M88" s="332">
        <v>4.09</v>
      </c>
      <c r="N88" s="332">
        <v>103.84</v>
      </c>
      <c r="O88" s="333">
        <v>14594</v>
      </c>
      <c r="P88" s="330">
        <v>89.03</v>
      </c>
      <c r="Q88" s="330">
        <v>88.4</v>
      </c>
      <c r="R88" s="330">
        <v>20.37</v>
      </c>
      <c r="S88" s="330">
        <v>108.38</v>
      </c>
      <c r="T88" s="330">
        <v>4472</v>
      </c>
      <c r="U88" s="330">
        <v>136.4</v>
      </c>
      <c r="V88" s="330">
        <v>1028</v>
      </c>
      <c r="W88" s="330">
        <v>149.99</v>
      </c>
      <c r="X88" s="330">
        <v>32</v>
      </c>
      <c r="Y88" s="330">
        <v>469</v>
      </c>
      <c r="Z88" s="330">
        <v>14</v>
      </c>
      <c r="AA88" s="330">
        <v>18</v>
      </c>
      <c r="AB88" s="330">
        <v>85</v>
      </c>
      <c r="AC88" s="330">
        <v>15</v>
      </c>
      <c r="AD88" s="334">
        <v>15635</v>
      </c>
      <c r="AE88" s="334">
        <v>89</v>
      </c>
      <c r="AF88" s="334">
        <v>18</v>
      </c>
      <c r="AG88" s="334">
        <v>107</v>
      </c>
    </row>
    <row r="89" spans="1:33" x14ac:dyDescent="0.25">
      <c r="A89" s="329" t="s">
        <v>234</v>
      </c>
      <c r="B89" s="335" t="s">
        <v>235</v>
      </c>
      <c r="C89" s="331">
        <v>1954</v>
      </c>
      <c r="D89" s="331">
        <v>0</v>
      </c>
      <c r="E89" s="331">
        <v>122</v>
      </c>
      <c r="F89" s="331">
        <v>508</v>
      </c>
      <c r="G89" s="331">
        <v>172</v>
      </c>
      <c r="H89" s="331">
        <v>2756</v>
      </c>
      <c r="I89" s="330">
        <v>2584</v>
      </c>
      <c r="J89" s="330">
        <v>11</v>
      </c>
      <c r="K89" s="332">
        <v>92.69</v>
      </c>
      <c r="L89" s="332">
        <v>94.17</v>
      </c>
      <c r="M89" s="332">
        <v>5.54</v>
      </c>
      <c r="N89" s="332">
        <v>96.94</v>
      </c>
      <c r="O89" s="333">
        <v>1706</v>
      </c>
      <c r="P89" s="330">
        <v>91.51</v>
      </c>
      <c r="Q89" s="330">
        <v>90.28</v>
      </c>
      <c r="R89" s="330">
        <v>33.369999999999997</v>
      </c>
      <c r="S89" s="330">
        <v>123.89</v>
      </c>
      <c r="T89" s="330">
        <v>609</v>
      </c>
      <c r="U89" s="330">
        <v>116.47</v>
      </c>
      <c r="V89" s="330">
        <v>154</v>
      </c>
      <c r="W89" s="330">
        <v>0</v>
      </c>
      <c r="X89" s="330">
        <v>0</v>
      </c>
      <c r="Y89" s="330">
        <v>0</v>
      </c>
      <c r="Z89" s="330">
        <v>6</v>
      </c>
      <c r="AA89" s="330">
        <v>14</v>
      </c>
      <c r="AB89" s="330">
        <v>8</v>
      </c>
      <c r="AC89" s="330">
        <v>11</v>
      </c>
      <c r="AD89" s="334">
        <v>1902</v>
      </c>
      <c r="AE89" s="334">
        <v>20</v>
      </c>
      <c r="AF89" s="334">
        <v>6</v>
      </c>
      <c r="AG89" s="334">
        <v>26</v>
      </c>
    </row>
    <row r="90" spans="1:33" x14ac:dyDescent="0.25">
      <c r="A90" s="329" t="s">
        <v>236</v>
      </c>
      <c r="B90" s="335" t="s">
        <v>237</v>
      </c>
      <c r="C90" s="331">
        <v>3453</v>
      </c>
      <c r="D90" s="331">
        <v>0</v>
      </c>
      <c r="E90" s="331">
        <v>418</v>
      </c>
      <c r="F90" s="331">
        <v>889</v>
      </c>
      <c r="G90" s="331">
        <v>727</v>
      </c>
      <c r="H90" s="331">
        <v>5487</v>
      </c>
      <c r="I90" s="330">
        <v>4760</v>
      </c>
      <c r="J90" s="330">
        <v>41</v>
      </c>
      <c r="K90" s="332">
        <v>95.98</v>
      </c>
      <c r="L90" s="332">
        <v>95.53</v>
      </c>
      <c r="M90" s="332">
        <v>6.21</v>
      </c>
      <c r="N90" s="332">
        <v>101.04</v>
      </c>
      <c r="O90" s="333">
        <v>3193</v>
      </c>
      <c r="P90" s="330">
        <v>97.65</v>
      </c>
      <c r="Q90" s="330">
        <v>95.48</v>
      </c>
      <c r="R90" s="330">
        <v>38.61</v>
      </c>
      <c r="S90" s="330">
        <v>133.43</v>
      </c>
      <c r="T90" s="330">
        <v>1048</v>
      </c>
      <c r="U90" s="330">
        <v>111.66</v>
      </c>
      <c r="V90" s="330">
        <v>172</v>
      </c>
      <c r="W90" s="330">
        <v>0</v>
      </c>
      <c r="X90" s="330">
        <v>0</v>
      </c>
      <c r="Y90" s="330">
        <v>0</v>
      </c>
      <c r="Z90" s="330">
        <v>5</v>
      </c>
      <c r="AA90" s="330">
        <v>2</v>
      </c>
      <c r="AB90" s="330">
        <v>11</v>
      </c>
      <c r="AC90" s="330">
        <v>20</v>
      </c>
      <c r="AD90" s="334">
        <v>3453</v>
      </c>
      <c r="AE90" s="334">
        <v>12</v>
      </c>
      <c r="AF90" s="334">
        <v>6</v>
      </c>
      <c r="AG90" s="334">
        <v>18</v>
      </c>
    </row>
    <row r="91" spans="1:33" x14ac:dyDescent="0.25">
      <c r="A91" s="329" t="s">
        <v>238</v>
      </c>
      <c r="B91" s="335" t="s">
        <v>239</v>
      </c>
      <c r="C91" s="331">
        <v>9311</v>
      </c>
      <c r="D91" s="331">
        <v>20</v>
      </c>
      <c r="E91" s="331">
        <v>1202</v>
      </c>
      <c r="F91" s="331">
        <v>790</v>
      </c>
      <c r="G91" s="331">
        <v>2115</v>
      </c>
      <c r="H91" s="331">
        <v>13438</v>
      </c>
      <c r="I91" s="330">
        <v>11323</v>
      </c>
      <c r="J91" s="330">
        <v>97</v>
      </c>
      <c r="K91" s="332">
        <v>132.57</v>
      </c>
      <c r="L91" s="332">
        <v>130.80000000000001</v>
      </c>
      <c r="M91" s="332">
        <v>10.029999999999999</v>
      </c>
      <c r="N91" s="332">
        <v>139.62</v>
      </c>
      <c r="O91" s="333">
        <v>8204</v>
      </c>
      <c r="P91" s="330">
        <v>117.72</v>
      </c>
      <c r="Q91" s="330">
        <v>115.99</v>
      </c>
      <c r="R91" s="330">
        <v>41.8</v>
      </c>
      <c r="S91" s="330">
        <v>155.09</v>
      </c>
      <c r="T91" s="330">
        <v>1122</v>
      </c>
      <c r="U91" s="330">
        <v>194.93</v>
      </c>
      <c r="V91" s="330">
        <v>626</v>
      </c>
      <c r="W91" s="330">
        <v>198.91</v>
      </c>
      <c r="X91" s="330">
        <v>29</v>
      </c>
      <c r="Y91" s="330">
        <v>25</v>
      </c>
      <c r="Z91" s="330">
        <v>6</v>
      </c>
      <c r="AA91" s="330">
        <v>29</v>
      </c>
      <c r="AB91" s="330">
        <v>59</v>
      </c>
      <c r="AC91" s="330">
        <v>82</v>
      </c>
      <c r="AD91" s="334">
        <v>9006</v>
      </c>
      <c r="AE91" s="334">
        <v>15</v>
      </c>
      <c r="AF91" s="334">
        <v>35</v>
      </c>
      <c r="AG91" s="334">
        <v>50</v>
      </c>
    </row>
    <row r="92" spans="1:33" x14ac:dyDescent="0.25">
      <c r="A92" s="329" t="s">
        <v>240</v>
      </c>
      <c r="B92" s="335" t="s">
        <v>241</v>
      </c>
      <c r="C92" s="331">
        <v>4028</v>
      </c>
      <c r="D92" s="331">
        <v>6</v>
      </c>
      <c r="E92" s="331">
        <v>111</v>
      </c>
      <c r="F92" s="331">
        <v>1054</v>
      </c>
      <c r="G92" s="331">
        <v>500</v>
      </c>
      <c r="H92" s="331">
        <v>5699</v>
      </c>
      <c r="I92" s="330">
        <v>5199</v>
      </c>
      <c r="J92" s="330">
        <v>0</v>
      </c>
      <c r="K92" s="332">
        <v>104.44</v>
      </c>
      <c r="L92" s="332">
        <v>104.96</v>
      </c>
      <c r="M92" s="332">
        <v>4.4800000000000004</v>
      </c>
      <c r="N92" s="332">
        <v>105.13</v>
      </c>
      <c r="O92" s="333">
        <v>3672</v>
      </c>
      <c r="P92" s="330">
        <v>95.13</v>
      </c>
      <c r="Q92" s="330">
        <v>95.73</v>
      </c>
      <c r="R92" s="330">
        <v>16.71</v>
      </c>
      <c r="S92" s="330">
        <v>111.32</v>
      </c>
      <c r="T92" s="330">
        <v>1128</v>
      </c>
      <c r="U92" s="330">
        <v>123.34</v>
      </c>
      <c r="V92" s="330">
        <v>312</v>
      </c>
      <c r="W92" s="330">
        <v>0</v>
      </c>
      <c r="X92" s="330">
        <v>0</v>
      </c>
      <c r="Y92" s="330">
        <v>0</v>
      </c>
      <c r="Z92" s="330">
        <v>6</v>
      </c>
      <c r="AA92" s="330">
        <v>0</v>
      </c>
      <c r="AB92" s="330">
        <v>0</v>
      </c>
      <c r="AC92" s="330">
        <v>21</v>
      </c>
      <c r="AD92" s="334">
        <v>4020</v>
      </c>
      <c r="AE92" s="334">
        <v>1</v>
      </c>
      <c r="AF92" s="334">
        <v>7</v>
      </c>
      <c r="AG92" s="334">
        <v>8</v>
      </c>
    </row>
    <row r="93" spans="1:33" x14ac:dyDescent="0.25">
      <c r="A93" s="329" t="s">
        <v>242</v>
      </c>
      <c r="B93" s="335" t="s">
        <v>243</v>
      </c>
      <c r="C93" s="331">
        <v>1926</v>
      </c>
      <c r="D93" s="331">
        <v>0</v>
      </c>
      <c r="E93" s="331">
        <v>189</v>
      </c>
      <c r="F93" s="331">
        <v>170</v>
      </c>
      <c r="G93" s="331">
        <v>424</v>
      </c>
      <c r="H93" s="331">
        <v>2709</v>
      </c>
      <c r="I93" s="330">
        <v>2285</v>
      </c>
      <c r="J93" s="330">
        <v>3</v>
      </c>
      <c r="K93" s="332">
        <v>96.13</v>
      </c>
      <c r="L93" s="332">
        <v>93.56</v>
      </c>
      <c r="M93" s="332">
        <v>3.99</v>
      </c>
      <c r="N93" s="332">
        <v>99.12</v>
      </c>
      <c r="O93" s="333">
        <v>1410</v>
      </c>
      <c r="P93" s="330">
        <v>98.04</v>
      </c>
      <c r="Q93" s="330">
        <v>80.77</v>
      </c>
      <c r="R93" s="330">
        <v>58.34</v>
      </c>
      <c r="S93" s="330">
        <v>149.65</v>
      </c>
      <c r="T93" s="330">
        <v>234</v>
      </c>
      <c r="U93" s="330">
        <v>127.52</v>
      </c>
      <c r="V93" s="330">
        <v>416</v>
      </c>
      <c r="W93" s="330">
        <v>0</v>
      </c>
      <c r="X93" s="330">
        <v>0</v>
      </c>
      <c r="Y93" s="330">
        <v>125</v>
      </c>
      <c r="Z93" s="330">
        <v>0</v>
      </c>
      <c r="AA93" s="330">
        <v>1</v>
      </c>
      <c r="AB93" s="330">
        <v>53</v>
      </c>
      <c r="AC93" s="330">
        <v>5</v>
      </c>
      <c r="AD93" s="334">
        <v>1869</v>
      </c>
      <c r="AE93" s="334">
        <v>3</v>
      </c>
      <c r="AF93" s="334">
        <v>3</v>
      </c>
      <c r="AG93" s="334">
        <v>6</v>
      </c>
    </row>
    <row r="94" spans="1:33" x14ac:dyDescent="0.25">
      <c r="A94" s="329" t="s">
        <v>244</v>
      </c>
      <c r="B94" s="335" t="s">
        <v>245</v>
      </c>
      <c r="C94" s="331">
        <v>5212</v>
      </c>
      <c r="D94" s="331">
        <v>10</v>
      </c>
      <c r="E94" s="331">
        <v>94</v>
      </c>
      <c r="F94" s="331">
        <v>806</v>
      </c>
      <c r="G94" s="331">
        <v>404</v>
      </c>
      <c r="H94" s="331">
        <v>6526</v>
      </c>
      <c r="I94" s="330">
        <v>6122</v>
      </c>
      <c r="J94" s="330">
        <v>0</v>
      </c>
      <c r="K94" s="332">
        <v>118.05</v>
      </c>
      <c r="L94" s="332">
        <v>116.06</v>
      </c>
      <c r="M94" s="332">
        <v>1.55</v>
      </c>
      <c r="N94" s="332">
        <v>119.41</v>
      </c>
      <c r="O94" s="333">
        <v>4245</v>
      </c>
      <c r="P94" s="330">
        <v>95.39</v>
      </c>
      <c r="Q94" s="330">
        <v>94.26</v>
      </c>
      <c r="R94" s="330">
        <v>13.54</v>
      </c>
      <c r="S94" s="330">
        <v>108.77</v>
      </c>
      <c r="T94" s="330">
        <v>871</v>
      </c>
      <c r="U94" s="330">
        <v>145.51</v>
      </c>
      <c r="V94" s="330">
        <v>588</v>
      </c>
      <c r="W94" s="330">
        <v>0</v>
      </c>
      <c r="X94" s="330">
        <v>0</v>
      </c>
      <c r="Y94" s="330">
        <v>0</v>
      </c>
      <c r="Z94" s="330">
        <v>6</v>
      </c>
      <c r="AA94" s="330">
        <v>0</v>
      </c>
      <c r="AB94" s="330">
        <v>20</v>
      </c>
      <c r="AC94" s="330">
        <v>7</v>
      </c>
      <c r="AD94" s="334">
        <v>4948</v>
      </c>
      <c r="AE94" s="334">
        <v>18</v>
      </c>
      <c r="AF94" s="334">
        <v>17</v>
      </c>
      <c r="AG94" s="334">
        <v>35</v>
      </c>
    </row>
    <row r="95" spans="1:33" x14ac:dyDescent="0.25">
      <c r="A95" s="329" t="s">
        <v>246</v>
      </c>
      <c r="B95" s="335" t="s">
        <v>247</v>
      </c>
      <c r="C95" s="331">
        <v>6633</v>
      </c>
      <c r="D95" s="331">
        <v>0</v>
      </c>
      <c r="E95" s="331">
        <v>189</v>
      </c>
      <c r="F95" s="331">
        <v>1061</v>
      </c>
      <c r="G95" s="331">
        <v>617</v>
      </c>
      <c r="H95" s="331">
        <v>8500</v>
      </c>
      <c r="I95" s="330">
        <v>7883</v>
      </c>
      <c r="J95" s="330">
        <v>13</v>
      </c>
      <c r="K95" s="332">
        <v>118.33</v>
      </c>
      <c r="L95" s="332">
        <v>120.33</v>
      </c>
      <c r="M95" s="332">
        <v>5.44</v>
      </c>
      <c r="N95" s="332">
        <v>120.22</v>
      </c>
      <c r="O95" s="333">
        <v>5374</v>
      </c>
      <c r="P95" s="330">
        <v>103.11</v>
      </c>
      <c r="Q95" s="330">
        <v>98.14</v>
      </c>
      <c r="R95" s="330">
        <v>22.9</v>
      </c>
      <c r="S95" s="330">
        <v>125.22</v>
      </c>
      <c r="T95" s="330">
        <v>758</v>
      </c>
      <c r="U95" s="330">
        <v>155.69999999999999</v>
      </c>
      <c r="V95" s="330">
        <v>1149</v>
      </c>
      <c r="W95" s="330">
        <v>0</v>
      </c>
      <c r="X95" s="330">
        <v>0</v>
      </c>
      <c r="Y95" s="330">
        <v>0</v>
      </c>
      <c r="Z95" s="330">
        <v>12</v>
      </c>
      <c r="AA95" s="330">
        <v>1</v>
      </c>
      <c r="AB95" s="330">
        <v>35</v>
      </c>
      <c r="AC95" s="330">
        <v>21</v>
      </c>
      <c r="AD95" s="334">
        <v>6633</v>
      </c>
      <c r="AE95" s="334">
        <v>29</v>
      </c>
      <c r="AF95" s="334">
        <v>70</v>
      </c>
      <c r="AG95" s="334">
        <v>99</v>
      </c>
    </row>
    <row r="96" spans="1:33" x14ac:dyDescent="0.25">
      <c r="A96" s="329" t="s">
        <v>248</v>
      </c>
      <c r="B96" s="335" t="s">
        <v>249</v>
      </c>
      <c r="C96" s="331">
        <v>6183</v>
      </c>
      <c r="D96" s="331">
        <v>0</v>
      </c>
      <c r="E96" s="331">
        <v>215</v>
      </c>
      <c r="F96" s="331">
        <v>899</v>
      </c>
      <c r="G96" s="331">
        <v>447</v>
      </c>
      <c r="H96" s="331">
        <v>7744</v>
      </c>
      <c r="I96" s="330">
        <v>7297</v>
      </c>
      <c r="J96" s="330">
        <v>0</v>
      </c>
      <c r="K96" s="332">
        <v>85.26</v>
      </c>
      <c r="L96" s="332">
        <v>85.39</v>
      </c>
      <c r="M96" s="332">
        <v>1.8</v>
      </c>
      <c r="N96" s="332">
        <v>86.72</v>
      </c>
      <c r="O96" s="333">
        <v>5160</v>
      </c>
      <c r="P96" s="330">
        <v>80.63</v>
      </c>
      <c r="Q96" s="330">
        <v>78.58</v>
      </c>
      <c r="R96" s="330">
        <v>23.35</v>
      </c>
      <c r="S96" s="330">
        <v>103.11</v>
      </c>
      <c r="T96" s="330">
        <v>1068</v>
      </c>
      <c r="U96" s="330">
        <v>93.09</v>
      </c>
      <c r="V96" s="330">
        <v>830</v>
      </c>
      <c r="W96" s="330">
        <v>144.91</v>
      </c>
      <c r="X96" s="330">
        <v>40</v>
      </c>
      <c r="Y96" s="330">
        <v>0</v>
      </c>
      <c r="Z96" s="330">
        <v>4</v>
      </c>
      <c r="AA96" s="330">
        <v>7</v>
      </c>
      <c r="AB96" s="330">
        <v>34</v>
      </c>
      <c r="AC96" s="330">
        <v>2</v>
      </c>
      <c r="AD96" s="334">
        <v>6056</v>
      </c>
      <c r="AE96" s="334">
        <v>33</v>
      </c>
      <c r="AF96" s="334">
        <v>18</v>
      </c>
      <c r="AG96" s="334">
        <v>51</v>
      </c>
    </row>
    <row r="97" spans="1:33" x14ac:dyDescent="0.25">
      <c r="A97" s="329" t="s">
        <v>250</v>
      </c>
      <c r="B97" s="335" t="s">
        <v>251</v>
      </c>
      <c r="C97" s="331">
        <v>1743</v>
      </c>
      <c r="D97" s="331">
        <v>0</v>
      </c>
      <c r="E97" s="331">
        <v>184</v>
      </c>
      <c r="F97" s="331">
        <v>633</v>
      </c>
      <c r="G97" s="331">
        <v>162</v>
      </c>
      <c r="H97" s="331">
        <v>2722</v>
      </c>
      <c r="I97" s="330">
        <v>2560</v>
      </c>
      <c r="J97" s="330">
        <v>7</v>
      </c>
      <c r="K97" s="332">
        <v>92.53</v>
      </c>
      <c r="L97" s="332">
        <v>91.04</v>
      </c>
      <c r="M97" s="332">
        <v>4.8099999999999996</v>
      </c>
      <c r="N97" s="332">
        <v>95.3</v>
      </c>
      <c r="O97" s="333">
        <v>1410</v>
      </c>
      <c r="P97" s="330">
        <v>85.96</v>
      </c>
      <c r="Q97" s="330">
        <v>80.099999999999994</v>
      </c>
      <c r="R97" s="330">
        <v>33.42</v>
      </c>
      <c r="S97" s="330">
        <v>119.18</v>
      </c>
      <c r="T97" s="330">
        <v>694</v>
      </c>
      <c r="U97" s="330">
        <v>101.23</v>
      </c>
      <c r="V97" s="330">
        <v>176</v>
      </c>
      <c r="W97" s="330">
        <v>127.86</v>
      </c>
      <c r="X97" s="330">
        <v>16</v>
      </c>
      <c r="Y97" s="330">
        <v>0</v>
      </c>
      <c r="Z97" s="330">
        <v>0</v>
      </c>
      <c r="AA97" s="330">
        <v>13</v>
      </c>
      <c r="AB97" s="330">
        <v>0</v>
      </c>
      <c r="AC97" s="330">
        <v>2</v>
      </c>
      <c r="AD97" s="334">
        <v>1606</v>
      </c>
      <c r="AE97" s="334">
        <v>4</v>
      </c>
      <c r="AF97" s="334">
        <v>4</v>
      </c>
      <c r="AG97" s="334">
        <v>8</v>
      </c>
    </row>
    <row r="98" spans="1:33" x14ac:dyDescent="0.25">
      <c r="A98" s="329" t="s">
        <v>252</v>
      </c>
      <c r="B98" s="335" t="s">
        <v>253</v>
      </c>
      <c r="C98" s="331">
        <v>5435</v>
      </c>
      <c r="D98" s="331">
        <v>0</v>
      </c>
      <c r="E98" s="331">
        <v>160</v>
      </c>
      <c r="F98" s="331">
        <v>977</v>
      </c>
      <c r="G98" s="331">
        <v>164</v>
      </c>
      <c r="H98" s="331">
        <v>6736</v>
      </c>
      <c r="I98" s="330">
        <v>6572</v>
      </c>
      <c r="J98" s="330">
        <v>1</v>
      </c>
      <c r="K98" s="332">
        <v>83.61</v>
      </c>
      <c r="L98" s="332">
        <v>80.62</v>
      </c>
      <c r="M98" s="332">
        <v>7.57</v>
      </c>
      <c r="N98" s="332">
        <v>86.3</v>
      </c>
      <c r="O98" s="333">
        <v>4464</v>
      </c>
      <c r="P98" s="330">
        <v>80.89</v>
      </c>
      <c r="Q98" s="330">
        <v>79.75</v>
      </c>
      <c r="R98" s="330">
        <v>29.2</v>
      </c>
      <c r="S98" s="330">
        <v>104.13</v>
      </c>
      <c r="T98" s="330">
        <v>1089</v>
      </c>
      <c r="U98" s="330">
        <v>94.25</v>
      </c>
      <c r="V98" s="330">
        <v>873</v>
      </c>
      <c r="W98" s="330">
        <v>85.96</v>
      </c>
      <c r="X98" s="330">
        <v>48</v>
      </c>
      <c r="Y98" s="330">
        <v>0</v>
      </c>
      <c r="Z98" s="330">
        <v>32</v>
      </c>
      <c r="AA98" s="330">
        <v>19</v>
      </c>
      <c r="AB98" s="330">
        <v>1</v>
      </c>
      <c r="AC98" s="330">
        <v>11</v>
      </c>
      <c r="AD98" s="334">
        <v>5435</v>
      </c>
      <c r="AE98" s="334">
        <v>27</v>
      </c>
      <c r="AF98" s="334">
        <v>3</v>
      </c>
      <c r="AG98" s="334">
        <v>30</v>
      </c>
    </row>
    <row r="99" spans="1:33" x14ac:dyDescent="0.25">
      <c r="A99" s="329" t="s">
        <v>254</v>
      </c>
      <c r="B99" s="335" t="s">
        <v>255</v>
      </c>
      <c r="C99" s="331">
        <v>7620</v>
      </c>
      <c r="D99" s="331">
        <v>0</v>
      </c>
      <c r="E99" s="331">
        <v>414</v>
      </c>
      <c r="F99" s="331">
        <v>1445</v>
      </c>
      <c r="G99" s="331">
        <v>264</v>
      </c>
      <c r="H99" s="331">
        <v>9743</v>
      </c>
      <c r="I99" s="330">
        <v>9479</v>
      </c>
      <c r="J99" s="330">
        <v>25</v>
      </c>
      <c r="K99" s="332">
        <v>93.69</v>
      </c>
      <c r="L99" s="332">
        <v>92.24</v>
      </c>
      <c r="M99" s="332">
        <v>3.61</v>
      </c>
      <c r="N99" s="332">
        <v>95.06</v>
      </c>
      <c r="O99" s="333">
        <v>7039</v>
      </c>
      <c r="P99" s="330">
        <v>81.569999999999993</v>
      </c>
      <c r="Q99" s="330">
        <v>78.11</v>
      </c>
      <c r="R99" s="330">
        <v>33.270000000000003</v>
      </c>
      <c r="S99" s="330">
        <v>113.52</v>
      </c>
      <c r="T99" s="330">
        <v>1720</v>
      </c>
      <c r="U99" s="330">
        <v>104.11</v>
      </c>
      <c r="V99" s="330">
        <v>385</v>
      </c>
      <c r="W99" s="330">
        <v>168.32</v>
      </c>
      <c r="X99" s="330">
        <v>23</v>
      </c>
      <c r="Y99" s="330">
        <v>0</v>
      </c>
      <c r="Z99" s="330">
        <v>4</v>
      </c>
      <c r="AA99" s="330">
        <v>12</v>
      </c>
      <c r="AB99" s="330">
        <v>12</v>
      </c>
      <c r="AC99" s="330">
        <v>12</v>
      </c>
      <c r="AD99" s="334">
        <v>7606</v>
      </c>
      <c r="AE99" s="334">
        <v>50</v>
      </c>
      <c r="AF99" s="334">
        <v>15</v>
      </c>
      <c r="AG99" s="334">
        <v>65</v>
      </c>
    </row>
    <row r="100" spans="1:33" x14ac:dyDescent="0.25">
      <c r="A100" s="329" t="s">
        <v>256</v>
      </c>
      <c r="B100" s="335" t="s">
        <v>257</v>
      </c>
      <c r="C100" s="331">
        <v>1621</v>
      </c>
      <c r="D100" s="331">
        <v>12</v>
      </c>
      <c r="E100" s="331">
        <v>234</v>
      </c>
      <c r="F100" s="331">
        <v>593</v>
      </c>
      <c r="G100" s="331">
        <v>155</v>
      </c>
      <c r="H100" s="331">
        <v>2615</v>
      </c>
      <c r="I100" s="330">
        <v>2460</v>
      </c>
      <c r="J100" s="330">
        <v>54</v>
      </c>
      <c r="K100" s="332">
        <v>98.2</v>
      </c>
      <c r="L100" s="332">
        <v>94.85</v>
      </c>
      <c r="M100" s="332">
        <v>5.61</v>
      </c>
      <c r="N100" s="332">
        <v>102.92</v>
      </c>
      <c r="O100" s="333">
        <v>1447</v>
      </c>
      <c r="P100" s="330">
        <v>79</v>
      </c>
      <c r="Q100" s="330">
        <v>74.31</v>
      </c>
      <c r="R100" s="330">
        <v>39.049999999999997</v>
      </c>
      <c r="S100" s="330">
        <v>117.71</v>
      </c>
      <c r="T100" s="330">
        <v>689</v>
      </c>
      <c r="U100" s="330">
        <v>132.88999999999999</v>
      </c>
      <c r="V100" s="330">
        <v>169</v>
      </c>
      <c r="W100" s="330">
        <v>170.79</v>
      </c>
      <c r="X100" s="330">
        <v>32</v>
      </c>
      <c r="Y100" s="330">
        <v>0</v>
      </c>
      <c r="Z100" s="330">
        <v>0</v>
      </c>
      <c r="AA100" s="330">
        <v>5</v>
      </c>
      <c r="AB100" s="330">
        <v>0</v>
      </c>
      <c r="AC100" s="330">
        <v>5</v>
      </c>
      <c r="AD100" s="334">
        <v>1621</v>
      </c>
      <c r="AE100" s="334">
        <v>3</v>
      </c>
      <c r="AF100" s="334">
        <v>2</v>
      </c>
      <c r="AG100" s="334">
        <v>5</v>
      </c>
    </row>
    <row r="101" spans="1:33" x14ac:dyDescent="0.25">
      <c r="A101" s="329" t="s">
        <v>258</v>
      </c>
      <c r="B101" s="335" t="s">
        <v>259</v>
      </c>
      <c r="C101" s="331">
        <v>5272</v>
      </c>
      <c r="D101" s="331">
        <v>0</v>
      </c>
      <c r="E101" s="331">
        <v>181</v>
      </c>
      <c r="F101" s="331">
        <v>1189</v>
      </c>
      <c r="G101" s="331">
        <v>537</v>
      </c>
      <c r="H101" s="331">
        <v>7179</v>
      </c>
      <c r="I101" s="330">
        <v>6642</v>
      </c>
      <c r="J101" s="330">
        <v>0</v>
      </c>
      <c r="K101" s="332">
        <v>110.94</v>
      </c>
      <c r="L101" s="332">
        <v>110.4</v>
      </c>
      <c r="M101" s="332">
        <v>4.63</v>
      </c>
      <c r="N101" s="332">
        <v>113.33</v>
      </c>
      <c r="O101" s="333">
        <v>4367</v>
      </c>
      <c r="P101" s="330">
        <v>96.55</v>
      </c>
      <c r="Q101" s="330">
        <v>96.11</v>
      </c>
      <c r="R101" s="330">
        <v>22.49</v>
      </c>
      <c r="S101" s="330">
        <v>115.93</v>
      </c>
      <c r="T101" s="330">
        <v>1111</v>
      </c>
      <c r="U101" s="330">
        <v>143.9</v>
      </c>
      <c r="V101" s="330">
        <v>766</v>
      </c>
      <c r="W101" s="330">
        <v>145.74</v>
      </c>
      <c r="X101" s="330">
        <v>191</v>
      </c>
      <c r="Y101" s="330">
        <v>9</v>
      </c>
      <c r="Z101" s="330">
        <v>26</v>
      </c>
      <c r="AA101" s="330">
        <v>2</v>
      </c>
      <c r="AB101" s="330">
        <v>23</v>
      </c>
      <c r="AC101" s="330">
        <v>85</v>
      </c>
      <c r="AD101" s="334">
        <v>5272</v>
      </c>
      <c r="AE101" s="334">
        <v>7</v>
      </c>
      <c r="AF101" s="334">
        <v>23</v>
      </c>
      <c r="AG101" s="334">
        <v>30</v>
      </c>
    </row>
    <row r="102" spans="1:33" x14ac:dyDescent="0.25">
      <c r="A102" s="329" t="s">
        <v>260</v>
      </c>
      <c r="B102" s="335" t="s">
        <v>261</v>
      </c>
      <c r="C102" s="331">
        <v>2128</v>
      </c>
      <c r="D102" s="331">
        <v>0</v>
      </c>
      <c r="E102" s="331">
        <v>160</v>
      </c>
      <c r="F102" s="331">
        <v>185</v>
      </c>
      <c r="G102" s="331">
        <v>187</v>
      </c>
      <c r="H102" s="331">
        <v>2660</v>
      </c>
      <c r="I102" s="330">
        <v>2473</v>
      </c>
      <c r="J102" s="330">
        <v>45</v>
      </c>
      <c r="K102" s="332">
        <v>97.94</v>
      </c>
      <c r="L102" s="332">
        <v>97.19</v>
      </c>
      <c r="M102" s="332">
        <v>4.49</v>
      </c>
      <c r="N102" s="332">
        <v>99.6</v>
      </c>
      <c r="O102" s="333">
        <v>1963</v>
      </c>
      <c r="P102" s="330">
        <v>85.94</v>
      </c>
      <c r="Q102" s="330">
        <v>81.790000000000006</v>
      </c>
      <c r="R102" s="330">
        <v>33.65</v>
      </c>
      <c r="S102" s="330">
        <v>118.21</v>
      </c>
      <c r="T102" s="330">
        <v>342</v>
      </c>
      <c r="U102" s="330">
        <v>111</v>
      </c>
      <c r="V102" s="330">
        <v>129</v>
      </c>
      <c r="W102" s="330">
        <v>0</v>
      </c>
      <c r="X102" s="330">
        <v>0</v>
      </c>
      <c r="Y102" s="330">
        <v>0</v>
      </c>
      <c r="Z102" s="330">
        <v>6</v>
      </c>
      <c r="AA102" s="330">
        <v>6</v>
      </c>
      <c r="AB102" s="330">
        <v>3</v>
      </c>
      <c r="AC102" s="330">
        <v>1</v>
      </c>
      <c r="AD102" s="334">
        <v>2091</v>
      </c>
      <c r="AE102" s="334">
        <v>36</v>
      </c>
      <c r="AF102" s="334">
        <v>7</v>
      </c>
      <c r="AG102" s="334">
        <v>43</v>
      </c>
    </row>
    <row r="103" spans="1:33" x14ac:dyDescent="0.25">
      <c r="A103" s="329" t="s">
        <v>262</v>
      </c>
      <c r="B103" s="335" t="s">
        <v>263</v>
      </c>
      <c r="C103" s="331">
        <v>4474</v>
      </c>
      <c r="D103" s="331">
        <v>19</v>
      </c>
      <c r="E103" s="331">
        <v>93</v>
      </c>
      <c r="F103" s="331">
        <v>956</v>
      </c>
      <c r="G103" s="331">
        <v>377</v>
      </c>
      <c r="H103" s="331">
        <v>5919</v>
      </c>
      <c r="I103" s="330">
        <v>5542</v>
      </c>
      <c r="J103" s="330">
        <v>17</v>
      </c>
      <c r="K103" s="332">
        <v>128.97</v>
      </c>
      <c r="L103" s="332">
        <v>132.38999999999999</v>
      </c>
      <c r="M103" s="332">
        <v>7.42</v>
      </c>
      <c r="N103" s="332">
        <v>132.63</v>
      </c>
      <c r="O103" s="333">
        <v>3757</v>
      </c>
      <c r="P103" s="330">
        <v>109.91</v>
      </c>
      <c r="Q103" s="330">
        <v>107.81</v>
      </c>
      <c r="R103" s="330">
        <v>24.37</v>
      </c>
      <c r="S103" s="330">
        <v>134.25</v>
      </c>
      <c r="T103" s="330">
        <v>802</v>
      </c>
      <c r="U103" s="330">
        <v>198.95</v>
      </c>
      <c r="V103" s="330">
        <v>485</v>
      </c>
      <c r="W103" s="330">
        <v>151.72999999999999</v>
      </c>
      <c r="X103" s="330">
        <v>8</v>
      </c>
      <c r="Y103" s="330">
        <v>1</v>
      </c>
      <c r="Z103" s="330">
        <v>11</v>
      </c>
      <c r="AA103" s="330">
        <v>4</v>
      </c>
      <c r="AB103" s="330">
        <v>31</v>
      </c>
      <c r="AC103" s="330">
        <v>14</v>
      </c>
      <c r="AD103" s="334">
        <v>4354</v>
      </c>
      <c r="AE103" s="334">
        <v>4</v>
      </c>
      <c r="AF103" s="334">
        <v>35</v>
      </c>
      <c r="AG103" s="334">
        <v>39</v>
      </c>
    </row>
    <row r="104" spans="1:33" x14ac:dyDescent="0.25">
      <c r="A104" s="329" t="s">
        <v>264</v>
      </c>
      <c r="B104" s="335" t="s">
        <v>265</v>
      </c>
      <c r="C104" s="331">
        <v>6700</v>
      </c>
      <c r="D104" s="331">
        <v>21</v>
      </c>
      <c r="E104" s="331">
        <v>989</v>
      </c>
      <c r="F104" s="331">
        <v>655</v>
      </c>
      <c r="G104" s="331">
        <v>1090</v>
      </c>
      <c r="H104" s="331">
        <v>9455</v>
      </c>
      <c r="I104" s="330">
        <v>8365</v>
      </c>
      <c r="J104" s="330">
        <v>16</v>
      </c>
      <c r="K104" s="332">
        <v>128.84</v>
      </c>
      <c r="L104" s="332">
        <v>129.19999999999999</v>
      </c>
      <c r="M104" s="332">
        <v>9.77</v>
      </c>
      <c r="N104" s="332">
        <v>135.08000000000001</v>
      </c>
      <c r="O104" s="333">
        <v>5549</v>
      </c>
      <c r="P104" s="330">
        <v>99.4</v>
      </c>
      <c r="Q104" s="330">
        <v>96.07</v>
      </c>
      <c r="R104" s="330">
        <v>53.16</v>
      </c>
      <c r="S104" s="330">
        <v>149.22</v>
      </c>
      <c r="T104" s="330">
        <v>1498</v>
      </c>
      <c r="U104" s="330">
        <v>187.5</v>
      </c>
      <c r="V104" s="330">
        <v>454</v>
      </c>
      <c r="W104" s="330">
        <v>0</v>
      </c>
      <c r="X104" s="330">
        <v>0</v>
      </c>
      <c r="Y104" s="330">
        <v>4</v>
      </c>
      <c r="Z104" s="330">
        <v>5</v>
      </c>
      <c r="AA104" s="330">
        <v>6</v>
      </c>
      <c r="AB104" s="330">
        <v>98</v>
      </c>
      <c r="AC104" s="330">
        <v>25</v>
      </c>
      <c r="AD104" s="334">
        <v>6431</v>
      </c>
      <c r="AE104" s="334">
        <v>30</v>
      </c>
      <c r="AF104" s="334">
        <v>63</v>
      </c>
      <c r="AG104" s="334">
        <v>93</v>
      </c>
    </row>
    <row r="105" spans="1:33" x14ac:dyDescent="0.25">
      <c r="A105" s="329" t="s">
        <v>266</v>
      </c>
      <c r="B105" s="335" t="s">
        <v>267</v>
      </c>
      <c r="C105" s="331">
        <v>1381</v>
      </c>
      <c r="D105" s="331">
        <v>0</v>
      </c>
      <c r="E105" s="331">
        <v>148</v>
      </c>
      <c r="F105" s="331">
        <v>232</v>
      </c>
      <c r="G105" s="331">
        <v>319</v>
      </c>
      <c r="H105" s="331">
        <v>2080</v>
      </c>
      <c r="I105" s="330">
        <v>1761</v>
      </c>
      <c r="J105" s="330">
        <v>2</v>
      </c>
      <c r="K105" s="332">
        <v>123.03</v>
      </c>
      <c r="L105" s="332">
        <v>121.49</v>
      </c>
      <c r="M105" s="332">
        <v>4.62</v>
      </c>
      <c r="N105" s="332">
        <v>127.08</v>
      </c>
      <c r="O105" s="333">
        <v>1234</v>
      </c>
      <c r="P105" s="330">
        <v>97.78</v>
      </c>
      <c r="Q105" s="330">
        <v>92.12</v>
      </c>
      <c r="R105" s="330">
        <v>59.13</v>
      </c>
      <c r="S105" s="330">
        <v>156.28</v>
      </c>
      <c r="T105" s="330">
        <v>280</v>
      </c>
      <c r="U105" s="330">
        <v>174.09</v>
      </c>
      <c r="V105" s="330">
        <v>125</v>
      </c>
      <c r="W105" s="330">
        <v>0</v>
      </c>
      <c r="X105" s="330">
        <v>0</v>
      </c>
      <c r="Y105" s="330">
        <v>0</v>
      </c>
      <c r="Z105" s="330">
        <v>0</v>
      </c>
      <c r="AA105" s="330">
        <v>0</v>
      </c>
      <c r="AB105" s="330">
        <v>41</v>
      </c>
      <c r="AC105" s="330">
        <v>9</v>
      </c>
      <c r="AD105" s="334">
        <v>1379</v>
      </c>
      <c r="AE105" s="334">
        <v>2</v>
      </c>
      <c r="AF105" s="334">
        <v>3</v>
      </c>
      <c r="AG105" s="334">
        <v>5</v>
      </c>
    </row>
    <row r="106" spans="1:33" x14ac:dyDescent="0.25">
      <c r="A106" s="329" t="s">
        <v>268</v>
      </c>
      <c r="B106" s="335" t="s">
        <v>269</v>
      </c>
      <c r="C106" s="331">
        <v>2075</v>
      </c>
      <c r="D106" s="331">
        <v>0</v>
      </c>
      <c r="E106" s="331">
        <v>197</v>
      </c>
      <c r="F106" s="331">
        <v>382</v>
      </c>
      <c r="G106" s="331">
        <v>327</v>
      </c>
      <c r="H106" s="331">
        <v>2981</v>
      </c>
      <c r="I106" s="330">
        <v>2654</v>
      </c>
      <c r="J106" s="330">
        <v>0</v>
      </c>
      <c r="K106" s="332">
        <v>120.87</v>
      </c>
      <c r="L106" s="332">
        <v>114.57</v>
      </c>
      <c r="M106" s="332">
        <v>7.51</v>
      </c>
      <c r="N106" s="332">
        <v>125.12</v>
      </c>
      <c r="O106" s="333">
        <v>1917</v>
      </c>
      <c r="P106" s="330">
        <v>114.7</v>
      </c>
      <c r="Q106" s="330">
        <v>98.69</v>
      </c>
      <c r="R106" s="330">
        <v>25.43</v>
      </c>
      <c r="S106" s="330">
        <v>138.93</v>
      </c>
      <c r="T106" s="330">
        <v>382</v>
      </c>
      <c r="U106" s="330">
        <v>179.77</v>
      </c>
      <c r="V106" s="330">
        <v>141</v>
      </c>
      <c r="W106" s="330">
        <v>211.56</v>
      </c>
      <c r="X106" s="330">
        <v>49</v>
      </c>
      <c r="Y106" s="330">
        <v>36</v>
      </c>
      <c r="Z106" s="330">
        <v>2</v>
      </c>
      <c r="AA106" s="330">
        <v>15</v>
      </c>
      <c r="AB106" s="330">
        <v>3</v>
      </c>
      <c r="AC106" s="330">
        <v>15</v>
      </c>
      <c r="AD106" s="334">
        <v>2075</v>
      </c>
      <c r="AE106" s="334">
        <v>2</v>
      </c>
      <c r="AF106" s="334">
        <v>3</v>
      </c>
      <c r="AG106" s="334">
        <v>5</v>
      </c>
    </row>
    <row r="107" spans="1:33" x14ac:dyDescent="0.25">
      <c r="A107" s="329" t="s">
        <v>270</v>
      </c>
      <c r="B107" s="335" t="s">
        <v>271</v>
      </c>
      <c r="C107" s="331">
        <v>4603</v>
      </c>
      <c r="D107" s="331">
        <v>0</v>
      </c>
      <c r="E107" s="331">
        <v>80</v>
      </c>
      <c r="F107" s="331">
        <v>1901</v>
      </c>
      <c r="G107" s="331">
        <v>166</v>
      </c>
      <c r="H107" s="331">
        <v>6750</v>
      </c>
      <c r="I107" s="330">
        <v>6584</v>
      </c>
      <c r="J107" s="330">
        <v>1</v>
      </c>
      <c r="K107" s="332">
        <v>90.42</v>
      </c>
      <c r="L107" s="332">
        <v>92.57</v>
      </c>
      <c r="M107" s="332">
        <v>2.74</v>
      </c>
      <c r="N107" s="332">
        <v>91.95</v>
      </c>
      <c r="O107" s="333">
        <v>4426</v>
      </c>
      <c r="P107" s="330">
        <v>81.53</v>
      </c>
      <c r="Q107" s="330">
        <v>82.4</v>
      </c>
      <c r="R107" s="330">
        <v>7.83</v>
      </c>
      <c r="S107" s="330">
        <v>88.51</v>
      </c>
      <c r="T107" s="330">
        <v>1972</v>
      </c>
      <c r="U107" s="330">
        <v>95.36</v>
      </c>
      <c r="V107" s="330">
        <v>120</v>
      </c>
      <c r="W107" s="330">
        <v>0</v>
      </c>
      <c r="X107" s="330">
        <v>0</v>
      </c>
      <c r="Y107" s="330">
        <v>0</v>
      </c>
      <c r="Z107" s="330">
        <v>17</v>
      </c>
      <c r="AA107" s="330">
        <v>2</v>
      </c>
      <c r="AB107" s="330">
        <v>10</v>
      </c>
      <c r="AC107" s="330">
        <v>6</v>
      </c>
      <c r="AD107" s="334">
        <v>4602</v>
      </c>
      <c r="AE107" s="334">
        <v>24</v>
      </c>
      <c r="AF107" s="334">
        <v>17</v>
      </c>
      <c r="AG107" s="334">
        <v>41</v>
      </c>
    </row>
    <row r="108" spans="1:33" x14ac:dyDescent="0.25">
      <c r="A108" s="329" t="s">
        <v>272</v>
      </c>
      <c r="B108" s="335" t="s">
        <v>273</v>
      </c>
      <c r="C108" s="331">
        <v>3486</v>
      </c>
      <c r="D108" s="331">
        <v>0</v>
      </c>
      <c r="E108" s="331">
        <v>586</v>
      </c>
      <c r="F108" s="331">
        <v>238</v>
      </c>
      <c r="G108" s="331">
        <v>402</v>
      </c>
      <c r="H108" s="331">
        <v>4712</v>
      </c>
      <c r="I108" s="330">
        <v>4310</v>
      </c>
      <c r="J108" s="330">
        <v>26</v>
      </c>
      <c r="K108" s="332">
        <v>89.42</v>
      </c>
      <c r="L108" s="332">
        <v>88.65</v>
      </c>
      <c r="M108" s="332">
        <v>7.6</v>
      </c>
      <c r="N108" s="332">
        <v>95.09</v>
      </c>
      <c r="O108" s="333">
        <v>3135</v>
      </c>
      <c r="P108" s="330">
        <v>85.56</v>
      </c>
      <c r="Q108" s="330">
        <v>66.959999999999994</v>
      </c>
      <c r="R108" s="330">
        <v>65.290000000000006</v>
      </c>
      <c r="S108" s="330">
        <v>144.04</v>
      </c>
      <c r="T108" s="330">
        <v>499</v>
      </c>
      <c r="U108" s="330">
        <v>120.84</v>
      </c>
      <c r="V108" s="330">
        <v>171</v>
      </c>
      <c r="W108" s="330">
        <v>0</v>
      </c>
      <c r="X108" s="330">
        <v>0</v>
      </c>
      <c r="Y108" s="330">
        <v>74</v>
      </c>
      <c r="Z108" s="330">
        <v>0</v>
      </c>
      <c r="AA108" s="330">
        <v>15</v>
      </c>
      <c r="AB108" s="330">
        <v>24</v>
      </c>
      <c r="AC108" s="330">
        <v>4</v>
      </c>
      <c r="AD108" s="334">
        <v>3318</v>
      </c>
      <c r="AE108" s="334">
        <v>17</v>
      </c>
      <c r="AF108" s="334">
        <v>45</v>
      </c>
      <c r="AG108" s="334">
        <v>62</v>
      </c>
    </row>
    <row r="109" spans="1:33" x14ac:dyDescent="0.25">
      <c r="A109" s="329" t="s">
        <v>274</v>
      </c>
      <c r="B109" s="335" t="s">
        <v>275</v>
      </c>
      <c r="C109" s="331">
        <v>1405</v>
      </c>
      <c r="D109" s="331">
        <v>0</v>
      </c>
      <c r="E109" s="331">
        <v>182</v>
      </c>
      <c r="F109" s="331">
        <v>182</v>
      </c>
      <c r="G109" s="331">
        <v>276</v>
      </c>
      <c r="H109" s="331">
        <v>2045</v>
      </c>
      <c r="I109" s="330">
        <v>1769</v>
      </c>
      <c r="J109" s="330">
        <v>0</v>
      </c>
      <c r="K109" s="332">
        <v>110.09</v>
      </c>
      <c r="L109" s="332">
        <v>109.68</v>
      </c>
      <c r="M109" s="332">
        <v>7.22</v>
      </c>
      <c r="N109" s="332">
        <v>115.45</v>
      </c>
      <c r="O109" s="333">
        <v>1050</v>
      </c>
      <c r="P109" s="330">
        <v>93.15</v>
      </c>
      <c r="Q109" s="330">
        <v>89.35</v>
      </c>
      <c r="R109" s="330">
        <v>39.76</v>
      </c>
      <c r="S109" s="330">
        <v>130.5</v>
      </c>
      <c r="T109" s="330">
        <v>247</v>
      </c>
      <c r="U109" s="330">
        <v>144.68</v>
      </c>
      <c r="V109" s="330">
        <v>235</v>
      </c>
      <c r="W109" s="330">
        <v>113.63</v>
      </c>
      <c r="X109" s="330">
        <v>1</v>
      </c>
      <c r="Y109" s="330">
        <v>1</v>
      </c>
      <c r="Z109" s="330">
        <v>13</v>
      </c>
      <c r="AA109" s="330">
        <v>1</v>
      </c>
      <c r="AB109" s="330">
        <v>24</v>
      </c>
      <c r="AC109" s="330">
        <v>7</v>
      </c>
      <c r="AD109" s="334">
        <v>1393</v>
      </c>
      <c r="AE109" s="334">
        <v>2</v>
      </c>
      <c r="AF109" s="334">
        <v>4</v>
      </c>
      <c r="AG109" s="334">
        <v>6</v>
      </c>
    </row>
    <row r="110" spans="1:33" x14ac:dyDescent="0.25">
      <c r="A110" s="329" t="s">
        <v>276</v>
      </c>
      <c r="B110" s="335" t="s">
        <v>277</v>
      </c>
      <c r="C110" s="331">
        <v>4661</v>
      </c>
      <c r="D110" s="331">
        <v>0</v>
      </c>
      <c r="E110" s="331">
        <v>216</v>
      </c>
      <c r="F110" s="331">
        <v>685</v>
      </c>
      <c r="G110" s="331">
        <v>162</v>
      </c>
      <c r="H110" s="331">
        <v>5724</v>
      </c>
      <c r="I110" s="330">
        <v>5562</v>
      </c>
      <c r="J110" s="330">
        <v>13</v>
      </c>
      <c r="K110" s="332">
        <v>92.02</v>
      </c>
      <c r="L110" s="332">
        <v>89.08</v>
      </c>
      <c r="M110" s="332">
        <v>3.58</v>
      </c>
      <c r="N110" s="332">
        <v>93.25</v>
      </c>
      <c r="O110" s="333">
        <v>4445</v>
      </c>
      <c r="P110" s="330">
        <v>86.25</v>
      </c>
      <c r="Q110" s="330">
        <v>83.66</v>
      </c>
      <c r="R110" s="330">
        <v>34.200000000000003</v>
      </c>
      <c r="S110" s="330">
        <v>120.45</v>
      </c>
      <c r="T110" s="330">
        <v>827</v>
      </c>
      <c r="U110" s="330">
        <v>111.36</v>
      </c>
      <c r="V110" s="330">
        <v>204</v>
      </c>
      <c r="W110" s="330">
        <v>0</v>
      </c>
      <c r="X110" s="330">
        <v>0</v>
      </c>
      <c r="Y110" s="330">
        <v>0</v>
      </c>
      <c r="Z110" s="330">
        <v>16</v>
      </c>
      <c r="AA110" s="330">
        <v>1</v>
      </c>
      <c r="AB110" s="330">
        <v>7</v>
      </c>
      <c r="AC110" s="330">
        <v>10</v>
      </c>
      <c r="AD110" s="334">
        <v>4658</v>
      </c>
      <c r="AE110" s="334">
        <v>19</v>
      </c>
      <c r="AF110" s="334">
        <v>23</v>
      </c>
      <c r="AG110" s="334">
        <v>42</v>
      </c>
    </row>
    <row r="111" spans="1:33" x14ac:dyDescent="0.25">
      <c r="A111" s="329" t="s">
        <v>278</v>
      </c>
      <c r="B111" s="335" t="s">
        <v>279</v>
      </c>
      <c r="C111" s="331">
        <v>1584</v>
      </c>
      <c r="D111" s="331">
        <v>0</v>
      </c>
      <c r="E111" s="331">
        <v>112</v>
      </c>
      <c r="F111" s="331">
        <v>293</v>
      </c>
      <c r="G111" s="331">
        <v>227</v>
      </c>
      <c r="H111" s="331">
        <v>2216</v>
      </c>
      <c r="I111" s="330">
        <v>1989</v>
      </c>
      <c r="J111" s="330">
        <v>10</v>
      </c>
      <c r="K111" s="332">
        <v>96.79</v>
      </c>
      <c r="L111" s="332">
        <v>97.46</v>
      </c>
      <c r="M111" s="332">
        <v>5.63</v>
      </c>
      <c r="N111" s="332">
        <v>100.71</v>
      </c>
      <c r="O111" s="333">
        <v>1223</v>
      </c>
      <c r="P111" s="330">
        <v>92.76</v>
      </c>
      <c r="Q111" s="330">
        <v>87.25</v>
      </c>
      <c r="R111" s="330">
        <v>33.54</v>
      </c>
      <c r="S111" s="330">
        <v>121.67</v>
      </c>
      <c r="T111" s="330">
        <v>362</v>
      </c>
      <c r="U111" s="330">
        <v>140.57</v>
      </c>
      <c r="V111" s="330">
        <v>155</v>
      </c>
      <c r="W111" s="330">
        <v>0</v>
      </c>
      <c r="X111" s="330">
        <v>0</v>
      </c>
      <c r="Y111" s="330">
        <v>18</v>
      </c>
      <c r="Z111" s="330">
        <v>2</v>
      </c>
      <c r="AA111" s="330">
        <v>3</v>
      </c>
      <c r="AB111" s="330">
        <v>11</v>
      </c>
      <c r="AC111" s="330">
        <v>3</v>
      </c>
      <c r="AD111" s="334">
        <v>1425</v>
      </c>
      <c r="AE111" s="334">
        <v>11</v>
      </c>
      <c r="AF111" s="334">
        <v>29</v>
      </c>
      <c r="AG111" s="334">
        <v>40</v>
      </c>
    </row>
    <row r="112" spans="1:33" x14ac:dyDescent="0.25">
      <c r="A112" s="329" t="s">
        <v>280</v>
      </c>
      <c r="B112" s="335" t="s">
        <v>281</v>
      </c>
      <c r="C112" s="331">
        <v>3786</v>
      </c>
      <c r="D112" s="331">
        <v>14</v>
      </c>
      <c r="E112" s="331">
        <v>57</v>
      </c>
      <c r="F112" s="331">
        <v>1130</v>
      </c>
      <c r="G112" s="331">
        <v>185</v>
      </c>
      <c r="H112" s="331">
        <v>5172</v>
      </c>
      <c r="I112" s="330">
        <v>4987</v>
      </c>
      <c r="J112" s="330">
        <v>8</v>
      </c>
      <c r="K112" s="332">
        <v>96.81</v>
      </c>
      <c r="L112" s="332">
        <v>93.87</v>
      </c>
      <c r="M112" s="332">
        <v>1.44</v>
      </c>
      <c r="N112" s="332">
        <v>98</v>
      </c>
      <c r="O112" s="333">
        <v>3058</v>
      </c>
      <c r="P112" s="330">
        <v>90.23</v>
      </c>
      <c r="Q112" s="330">
        <v>82.89</v>
      </c>
      <c r="R112" s="330">
        <v>16.690000000000001</v>
      </c>
      <c r="S112" s="330">
        <v>106.9</v>
      </c>
      <c r="T112" s="330">
        <v>1097</v>
      </c>
      <c r="U112" s="330">
        <v>111.23</v>
      </c>
      <c r="V112" s="330">
        <v>330</v>
      </c>
      <c r="W112" s="330">
        <v>202.49</v>
      </c>
      <c r="X112" s="330">
        <v>68</v>
      </c>
      <c r="Y112" s="330">
        <v>0</v>
      </c>
      <c r="Z112" s="330">
        <v>8</v>
      </c>
      <c r="AA112" s="330">
        <v>15</v>
      </c>
      <c r="AB112" s="330">
        <v>10</v>
      </c>
      <c r="AC112" s="330">
        <v>6</v>
      </c>
      <c r="AD112" s="334">
        <v>3384</v>
      </c>
      <c r="AE112" s="334">
        <v>8</v>
      </c>
      <c r="AF112" s="334">
        <v>24</v>
      </c>
      <c r="AG112" s="334">
        <v>32</v>
      </c>
    </row>
    <row r="113" spans="1:33" x14ac:dyDescent="0.25">
      <c r="A113" s="329" t="s">
        <v>282</v>
      </c>
      <c r="B113" s="335" t="s">
        <v>283</v>
      </c>
      <c r="C113" s="331">
        <v>1963</v>
      </c>
      <c r="D113" s="331">
        <v>0</v>
      </c>
      <c r="E113" s="331">
        <v>132</v>
      </c>
      <c r="F113" s="331">
        <v>542</v>
      </c>
      <c r="G113" s="331">
        <v>73</v>
      </c>
      <c r="H113" s="331">
        <v>2710</v>
      </c>
      <c r="I113" s="330">
        <v>2637</v>
      </c>
      <c r="J113" s="330">
        <v>0</v>
      </c>
      <c r="K113" s="332">
        <v>89.21</v>
      </c>
      <c r="L113" s="332">
        <v>90.06</v>
      </c>
      <c r="M113" s="332">
        <v>3.26</v>
      </c>
      <c r="N113" s="332">
        <v>92.11</v>
      </c>
      <c r="O113" s="333">
        <v>1738</v>
      </c>
      <c r="P113" s="330">
        <v>90.69</v>
      </c>
      <c r="Q113" s="330">
        <v>80.290000000000006</v>
      </c>
      <c r="R113" s="330">
        <v>18.55</v>
      </c>
      <c r="S113" s="330">
        <v>109.19</v>
      </c>
      <c r="T113" s="330">
        <v>639</v>
      </c>
      <c r="U113" s="330">
        <v>107.58</v>
      </c>
      <c r="V113" s="330">
        <v>204</v>
      </c>
      <c r="W113" s="330">
        <v>0</v>
      </c>
      <c r="X113" s="330">
        <v>0</v>
      </c>
      <c r="Y113" s="330">
        <v>0</v>
      </c>
      <c r="Z113" s="330">
        <v>7</v>
      </c>
      <c r="AA113" s="330">
        <v>1</v>
      </c>
      <c r="AB113" s="330">
        <v>0</v>
      </c>
      <c r="AC113" s="330">
        <v>0</v>
      </c>
      <c r="AD113" s="334">
        <v>1961</v>
      </c>
      <c r="AE113" s="334">
        <v>16</v>
      </c>
      <c r="AF113" s="334">
        <v>1</v>
      </c>
      <c r="AG113" s="334">
        <v>17</v>
      </c>
    </row>
    <row r="114" spans="1:33" x14ac:dyDescent="0.25">
      <c r="A114" s="329" t="s">
        <v>284</v>
      </c>
      <c r="B114" s="335" t="s">
        <v>285</v>
      </c>
      <c r="C114" s="331">
        <v>3704</v>
      </c>
      <c r="D114" s="331">
        <v>46</v>
      </c>
      <c r="E114" s="331">
        <v>276</v>
      </c>
      <c r="F114" s="331">
        <v>1064</v>
      </c>
      <c r="G114" s="331">
        <v>251</v>
      </c>
      <c r="H114" s="331">
        <v>5341</v>
      </c>
      <c r="I114" s="330">
        <v>5090</v>
      </c>
      <c r="J114" s="330">
        <v>3</v>
      </c>
      <c r="K114" s="332">
        <v>80.510000000000005</v>
      </c>
      <c r="L114" s="332">
        <v>79.45</v>
      </c>
      <c r="M114" s="332">
        <v>6.43</v>
      </c>
      <c r="N114" s="332">
        <v>84.13</v>
      </c>
      <c r="O114" s="333">
        <v>3027</v>
      </c>
      <c r="P114" s="330">
        <v>87.57</v>
      </c>
      <c r="Q114" s="330">
        <v>78.47</v>
      </c>
      <c r="R114" s="330">
        <v>38.44</v>
      </c>
      <c r="S114" s="330">
        <v>125.07</v>
      </c>
      <c r="T114" s="330">
        <v>1152</v>
      </c>
      <c r="U114" s="330">
        <v>94.77</v>
      </c>
      <c r="V114" s="330">
        <v>710</v>
      </c>
      <c r="W114" s="330">
        <v>147.33000000000001</v>
      </c>
      <c r="X114" s="330">
        <v>172</v>
      </c>
      <c r="Y114" s="330">
        <v>0</v>
      </c>
      <c r="Z114" s="330">
        <v>4</v>
      </c>
      <c r="AA114" s="330">
        <v>4</v>
      </c>
      <c r="AB114" s="330">
        <v>9</v>
      </c>
      <c r="AC114" s="330">
        <v>2</v>
      </c>
      <c r="AD114" s="334">
        <v>3561</v>
      </c>
      <c r="AE114" s="334">
        <v>47</v>
      </c>
      <c r="AF114" s="334">
        <v>16</v>
      </c>
      <c r="AG114" s="334">
        <v>63</v>
      </c>
    </row>
    <row r="115" spans="1:33" x14ac:dyDescent="0.25">
      <c r="A115" s="329" t="s">
        <v>286</v>
      </c>
      <c r="B115" s="335" t="s">
        <v>287</v>
      </c>
      <c r="C115" s="331">
        <v>3733</v>
      </c>
      <c r="D115" s="331">
        <v>0</v>
      </c>
      <c r="E115" s="331">
        <v>152</v>
      </c>
      <c r="F115" s="331">
        <v>1212</v>
      </c>
      <c r="G115" s="331">
        <v>218</v>
      </c>
      <c r="H115" s="331">
        <v>5315</v>
      </c>
      <c r="I115" s="330">
        <v>5097</v>
      </c>
      <c r="J115" s="330">
        <v>56</v>
      </c>
      <c r="K115" s="332">
        <v>84.88</v>
      </c>
      <c r="L115" s="332">
        <v>89.32</v>
      </c>
      <c r="M115" s="332">
        <v>4.6399999999999997</v>
      </c>
      <c r="N115" s="332">
        <v>86.58</v>
      </c>
      <c r="O115" s="333">
        <v>3654</v>
      </c>
      <c r="P115" s="330">
        <v>81.41</v>
      </c>
      <c r="Q115" s="330">
        <v>80.25</v>
      </c>
      <c r="R115" s="330">
        <v>19.54</v>
      </c>
      <c r="S115" s="330">
        <v>100.87</v>
      </c>
      <c r="T115" s="330">
        <v>1287</v>
      </c>
      <c r="U115" s="330">
        <v>112.88</v>
      </c>
      <c r="V115" s="330">
        <v>65</v>
      </c>
      <c r="W115" s="330">
        <v>173.34</v>
      </c>
      <c r="X115" s="330">
        <v>2</v>
      </c>
      <c r="Y115" s="330">
        <v>0</v>
      </c>
      <c r="Z115" s="330">
        <v>19</v>
      </c>
      <c r="AA115" s="330">
        <v>7</v>
      </c>
      <c r="AB115" s="330">
        <v>1</v>
      </c>
      <c r="AC115" s="330">
        <v>6</v>
      </c>
      <c r="AD115" s="334">
        <v>3733</v>
      </c>
      <c r="AE115" s="334">
        <v>26</v>
      </c>
      <c r="AF115" s="334">
        <v>2</v>
      </c>
      <c r="AG115" s="334">
        <v>28</v>
      </c>
    </row>
    <row r="116" spans="1:33" x14ac:dyDescent="0.25">
      <c r="A116" s="329" t="s">
        <v>288</v>
      </c>
      <c r="B116" s="335" t="s">
        <v>289</v>
      </c>
      <c r="C116" s="331">
        <v>6588</v>
      </c>
      <c r="D116" s="331">
        <v>6</v>
      </c>
      <c r="E116" s="331">
        <v>428</v>
      </c>
      <c r="F116" s="331">
        <v>945</v>
      </c>
      <c r="G116" s="331">
        <v>463</v>
      </c>
      <c r="H116" s="331">
        <v>8430</v>
      </c>
      <c r="I116" s="330">
        <v>7967</v>
      </c>
      <c r="J116" s="330">
        <v>259</v>
      </c>
      <c r="K116" s="332">
        <v>86.48</v>
      </c>
      <c r="L116" s="332">
        <v>85.86</v>
      </c>
      <c r="M116" s="332">
        <v>5.82</v>
      </c>
      <c r="N116" s="332">
        <v>89.06</v>
      </c>
      <c r="O116" s="333">
        <v>5878</v>
      </c>
      <c r="P116" s="330">
        <v>86.29</v>
      </c>
      <c r="Q116" s="330">
        <v>83.61</v>
      </c>
      <c r="R116" s="330">
        <v>40.299999999999997</v>
      </c>
      <c r="S116" s="330">
        <v>124.87</v>
      </c>
      <c r="T116" s="330">
        <v>1122</v>
      </c>
      <c r="U116" s="330">
        <v>118.69</v>
      </c>
      <c r="V116" s="330">
        <v>156</v>
      </c>
      <c r="W116" s="330">
        <v>172.9</v>
      </c>
      <c r="X116" s="330">
        <v>31</v>
      </c>
      <c r="Y116" s="330">
        <v>0</v>
      </c>
      <c r="Z116" s="330">
        <v>25</v>
      </c>
      <c r="AA116" s="330">
        <v>3</v>
      </c>
      <c r="AB116" s="330">
        <v>24</v>
      </c>
      <c r="AC116" s="330">
        <v>16</v>
      </c>
      <c r="AD116" s="334">
        <v>6089</v>
      </c>
      <c r="AE116" s="334">
        <v>17</v>
      </c>
      <c r="AF116" s="334">
        <v>5</v>
      </c>
      <c r="AG116" s="334">
        <v>22</v>
      </c>
    </row>
    <row r="117" spans="1:33" x14ac:dyDescent="0.25">
      <c r="A117" s="329" t="s">
        <v>290</v>
      </c>
      <c r="B117" s="335" t="s">
        <v>291</v>
      </c>
      <c r="C117" s="331">
        <v>2290</v>
      </c>
      <c r="D117" s="331">
        <v>13</v>
      </c>
      <c r="E117" s="331">
        <v>74</v>
      </c>
      <c r="F117" s="331">
        <v>568</v>
      </c>
      <c r="G117" s="331">
        <v>356</v>
      </c>
      <c r="H117" s="331">
        <v>3301</v>
      </c>
      <c r="I117" s="330">
        <v>2945</v>
      </c>
      <c r="J117" s="330">
        <v>0</v>
      </c>
      <c r="K117" s="332">
        <v>101.84</v>
      </c>
      <c r="L117" s="332">
        <v>104.14</v>
      </c>
      <c r="M117" s="332">
        <v>8.98</v>
      </c>
      <c r="N117" s="332">
        <v>109.54</v>
      </c>
      <c r="O117" s="333">
        <v>1886</v>
      </c>
      <c r="P117" s="330">
        <v>91.22</v>
      </c>
      <c r="Q117" s="330">
        <v>89.48</v>
      </c>
      <c r="R117" s="330">
        <v>30.08</v>
      </c>
      <c r="S117" s="330">
        <v>119.62</v>
      </c>
      <c r="T117" s="330">
        <v>377</v>
      </c>
      <c r="U117" s="330">
        <v>129.37</v>
      </c>
      <c r="V117" s="330">
        <v>246</v>
      </c>
      <c r="W117" s="330">
        <v>101.78</v>
      </c>
      <c r="X117" s="330">
        <v>16</v>
      </c>
      <c r="Y117" s="330">
        <v>0</v>
      </c>
      <c r="Z117" s="330">
        <v>33</v>
      </c>
      <c r="AA117" s="330">
        <v>1</v>
      </c>
      <c r="AB117" s="330">
        <v>17</v>
      </c>
      <c r="AC117" s="330">
        <v>15</v>
      </c>
      <c r="AD117" s="334">
        <v>2257</v>
      </c>
      <c r="AE117" s="334">
        <v>11</v>
      </c>
      <c r="AF117" s="334">
        <v>5</v>
      </c>
      <c r="AG117" s="334">
        <v>16</v>
      </c>
    </row>
    <row r="118" spans="1:33" x14ac:dyDescent="0.25">
      <c r="A118" s="329" t="s">
        <v>292</v>
      </c>
      <c r="B118" s="335" t="s">
        <v>293</v>
      </c>
      <c r="C118" s="331">
        <v>1388</v>
      </c>
      <c r="D118" s="331">
        <v>0</v>
      </c>
      <c r="E118" s="331">
        <v>86</v>
      </c>
      <c r="F118" s="331">
        <v>212</v>
      </c>
      <c r="G118" s="331">
        <v>257</v>
      </c>
      <c r="H118" s="331">
        <v>1943</v>
      </c>
      <c r="I118" s="330">
        <v>1686</v>
      </c>
      <c r="J118" s="330">
        <v>0</v>
      </c>
      <c r="K118" s="332">
        <v>108.46</v>
      </c>
      <c r="L118" s="332">
        <v>108.55</v>
      </c>
      <c r="M118" s="332">
        <v>5.87</v>
      </c>
      <c r="N118" s="332">
        <v>112.88</v>
      </c>
      <c r="O118" s="333">
        <v>732</v>
      </c>
      <c r="P118" s="330">
        <v>95.59</v>
      </c>
      <c r="Q118" s="330">
        <v>92.43</v>
      </c>
      <c r="R118" s="330">
        <v>56.41</v>
      </c>
      <c r="S118" s="330">
        <v>146.21</v>
      </c>
      <c r="T118" s="330">
        <v>78</v>
      </c>
      <c r="U118" s="330">
        <v>140.41999999999999</v>
      </c>
      <c r="V118" s="330">
        <v>263</v>
      </c>
      <c r="W118" s="330">
        <v>164.81</v>
      </c>
      <c r="X118" s="330">
        <v>57</v>
      </c>
      <c r="Y118" s="330">
        <v>0</v>
      </c>
      <c r="Z118" s="330">
        <v>1</v>
      </c>
      <c r="AA118" s="330">
        <v>13</v>
      </c>
      <c r="AB118" s="330">
        <v>14</v>
      </c>
      <c r="AC118" s="330">
        <v>6</v>
      </c>
      <c r="AD118" s="334">
        <v>1005</v>
      </c>
      <c r="AE118" s="334">
        <v>6</v>
      </c>
      <c r="AF118" s="334">
        <v>6</v>
      </c>
      <c r="AG118" s="334">
        <v>12</v>
      </c>
    </row>
    <row r="119" spans="1:33" x14ac:dyDescent="0.25">
      <c r="A119" s="329" t="s">
        <v>294</v>
      </c>
      <c r="B119" s="335" t="s">
        <v>295</v>
      </c>
      <c r="C119" s="331">
        <v>1416</v>
      </c>
      <c r="D119" s="331">
        <v>0</v>
      </c>
      <c r="E119" s="331">
        <v>248</v>
      </c>
      <c r="F119" s="331">
        <v>147</v>
      </c>
      <c r="G119" s="331">
        <v>105</v>
      </c>
      <c r="H119" s="331">
        <v>1916</v>
      </c>
      <c r="I119" s="330">
        <v>1811</v>
      </c>
      <c r="J119" s="330">
        <v>11</v>
      </c>
      <c r="K119" s="332">
        <v>89.26</v>
      </c>
      <c r="L119" s="332">
        <v>87.71</v>
      </c>
      <c r="M119" s="332">
        <v>5.41</v>
      </c>
      <c r="N119" s="332">
        <v>92.5</v>
      </c>
      <c r="O119" s="333">
        <v>1266</v>
      </c>
      <c r="P119" s="330">
        <v>97.37</v>
      </c>
      <c r="Q119" s="330">
        <v>85.82</v>
      </c>
      <c r="R119" s="330">
        <v>53.44</v>
      </c>
      <c r="S119" s="330">
        <v>150.62</v>
      </c>
      <c r="T119" s="330">
        <v>275</v>
      </c>
      <c r="U119" s="330">
        <v>99.5</v>
      </c>
      <c r="V119" s="330">
        <v>130</v>
      </c>
      <c r="W119" s="330">
        <v>0</v>
      </c>
      <c r="X119" s="330">
        <v>0</v>
      </c>
      <c r="Y119" s="330">
        <v>0</v>
      </c>
      <c r="Z119" s="330">
        <v>0</v>
      </c>
      <c r="AA119" s="330">
        <v>8</v>
      </c>
      <c r="AB119" s="330">
        <v>0</v>
      </c>
      <c r="AC119" s="330">
        <v>5</v>
      </c>
      <c r="AD119" s="334">
        <v>1416</v>
      </c>
      <c r="AE119" s="334">
        <v>5</v>
      </c>
      <c r="AF119" s="334">
        <v>6</v>
      </c>
      <c r="AG119" s="334">
        <v>11</v>
      </c>
    </row>
    <row r="120" spans="1:33" x14ac:dyDescent="0.25">
      <c r="A120" s="329" t="s">
        <v>296</v>
      </c>
      <c r="B120" s="335" t="s">
        <v>297</v>
      </c>
      <c r="C120" s="331">
        <v>12314</v>
      </c>
      <c r="D120" s="331">
        <v>67</v>
      </c>
      <c r="E120" s="331">
        <v>487</v>
      </c>
      <c r="F120" s="331">
        <v>990</v>
      </c>
      <c r="G120" s="331">
        <v>2140</v>
      </c>
      <c r="H120" s="331">
        <v>15998</v>
      </c>
      <c r="I120" s="330">
        <v>13858</v>
      </c>
      <c r="J120" s="330">
        <v>5</v>
      </c>
      <c r="K120" s="332">
        <v>119.42</v>
      </c>
      <c r="L120" s="332">
        <v>121.24</v>
      </c>
      <c r="M120" s="332">
        <v>11.92</v>
      </c>
      <c r="N120" s="332">
        <v>127.86</v>
      </c>
      <c r="O120" s="333">
        <v>10654</v>
      </c>
      <c r="P120" s="330">
        <v>106.71</v>
      </c>
      <c r="Q120" s="330">
        <v>101.86</v>
      </c>
      <c r="R120" s="330">
        <v>43.12</v>
      </c>
      <c r="S120" s="330">
        <v>144.54</v>
      </c>
      <c r="T120" s="330">
        <v>1199</v>
      </c>
      <c r="U120" s="330">
        <v>172.66</v>
      </c>
      <c r="V120" s="330">
        <v>930</v>
      </c>
      <c r="W120" s="330">
        <v>0</v>
      </c>
      <c r="X120" s="330">
        <v>0</v>
      </c>
      <c r="Y120" s="330">
        <v>0</v>
      </c>
      <c r="Z120" s="330">
        <v>15</v>
      </c>
      <c r="AA120" s="330">
        <v>8</v>
      </c>
      <c r="AB120" s="330">
        <v>307</v>
      </c>
      <c r="AC120" s="330">
        <v>65</v>
      </c>
      <c r="AD120" s="334">
        <v>12021</v>
      </c>
      <c r="AE120" s="334">
        <v>88</v>
      </c>
      <c r="AF120" s="334">
        <v>36</v>
      </c>
      <c r="AG120" s="334">
        <v>124</v>
      </c>
    </row>
    <row r="121" spans="1:33" x14ac:dyDescent="0.25">
      <c r="A121" s="329" t="s">
        <v>298</v>
      </c>
      <c r="B121" s="335" t="s">
        <v>299</v>
      </c>
      <c r="C121" s="331">
        <v>1723</v>
      </c>
      <c r="D121" s="331">
        <v>10</v>
      </c>
      <c r="E121" s="331">
        <v>261</v>
      </c>
      <c r="F121" s="331">
        <v>210</v>
      </c>
      <c r="G121" s="331">
        <v>377</v>
      </c>
      <c r="H121" s="331">
        <v>2581</v>
      </c>
      <c r="I121" s="330">
        <v>2204</v>
      </c>
      <c r="J121" s="330">
        <v>0</v>
      </c>
      <c r="K121" s="332">
        <v>127.35</v>
      </c>
      <c r="L121" s="332">
        <v>125.88</v>
      </c>
      <c r="M121" s="332">
        <v>7.22</v>
      </c>
      <c r="N121" s="332">
        <v>133.43</v>
      </c>
      <c r="O121" s="333">
        <v>1374</v>
      </c>
      <c r="P121" s="330">
        <v>98.77</v>
      </c>
      <c r="Q121" s="330">
        <v>96.4</v>
      </c>
      <c r="R121" s="330">
        <v>72.599999999999994</v>
      </c>
      <c r="S121" s="330">
        <v>171.04</v>
      </c>
      <c r="T121" s="330">
        <v>224</v>
      </c>
      <c r="U121" s="330">
        <v>161.97</v>
      </c>
      <c r="V121" s="330">
        <v>181</v>
      </c>
      <c r="W121" s="330">
        <v>138.03</v>
      </c>
      <c r="X121" s="330">
        <v>8</v>
      </c>
      <c r="Y121" s="330">
        <v>20</v>
      </c>
      <c r="Z121" s="330">
        <v>2</v>
      </c>
      <c r="AA121" s="330">
        <v>0</v>
      </c>
      <c r="AB121" s="330">
        <v>13</v>
      </c>
      <c r="AC121" s="330">
        <v>11</v>
      </c>
      <c r="AD121" s="334">
        <v>1545</v>
      </c>
      <c r="AE121" s="334">
        <v>10</v>
      </c>
      <c r="AF121" s="334">
        <v>4</v>
      </c>
      <c r="AG121" s="334">
        <v>14</v>
      </c>
    </row>
    <row r="122" spans="1:33" x14ac:dyDescent="0.25">
      <c r="A122" s="329" t="s">
        <v>300</v>
      </c>
      <c r="B122" s="335" t="s">
        <v>301</v>
      </c>
      <c r="C122" s="331">
        <v>20114</v>
      </c>
      <c r="D122" s="331">
        <v>515</v>
      </c>
      <c r="E122" s="331">
        <v>1655</v>
      </c>
      <c r="F122" s="331">
        <v>1710</v>
      </c>
      <c r="G122" s="331">
        <v>2595</v>
      </c>
      <c r="H122" s="331">
        <v>26589</v>
      </c>
      <c r="I122" s="330">
        <v>23994</v>
      </c>
      <c r="J122" s="330">
        <v>0</v>
      </c>
      <c r="K122" s="332">
        <v>123.55</v>
      </c>
      <c r="L122" s="332">
        <v>129.68</v>
      </c>
      <c r="M122" s="332">
        <v>11.88</v>
      </c>
      <c r="N122" s="332">
        <v>132.19</v>
      </c>
      <c r="O122" s="333">
        <v>17281</v>
      </c>
      <c r="P122" s="330">
        <v>111.64</v>
      </c>
      <c r="Q122" s="330">
        <v>111.79</v>
      </c>
      <c r="R122" s="330">
        <v>41.91</v>
      </c>
      <c r="S122" s="330">
        <v>152.07</v>
      </c>
      <c r="T122" s="330">
        <v>2895</v>
      </c>
      <c r="U122" s="330">
        <v>203.17</v>
      </c>
      <c r="V122" s="330">
        <v>895</v>
      </c>
      <c r="W122" s="330">
        <v>198.27</v>
      </c>
      <c r="X122" s="330">
        <v>7</v>
      </c>
      <c r="Y122" s="330">
        <v>0</v>
      </c>
      <c r="Z122" s="330">
        <v>21</v>
      </c>
      <c r="AA122" s="330">
        <v>12</v>
      </c>
      <c r="AB122" s="330">
        <v>233</v>
      </c>
      <c r="AC122" s="330">
        <v>116</v>
      </c>
      <c r="AD122" s="334">
        <v>18615</v>
      </c>
      <c r="AE122" s="334">
        <v>100</v>
      </c>
      <c r="AF122" s="334">
        <v>67</v>
      </c>
      <c r="AG122" s="334">
        <v>167</v>
      </c>
    </row>
    <row r="123" spans="1:33" x14ac:dyDescent="0.25">
      <c r="A123" s="329" t="s">
        <v>302</v>
      </c>
      <c r="B123" s="335" t="s">
        <v>303</v>
      </c>
      <c r="C123" s="331">
        <v>13156</v>
      </c>
      <c r="D123" s="331">
        <v>0</v>
      </c>
      <c r="E123" s="331">
        <v>505</v>
      </c>
      <c r="F123" s="331">
        <v>500</v>
      </c>
      <c r="G123" s="331">
        <v>314</v>
      </c>
      <c r="H123" s="331">
        <v>14475</v>
      </c>
      <c r="I123" s="330">
        <v>14161</v>
      </c>
      <c r="J123" s="330">
        <v>7</v>
      </c>
      <c r="K123" s="332">
        <v>85.08</v>
      </c>
      <c r="L123" s="332">
        <v>89.97</v>
      </c>
      <c r="M123" s="332">
        <v>3.53</v>
      </c>
      <c r="N123" s="332">
        <v>88.46</v>
      </c>
      <c r="O123" s="333">
        <v>12145</v>
      </c>
      <c r="P123" s="330">
        <v>85.54</v>
      </c>
      <c r="Q123" s="330">
        <v>82.11</v>
      </c>
      <c r="R123" s="330">
        <v>32.57</v>
      </c>
      <c r="S123" s="330">
        <v>117.96</v>
      </c>
      <c r="T123" s="330">
        <v>810</v>
      </c>
      <c r="U123" s="330">
        <v>101.7</v>
      </c>
      <c r="V123" s="330">
        <v>984</v>
      </c>
      <c r="W123" s="330">
        <v>130.85</v>
      </c>
      <c r="X123" s="330">
        <v>75</v>
      </c>
      <c r="Y123" s="330">
        <v>0</v>
      </c>
      <c r="Z123" s="330">
        <v>43</v>
      </c>
      <c r="AA123" s="330">
        <v>4</v>
      </c>
      <c r="AB123" s="330">
        <v>0</v>
      </c>
      <c r="AC123" s="330">
        <v>10</v>
      </c>
      <c r="AD123" s="334">
        <v>13156</v>
      </c>
      <c r="AE123" s="334">
        <v>73</v>
      </c>
      <c r="AF123" s="334">
        <v>54</v>
      </c>
      <c r="AG123" s="334">
        <v>127</v>
      </c>
    </row>
    <row r="124" spans="1:33" x14ac:dyDescent="0.25">
      <c r="A124" s="329" t="s">
        <v>304</v>
      </c>
      <c r="B124" s="335" t="s">
        <v>305</v>
      </c>
      <c r="C124" s="331">
        <v>4899</v>
      </c>
      <c r="D124" s="331">
        <v>0</v>
      </c>
      <c r="E124" s="331">
        <v>165</v>
      </c>
      <c r="F124" s="331">
        <v>299</v>
      </c>
      <c r="G124" s="331">
        <v>105</v>
      </c>
      <c r="H124" s="331">
        <v>5468</v>
      </c>
      <c r="I124" s="330">
        <v>5363</v>
      </c>
      <c r="J124" s="330">
        <v>0</v>
      </c>
      <c r="K124" s="332">
        <v>92.75</v>
      </c>
      <c r="L124" s="332">
        <v>94.43</v>
      </c>
      <c r="M124" s="332">
        <v>1.47</v>
      </c>
      <c r="N124" s="332">
        <v>94.05</v>
      </c>
      <c r="O124" s="333">
        <v>4690</v>
      </c>
      <c r="P124" s="330">
        <v>106.84</v>
      </c>
      <c r="Q124" s="330">
        <v>86.32</v>
      </c>
      <c r="R124" s="330">
        <v>56.3</v>
      </c>
      <c r="S124" s="330">
        <v>161.58000000000001</v>
      </c>
      <c r="T124" s="330">
        <v>360</v>
      </c>
      <c r="U124" s="330">
        <v>108.8</v>
      </c>
      <c r="V124" s="330">
        <v>114</v>
      </c>
      <c r="W124" s="330">
        <v>154.91</v>
      </c>
      <c r="X124" s="330">
        <v>55</v>
      </c>
      <c r="Y124" s="330">
        <v>0</v>
      </c>
      <c r="Z124" s="330">
        <v>13</v>
      </c>
      <c r="AA124" s="330">
        <v>0</v>
      </c>
      <c r="AB124" s="330">
        <v>10</v>
      </c>
      <c r="AC124" s="330">
        <v>25</v>
      </c>
      <c r="AD124" s="334">
        <v>4885</v>
      </c>
      <c r="AE124" s="334">
        <v>28</v>
      </c>
      <c r="AF124" s="334">
        <v>37</v>
      </c>
      <c r="AG124" s="334">
        <v>65</v>
      </c>
    </row>
    <row r="125" spans="1:33" x14ac:dyDescent="0.25">
      <c r="A125" s="329" t="s">
        <v>306</v>
      </c>
      <c r="B125" s="335" t="s">
        <v>307</v>
      </c>
      <c r="C125" s="331">
        <v>11469</v>
      </c>
      <c r="D125" s="331">
        <v>38</v>
      </c>
      <c r="E125" s="331">
        <v>1164</v>
      </c>
      <c r="F125" s="331">
        <v>646</v>
      </c>
      <c r="G125" s="331">
        <v>1203</v>
      </c>
      <c r="H125" s="331">
        <v>14520</v>
      </c>
      <c r="I125" s="330">
        <v>13317</v>
      </c>
      <c r="J125" s="330">
        <v>85</v>
      </c>
      <c r="K125" s="332">
        <v>130.66</v>
      </c>
      <c r="L125" s="332">
        <v>143.51</v>
      </c>
      <c r="M125" s="332">
        <v>10.4</v>
      </c>
      <c r="N125" s="332">
        <v>135.62</v>
      </c>
      <c r="O125" s="333">
        <v>9928</v>
      </c>
      <c r="P125" s="330">
        <v>112.8</v>
      </c>
      <c r="Q125" s="330">
        <v>117.97</v>
      </c>
      <c r="R125" s="330">
        <v>43.79</v>
      </c>
      <c r="S125" s="330">
        <v>150.13999999999999</v>
      </c>
      <c r="T125" s="330">
        <v>1337</v>
      </c>
      <c r="U125" s="330">
        <v>211.02</v>
      </c>
      <c r="V125" s="330">
        <v>768</v>
      </c>
      <c r="W125" s="330">
        <v>203.16</v>
      </c>
      <c r="X125" s="330">
        <v>64</v>
      </c>
      <c r="Y125" s="330">
        <v>20</v>
      </c>
      <c r="Z125" s="330">
        <v>1</v>
      </c>
      <c r="AA125" s="330">
        <v>34</v>
      </c>
      <c r="AB125" s="330">
        <v>70</v>
      </c>
      <c r="AC125" s="330">
        <v>38</v>
      </c>
      <c r="AD125" s="334">
        <v>10961</v>
      </c>
      <c r="AE125" s="334">
        <v>33</v>
      </c>
      <c r="AF125" s="334">
        <v>116</v>
      </c>
      <c r="AG125" s="334">
        <v>149</v>
      </c>
    </row>
    <row r="126" spans="1:33" x14ac:dyDescent="0.25">
      <c r="A126" s="329" t="s">
        <v>308</v>
      </c>
      <c r="B126" s="335" t="s">
        <v>309</v>
      </c>
      <c r="C126" s="331">
        <v>2638</v>
      </c>
      <c r="D126" s="331">
        <v>0</v>
      </c>
      <c r="E126" s="331">
        <v>75</v>
      </c>
      <c r="F126" s="331">
        <v>440</v>
      </c>
      <c r="G126" s="331">
        <v>405</v>
      </c>
      <c r="H126" s="331">
        <v>3558</v>
      </c>
      <c r="I126" s="330">
        <v>3153</v>
      </c>
      <c r="J126" s="330">
        <v>2</v>
      </c>
      <c r="K126" s="332">
        <v>91.87</v>
      </c>
      <c r="L126" s="332">
        <v>91.72</v>
      </c>
      <c r="M126" s="332">
        <v>3.48</v>
      </c>
      <c r="N126" s="332">
        <v>94.11</v>
      </c>
      <c r="O126" s="333">
        <v>2444</v>
      </c>
      <c r="P126" s="330">
        <v>75.989999999999995</v>
      </c>
      <c r="Q126" s="330">
        <v>76.959999999999994</v>
      </c>
      <c r="R126" s="330">
        <v>30.96</v>
      </c>
      <c r="S126" s="330">
        <v>106.19</v>
      </c>
      <c r="T126" s="330">
        <v>488</v>
      </c>
      <c r="U126" s="330">
        <v>111.58</v>
      </c>
      <c r="V126" s="330">
        <v>119</v>
      </c>
      <c r="W126" s="330">
        <v>126.21</v>
      </c>
      <c r="X126" s="330">
        <v>7</v>
      </c>
      <c r="Y126" s="330">
        <v>0</v>
      </c>
      <c r="Z126" s="330">
        <v>11</v>
      </c>
      <c r="AA126" s="330">
        <v>3</v>
      </c>
      <c r="AB126" s="330">
        <v>41</v>
      </c>
      <c r="AC126" s="330">
        <v>7</v>
      </c>
      <c r="AD126" s="334">
        <v>2638</v>
      </c>
      <c r="AE126" s="334">
        <v>17</v>
      </c>
      <c r="AF126" s="334">
        <v>62</v>
      </c>
      <c r="AG126" s="334">
        <v>79</v>
      </c>
    </row>
    <row r="127" spans="1:33" x14ac:dyDescent="0.25">
      <c r="A127" s="329" t="s">
        <v>310</v>
      </c>
      <c r="B127" s="335" t="s">
        <v>311</v>
      </c>
      <c r="C127" s="331">
        <v>10061</v>
      </c>
      <c r="D127" s="331">
        <v>32</v>
      </c>
      <c r="E127" s="331">
        <v>916</v>
      </c>
      <c r="F127" s="331">
        <v>792</v>
      </c>
      <c r="G127" s="331">
        <v>1640</v>
      </c>
      <c r="H127" s="331">
        <v>13441</v>
      </c>
      <c r="I127" s="330">
        <v>11801</v>
      </c>
      <c r="J127" s="330">
        <v>23</v>
      </c>
      <c r="K127" s="332">
        <v>123.05</v>
      </c>
      <c r="L127" s="332">
        <v>123.75</v>
      </c>
      <c r="M127" s="332">
        <v>10.36</v>
      </c>
      <c r="N127" s="332">
        <v>129.22999999999999</v>
      </c>
      <c r="O127" s="333">
        <v>8207</v>
      </c>
      <c r="P127" s="330">
        <v>107.26</v>
      </c>
      <c r="Q127" s="330">
        <v>105.66</v>
      </c>
      <c r="R127" s="330">
        <v>47.13</v>
      </c>
      <c r="S127" s="330">
        <v>150.91999999999999</v>
      </c>
      <c r="T127" s="330">
        <v>1138</v>
      </c>
      <c r="U127" s="330">
        <v>166.66</v>
      </c>
      <c r="V127" s="330">
        <v>409</v>
      </c>
      <c r="W127" s="330">
        <v>180.38</v>
      </c>
      <c r="X127" s="330">
        <v>3</v>
      </c>
      <c r="Y127" s="330">
        <v>0</v>
      </c>
      <c r="Z127" s="330">
        <v>1</v>
      </c>
      <c r="AA127" s="330">
        <v>7</v>
      </c>
      <c r="AB127" s="330">
        <v>102</v>
      </c>
      <c r="AC127" s="330">
        <v>77</v>
      </c>
      <c r="AD127" s="334">
        <v>9103</v>
      </c>
      <c r="AE127" s="334">
        <v>38</v>
      </c>
      <c r="AF127" s="334">
        <v>52</v>
      </c>
      <c r="AG127" s="334">
        <v>90</v>
      </c>
    </row>
    <row r="128" spans="1:33" x14ac:dyDescent="0.25">
      <c r="A128" s="329" t="s">
        <v>312</v>
      </c>
      <c r="B128" s="335" t="s">
        <v>313</v>
      </c>
      <c r="C128" s="331">
        <v>1157</v>
      </c>
      <c r="D128" s="331">
        <v>56</v>
      </c>
      <c r="E128" s="331">
        <v>272</v>
      </c>
      <c r="F128" s="331">
        <v>259</v>
      </c>
      <c r="G128" s="331">
        <v>323</v>
      </c>
      <c r="H128" s="331">
        <v>2067</v>
      </c>
      <c r="I128" s="330">
        <v>1744</v>
      </c>
      <c r="J128" s="330">
        <v>0</v>
      </c>
      <c r="K128" s="332">
        <v>105.07</v>
      </c>
      <c r="L128" s="332">
        <v>104.77</v>
      </c>
      <c r="M128" s="332">
        <v>7.61</v>
      </c>
      <c r="N128" s="332">
        <v>111.25</v>
      </c>
      <c r="O128" s="333">
        <v>1003</v>
      </c>
      <c r="P128" s="330">
        <v>91.86</v>
      </c>
      <c r="Q128" s="330">
        <v>89.22</v>
      </c>
      <c r="R128" s="330">
        <v>43.04</v>
      </c>
      <c r="S128" s="330">
        <v>134.63999999999999</v>
      </c>
      <c r="T128" s="330">
        <v>500</v>
      </c>
      <c r="U128" s="330">
        <v>150.66999999999999</v>
      </c>
      <c r="V128" s="330">
        <v>161</v>
      </c>
      <c r="W128" s="330">
        <v>0</v>
      </c>
      <c r="X128" s="330">
        <v>0</v>
      </c>
      <c r="Y128" s="330">
        <v>0</v>
      </c>
      <c r="Z128" s="330">
        <v>0</v>
      </c>
      <c r="AA128" s="330">
        <v>1</v>
      </c>
      <c r="AB128" s="330">
        <v>51</v>
      </c>
      <c r="AC128" s="330">
        <v>9</v>
      </c>
      <c r="AD128" s="334">
        <v>1154</v>
      </c>
      <c r="AE128" s="334">
        <v>2</v>
      </c>
      <c r="AF128" s="334">
        <v>2</v>
      </c>
      <c r="AG128" s="334">
        <v>4</v>
      </c>
    </row>
    <row r="129" spans="1:33" x14ac:dyDescent="0.25">
      <c r="A129" s="329" t="s">
        <v>314</v>
      </c>
      <c r="B129" s="335" t="s">
        <v>315</v>
      </c>
      <c r="C129" s="331">
        <v>2141</v>
      </c>
      <c r="D129" s="331">
        <v>43</v>
      </c>
      <c r="E129" s="331">
        <v>260</v>
      </c>
      <c r="F129" s="331">
        <v>359</v>
      </c>
      <c r="G129" s="331">
        <v>260</v>
      </c>
      <c r="H129" s="331">
        <v>3063</v>
      </c>
      <c r="I129" s="330">
        <v>2803</v>
      </c>
      <c r="J129" s="330">
        <v>2</v>
      </c>
      <c r="K129" s="332">
        <v>96.54</v>
      </c>
      <c r="L129" s="332">
        <v>96.35</v>
      </c>
      <c r="M129" s="332">
        <v>6.83</v>
      </c>
      <c r="N129" s="332">
        <v>100.87</v>
      </c>
      <c r="O129" s="333">
        <v>1672</v>
      </c>
      <c r="P129" s="330">
        <v>101.32</v>
      </c>
      <c r="Q129" s="330">
        <v>85.03</v>
      </c>
      <c r="R129" s="330">
        <v>39.770000000000003</v>
      </c>
      <c r="S129" s="330">
        <v>140.22</v>
      </c>
      <c r="T129" s="330">
        <v>453</v>
      </c>
      <c r="U129" s="330">
        <v>113.2</v>
      </c>
      <c r="V129" s="330">
        <v>334</v>
      </c>
      <c r="W129" s="330">
        <v>141.49</v>
      </c>
      <c r="X129" s="330">
        <v>1</v>
      </c>
      <c r="Y129" s="330">
        <v>0</v>
      </c>
      <c r="Z129" s="330">
        <v>1</v>
      </c>
      <c r="AA129" s="330">
        <v>5</v>
      </c>
      <c r="AB129" s="330">
        <v>10</v>
      </c>
      <c r="AC129" s="330">
        <v>5</v>
      </c>
      <c r="AD129" s="334">
        <v>1947</v>
      </c>
      <c r="AE129" s="334">
        <v>20</v>
      </c>
      <c r="AF129" s="334">
        <v>4</v>
      </c>
      <c r="AG129" s="334">
        <v>24</v>
      </c>
    </row>
    <row r="130" spans="1:33" x14ac:dyDescent="0.25">
      <c r="A130" s="329" t="s">
        <v>316</v>
      </c>
      <c r="B130" s="335" t="s">
        <v>317</v>
      </c>
      <c r="C130" s="331">
        <v>3261</v>
      </c>
      <c r="D130" s="331">
        <v>2</v>
      </c>
      <c r="E130" s="331">
        <v>391</v>
      </c>
      <c r="F130" s="331">
        <v>605</v>
      </c>
      <c r="G130" s="331">
        <v>1050</v>
      </c>
      <c r="H130" s="331">
        <v>5309</v>
      </c>
      <c r="I130" s="330">
        <v>4259</v>
      </c>
      <c r="J130" s="330">
        <v>27</v>
      </c>
      <c r="K130" s="332">
        <v>137.38999999999999</v>
      </c>
      <c r="L130" s="332">
        <v>133.12</v>
      </c>
      <c r="M130" s="332">
        <v>9.91</v>
      </c>
      <c r="N130" s="332">
        <v>143.04</v>
      </c>
      <c r="O130" s="333">
        <v>2774</v>
      </c>
      <c r="P130" s="330">
        <v>100.99</v>
      </c>
      <c r="Q130" s="330">
        <v>96.73</v>
      </c>
      <c r="R130" s="330">
        <v>25.07</v>
      </c>
      <c r="S130" s="330">
        <v>124.46</v>
      </c>
      <c r="T130" s="330">
        <v>500</v>
      </c>
      <c r="U130" s="330">
        <v>172.29</v>
      </c>
      <c r="V130" s="330">
        <v>242</v>
      </c>
      <c r="W130" s="330">
        <v>183.96</v>
      </c>
      <c r="X130" s="330">
        <v>28</v>
      </c>
      <c r="Y130" s="330">
        <v>11</v>
      </c>
      <c r="Z130" s="330">
        <v>6</v>
      </c>
      <c r="AA130" s="330">
        <v>29</v>
      </c>
      <c r="AB130" s="330">
        <v>108</v>
      </c>
      <c r="AC130" s="330">
        <v>74</v>
      </c>
      <c r="AD130" s="334">
        <v>3180</v>
      </c>
      <c r="AE130" s="334">
        <v>11</v>
      </c>
      <c r="AF130" s="334">
        <v>12</v>
      </c>
      <c r="AG130" s="334">
        <v>23</v>
      </c>
    </row>
    <row r="131" spans="1:33" x14ac:dyDescent="0.25">
      <c r="A131" s="329" t="s">
        <v>318</v>
      </c>
      <c r="B131" s="335" t="s">
        <v>319</v>
      </c>
      <c r="C131" s="331">
        <v>2703</v>
      </c>
      <c r="D131" s="331">
        <v>0</v>
      </c>
      <c r="E131" s="331">
        <v>45</v>
      </c>
      <c r="F131" s="331">
        <v>321</v>
      </c>
      <c r="G131" s="331">
        <v>486</v>
      </c>
      <c r="H131" s="331">
        <v>3555</v>
      </c>
      <c r="I131" s="330">
        <v>3069</v>
      </c>
      <c r="J131" s="330">
        <v>1</v>
      </c>
      <c r="K131" s="332">
        <v>119.53</v>
      </c>
      <c r="L131" s="332">
        <v>120.07</v>
      </c>
      <c r="M131" s="332">
        <v>4.63</v>
      </c>
      <c r="N131" s="332">
        <v>121.36</v>
      </c>
      <c r="O131" s="333">
        <v>2405</v>
      </c>
      <c r="P131" s="330">
        <v>104.89</v>
      </c>
      <c r="Q131" s="330">
        <v>101.16</v>
      </c>
      <c r="R131" s="330">
        <v>34.4</v>
      </c>
      <c r="S131" s="330">
        <v>139.07</v>
      </c>
      <c r="T131" s="330">
        <v>313</v>
      </c>
      <c r="U131" s="330">
        <v>151.94999999999999</v>
      </c>
      <c r="V131" s="330">
        <v>271</v>
      </c>
      <c r="W131" s="330">
        <v>0</v>
      </c>
      <c r="X131" s="330">
        <v>0</v>
      </c>
      <c r="Y131" s="330">
        <v>0</v>
      </c>
      <c r="Z131" s="330">
        <v>11</v>
      </c>
      <c r="AA131" s="330">
        <v>3</v>
      </c>
      <c r="AB131" s="330">
        <v>30</v>
      </c>
      <c r="AC131" s="330">
        <v>92</v>
      </c>
      <c r="AD131" s="334">
        <v>2703</v>
      </c>
      <c r="AE131" s="334">
        <v>23</v>
      </c>
      <c r="AF131" s="334">
        <v>22</v>
      </c>
      <c r="AG131" s="334">
        <v>45</v>
      </c>
    </row>
    <row r="132" spans="1:33" x14ac:dyDescent="0.25">
      <c r="A132" s="329" t="s">
        <v>320</v>
      </c>
      <c r="B132" s="335" t="s">
        <v>321</v>
      </c>
      <c r="C132" s="331">
        <v>7638</v>
      </c>
      <c r="D132" s="331">
        <v>0</v>
      </c>
      <c r="E132" s="331">
        <v>333</v>
      </c>
      <c r="F132" s="331">
        <v>1973</v>
      </c>
      <c r="G132" s="331">
        <v>221</v>
      </c>
      <c r="H132" s="331">
        <v>10165</v>
      </c>
      <c r="I132" s="330">
        <v>9944</v>
      </c>
      <c r="J132" s="330">
        <v>6</v>
      </c>
      <c r="K132" s="332">
        <v>83.63</v>
      </c>
      <c r="L132" s="332">
        <v>83.4</v>
      </c>
      <c r="M132" s="332">
        <v>4.7300000000000004</v>
      </c>
      <c r="N132" s="332">
        <v>85.38</v>
      </c>
      <c r="O132" s="333">
        <v>6606</v>
      </c>
      <c r="P132" s="330">
        <v>80.489999999999995</v>
      </c>
      <c r="Q132" s="330">
        <v>78.95</v>
      </c>
      <c r="R132" s="330">
        <v>29.4</v>
      </c>
      <c r="S132" s="330">
        <v>97.83</v>
      </c>
      <c r="T132" s="330">
        <v>2248</v>
      </c>
      <c r="U132" s="330">
        <v>94.08</v>
      </c>
      <c r="V132" s="330">
        <v>974</v>
      </c>
      <c r="W132" s="330">
        <v>102.81</v>
      </c>
      <c r="X132" s="330">
        <v>48</v>
      </c>
      <c r="Y132" s="330">
        <v>0</v>
      </c>
      <c r="Z132" s="330">
        <v>26</v>
      </c>
      <c r="AA132" s="330">
        <v>2</v>
      </c>
      <c r="AB132" s="330">
        <v>3</v>
      </c>
      <c r="AC132" s="330">
        <v>2</v>
      </c>
      <c r="AD132" s="334">
        <v>7612</v>
      </c>
      <c r="AE132" s="334">
        <v>194</v>
      </c>
      <c r="AF132" s="334">
        <v>39</v>
      </c>
      <c r="AG132" s="334">
        <v>233</v>
      </c>
    </row>
    <row r="133" spans="1:33" x14ac:dyDescent="0.25">
      <c r="A133" s="329" t="s">
        <v>322</v>
      </c>
      <c r="B133" s="335" t="s">
        <v>323</v>
      </c>
      <c r="C133" s="331">
        <v>5029</v>
      </c>
      <c r="D133" s="331">
        <v>0</v>
      </c>
      <c r="E133" s="331">
        <v>279</v>
      </c>
      <c r="F133" s="331">
        <v>728</v>
      </c>
      <c r="G133" s="331">
        <v>191</v>
      </c>
      <c r="H133" s="331">
        <v>6227</v>
      </c>
      <c r="I133" s="330">
        <v>6036</v>
      </c>
      <c r="J133" s="330">
        <v>1</v>
      </c>
      <c r="K133" s="332">
        <v>89.81</v>
      </c>
      <c r="L133" s="332">
        <v>86.11</v>
      </c>
      <c r="M133" s="332">
        <v>6.44</v>
      </c>
      <c r="N133" s="332">
        <v>95.05</v>
      </c>
      <c r="O133" s="333">
        <v>4357</v>
      </c>
      <c r="P133" s="330">
        <v>72.75</v>
      </c>
      <c r="Q133" s="330">
        <v>71.61</v>
      </c>
      <c r="R133" s="330">
        <v>32.520000000000003</v>
      </c>
      <c r="S133" s="330">
        <v>103.81</v>
      </c>
      <c r="T133" s="330">
        <v>804</v>
      </c>
      <c r="U133" s="330">
        <v>114.31</v>
      </c>
      <c r="V133" s="330">
        <v>598</v>
      </c>
      <c r="W133" s="330">
        <v>178.16</v>
      </c>
      <c r="X133" s="330">
        <v>112</v>
      </c>
      <c r="Y133" s="330">
        <v>0</v>
      </c>
      <c r="Z133" s="330">
        <v>7</v>
      </c>
      <c r="AA133" s="330">
        <v>6</v>
      </c>
      <c r="AB133" s="330">
        <v>20</v>
      </c>
      <c r="AC133" s="330">
        <v>2</v>
      </c>
      <c r="AD133" s="334">
        <v>4960</v>
      </c>
      <c r="AE133" s="334">
        <v>9</v>
      </c>
      <c r="AF133" s="334">
        <v>15</v>
      </c>
      <c r="AG133" s="334">
        <v>24</v>
      </c>
    </row>
    <row r="134" spans="1:33" x14ac:dyDescent="0.25">
      <c r="A134" s="329" t="s">
        <v>324</v>
      </c>
      <c r="B134" s="335" t="s">
        <v>325</v>
      </c>
      <c r="C134" s="331">
        <v>4191</v>
      </c>
      <c r="D134" s="331">
        <v>0</v>
      </c>
      <c r="E134" s="331">
        <v>218</v>
      </c>
      <c r="F134" s="331">
        <v>1059</v>
      </c>
      <c r="G134" s="331">
        <v>342</v>
      </c>
      <c r="H134" s="331">
        <v>5810</v>
      </c>
      <c r="I134" s="330">
        <v>5468</v>
      </c>
      <c r="J134" s="330">
        <v>5</v>
      </c>
      <c r="K134" s="332">
        <v>108.36</v>
      </c>
      <c r="L134" s="332">
        <v>108.65</v>
      </c>
      <c r="M134" s="332">
        <v>8.7799999999999994</v>
      </c>
      <c r="N134" s="332">
        <v>112.5</v>
      </c>
      <c r="O134" s="333">
        <v>3620</v>
      </c>
      <c r="P134" s="330">
        <v>97.03</v>
      </c>
      <c r="Q134" s="330">
        <v>97.22</v>
      </c>
      <c r="R134" s="330">
        <v>19.88</v>
      </c>
      <c r="S134" s="330">
        <v>115.23</v>
      </c>
      <c r="T134" s="330">
        <v>1129</v>
      </c>
      <c r="U134" s="330">
        <v>146.62</v>
      </c>
      <c r="V134" s="330">
        <v>459</v>
      </c>
      <c r="W134" s="330">
        <v>154.79</v>
      </c>
      <c r="X134" s="330">
        <v>16</v>
      </c>
      <c r="Y134" s="330">
        <v>1</v>
      </c>
      <c r="Z134" s="330">
        <v>32</v>
      </c>
      <c r="AA134" s="330">
        <v>1</v>
      </c>
      <c r="AB134" s="330">
        <v>56</v>
      </c>
      <c r="AC134" s="330">
        <v>7</v>
      </c>
      <c r="AD134" s="334">
        <v>4168</v>
      </c>
      <c r="AE134" s="334">
        <v>20</v>
      </c>
      <c r="AF134" s="334">
        <v>2</v>
      </c>
      <c r="AG134" s="334">
        <v>22</v>
      </c>
    </row>
    <row r="135" spans="1:33" x14ac:dyDescent="0.25">
      <c r="A135" s="329" t="s">
        <v>326</v>
      </c>
      <c r="B135" s="335" t="s">
        <v>327</v>
      </c>
      <c r="C135" s="331">
        <v>3678</v>
      </c>
      <c r="D135" s="331">
        <v>354</v>
      </c>
      <c r="E135" s="331">
        <v>308</v>
      </c>
      <c r="F135" s="331">
        <v>505</v>
      </c>
      <c r="G135" s="331">
        <v>788</v>
      </c>
      <c r="H135" s="331">
        <v>5633</v>
      </c>
      <c r="I135" s="330">
        <v>4845</v>
      </c>
      <c r="J135" s="330">
        <v>2</v>
      </c>
      <c r="K135" s="332">
        <v>120.08</v>
      </c>
      <c r="L135" s="332">
        <v>120.13</v>
      </c>
      <c r="M135" s="332">
        <v>8.99</v>
      </c>
      <c r="N135" s="332">
        <v>127.03</v>
      </c>
      <c r="O135" s="333">
        <v>2593</v>
      </c>
      <c r="P135" s="330">
        <v>103.76</v>
      </c>
      <c r="Q135" s="330">
        <v>101.71</v>
      </c>
      <c r="R135" s="330">
        <v>31.18</v>
      </c>
      <c r="S135" s="330">
        <v>134.25</v>
      </c>
      <c r="T135" s="330">
        <v>625</v>
      </c>
      <c r="U135" s="330">
        <v>181.81</v>
      </c>
      <c r="V135" s="330">
        <v>889</v>
      </c>
      <c r="W135" s="330">
        <v>203.04</v>
      </c>
      <c r="X135" s="330">
        <v>30</v>
      </c>
      <c r="Y135" s="330">
        <v>0</v>
      </c>
      <c r="Z135" s="330">
        <v>1</v>
      </c>
      <c r="AA135" s="330">
        <v>23</v>
      </c>
      <c r="AB135" s="330">
        <v>184</v>
      </c>
      <c r="AC135" s="330">
        <v>26</v>
      </c>
      <c r="AD135" s="334">
        <v>3649</v>
      </c>
      <c r="AE135" s="334">
        <v>12</v>
      </c>
      <c r="AF135" s="334">
        <v>44</v>
      </c>
      <c r="AG135" s="334">
        <v>56</v>
      </c>
    </row>
    <row r="136" spans="1:33" x14ac:dyDescent="0.25">
      <c r="A136" s="329" t="s">
        <v>328</v>
      </c>
      <c r="B136" s="335" t="s">
        <v>329</v>
      </c>
      <c r="C136" s="331">
        <v>8808</v>
      </c>
      <c r="D136" s="331">
        <v>0</v>
      </c>
      <c r="E136" s="331">
        <v>285</v>
      </c>
      <c r="F136" s="331">
        <v>2003</v>
      </c>
      <c r="G136" s="331">
        <v>693</v>
      </c>
      <c r="H136" s="331">
        <v>11789</v>
      </c>
      <c r="I136" s="330">
        <v>11096</v>
      </c>
      <c r="J136" s="330">
        <v>0</v>
      </c>
      <c r="K136" s="332">
        <v>91.83</v>
      </c>
      <c r="L136" s="332">
        <v>92.19</v>
      </c>
      <c r="M136" s="332">
        <v>3.37</v>
      </c>
      <c r="N136" s="332">
        <v>93.46</v>
      </c>
      <c r="O136" s="333">
        <v>8201</v>
      </c>
      <c r="P136" s="330">
        <v>83.14</v>
      </c>
      <c r="Q136" s="330">
        <v>84.08</v>
      </c>
      <c r="R136" s="330">
        <v>26.55</v>
      </c>
      <c r="S136" s="330">
        <v>103.81</v>
      </c>
      <c r="T136" s="330">
        <v>2175</v>
      </c>
      <c r="U136" s="330">
        <v>104.57</v>
      </c>
      <c r="V136" s="330">
        <v>499</v>
      </c>
      <c r="W136" s="330">
        <v>105.77</v>
      </c>
      <c r="X136" s="330">
        <v>40</v>
      </c>
      <c r="Y136" s="330">
        <v>0</v>
      </c>
      <c r="Z136" s="330">
        <v>29</v>
      </c>
      <c r="AA136" s="330">
        <v>2</v>
      </c>
      <c r="AB136" s="330">
        <v>16</v>
      </c>
      <c r="AC136" s="330">
        <v>15</v>
      </c>
      <c r="AD136" s="334">
        <v>8780</v>
      </c>
      <c r="AE136" s="334">
        <v>63</v>
      </c>
      <c r="AF136" s="334">
        <v>63</v>
      </c>
      <c r="AG136" s="334">
        <v>126</v>
      </c>
    </row>
    <row r="137" spans="1:33" x14ac:dyDescent="0.25">
      <c r="A137" s="329" t="s">
        <v>330</v>
      </c>
      <c r="B137" s="335" t="s">
        <v>331</v>
      </c>
      <c r="C137" s="331">
        <v>6280</v>
      </c>
      <c r="D137" s="331">
        <v>24</v>
      </c>
      <c r="E137" s="331">
        <v>147</v>
      </c>
      <c r="F137" s="331">
        <v>863</v>
      </c>
      <c r="G137" s="331">
        <v>440</v>
      </c>
      <c r="H137" s="331">
        <v>7754</v>
      </c>
      <c r="I137" s="330">
        <v>7314</v>
      </c>
      <c r="J137" s="330">
        <v>0</v>
      </c>
      <c r="K137" s="332">
        <v>124.28</v>
      </c>
      <c r="L137" s="332">
        <v>130.96</v>
      </c>
      <c r="M137" s="332">
        <v>7.6</v>
      </c>
      <c r="N137" s="332">
        <v>127.98</v>
      </c>
      <c r="O137" s="333">
        <v>5441</v>
      </c>
      <c r="P137" s="330">
        <v>110.27</v>
      </c>
      <c r="Q137" s="330">
        <v>113.61</v>
      </c>
      <c r="R137" s="330">
        <v>32.869999999999997</v>
      </c>
      <c r="S137" s="330">
        <v>141.96</v>
      </c>
      <c r="T137" s="330">
        <v>951</v>
      </c>
      <c r="U137" s="330">
        <v>178.88</v>
      </c>
      <c r="V137" s="330">
        <v>646</v>
      </c>
      <c r="W137" s="330">
        <v>0</v>
      </c>
      <c r="X137" s="330">
        <v>0</v>
      </c>
      <c r="Y137" s="330">
        <v>0</v>
      </c>
      <c r="Z137" s="330">
        <v>5</v>
      </c>
      <c r="AA137" s="330">
        <v>28</v>
      </c>
      <c r="AB137" s="330">
        <v>0</v>
      </c>
      <c r="AC137" s="330">
        <v>18</v>
      </c>
      <c r="AD137" s="334">
        <v>6167</v>
      </c>
      <c r="AE137" s="334">
        <v>50</v>
      </c>
      <c r="AF137" s="334">
        <v>5</v>
      </c>
      <c r="AG137" s="334">
        <v>55</v>
      </c>
    </row>
    <row r="138" spans="1:33" x14ac:dyDescent="0.25">
      <c r="A138" s="329" t="s">
        <v>332</v>
      </c>
      <c r="B138" s="335" t="s">
        <v>333</v>
      </c>
      <c r="C138" s="331">
        <v>776</v>
      </c>
      <c r="D138" s="331">
        <v>0</v>
      </c>
      <c r="E138" s="331">
        <v>53</v>
      </c>
      <c r="F138" s="331">
        <v>345</v>
      </c>
      <c r="G138" s="331">
        <v>165</v>
      </c>
      <c r="H138" s="331">
        <v>1339</v>
      </c>
      <c r="I138" s="330">
        <v>1174</v>
      </c>
      <c r="J138" s="330">
        <v>0</v>
      </c>
      <c r="K138" s="332">
        <v>98.18</v>
      </c>
      <c r="L138" s="332">
        <v>96.89</v>
      </c>
      <c r="M138" s="332">
        <v>6.19</v>
      </c>
      <c r="N138" s="332">
        <v>101.54</v>
      </c>
      <c r="O138" s="333">
        <v>711</v>
      </c>
      <c r="P138" s="330">
        <v>82.4</v>
      </c>
      <c r="Q138" s="330">
        <v>81.19</v>
      </c>
      <c r="R138" s="330">
        <v>35.53</v>
      </c>
      <c r="S138" s="330">
        <v>116.61</v>
      </c>
      <c r="T138" s="330">
        <v>378</v>
      </c>
      <c r="U138" s="330">
        <v>108.08</v>
      </c>
      <c r="V138" s="330">
        <v>44</v>
      </c>
      <c r="W138" s="330">
        <v>0</v>
      </c>
      <c r="X138" s="330">
        <v>0</v>
      </c>
      <c r="Y138" s="330">
        <v>0</v>
      </c>
      <c r="Z138" s="330">
        <v>0</v>
      </c>
      <c r="AA138" s="330">
        <v>0</v>
      </c>
      <c r="AB138" s="330">
        <v>11</v>
      </c>
      <c r="AC138" s="330">
        <v>2</v>
      </c>
      <c r="AD138" s="334">
        <v>754</v>
      </c>
      <c r="AE138" s="334">
        <v>1</v>
      </c>
      <c r="AF138" s="334">
        <v>0</v>
      </c>
      <c r="AG138" s="334">
        <v>1</v>
      </c>
    </row>
    <row r="139" spans="1:33" x14ac:dyDescent="0.25">
      <c r="A139" s="329" t="s">
        <v>334</v>
      </c>
      <c r="B139" s="335" t="s">
        <v>335</v>
      </c>
      <c r="C139" s="331">
        <v>6348</v>
      </c>
      <c r="D139" s="331">
        <v>0</v>
      </c>
      <c r="E139" s="331">
        <v>586</v>
      </c>
      <c r="F139" s="331">
        <v>550</v>
      </c>
      <c r="G139" s="331">
        <v>1210</v>
      </c>
      <c r="H139" s="331">
        <v>8694</v>
      </c>
      <c r="I139" s="330">
        <v>7484</v>
      </c>
      <c r="J139" s="330">
        <v>25</v>
      </c>
      <c r="K139" s="332">
        <v>126.37</v>
      </c>
      <c r="L139" s="332">
        <v>126.64</v>
      </c>
      <c r="M139" s="332">
        <v>9.9499999999999993</v>
      </c>
      <c r="N139" s="332">
        <v>133.01</v>
      </c>
      <c r="O139" s="333">
        <v>5451</v>
      </c>
      <c r="P139" s="330">
        <v>105.47</v>
      </c>
      <c r="Q139" s="330">
        <v>105.39</v>
      </c>
      <c r="R139" s="330">
        <v>39.619999999999997</v>
      </c>
      <c r="S139" s="330">
        <v>143.53</v>
      </c>
      <c r="T139" s="330">
        <v>893</v>
      </c>
      <c r="U139" s="330">
        <v>188.13</v>
      </c>
      <c r="V139" s="330">
        <v>598</v>
      </c>
      <c r="W139" s="330">
        <v>162</v>
      </c>
      <c r="X139" s="330">
        <v>63</v>
      </c>
      <c r="Y139" s="330">
        <v>8</v>
      </c>
      <c r="Z139" s="330">
        <v>2</v>
      </c>
      <c r="AA139" s="330">
        <v>9</v>
      </c>
      <c r="AB139" s="330">
        <v>56</v>
      </c>
      <c r="AC139" s="330">
        <v>75</v>
      </c>
      <c r="AD139" s="334">
        <v>6082</v>
      </c>
      <c r="AE139" s="334">
        <v>5</v>
      </c>
      <c r="AF139" s="334">
        <v>19</v>
      </c>
      <c r="AG139" s="334">
        <v>24</v>
      </c>
    </row>
    <row r="140" spans="1:33" x14ac:dyDescent="0.25">
      <c r="A140" s="329" t="s">
        <v>336</v>
      </c>
      <c r="B140" s="335" t="s">
        <v>337</v>
      </c>
      <c r="C140" s="331">
        <v>1664</v>
      </c>
      <c r="D140" s="331">
        <v>0</v>
      </c>
      <c r="E140" s="331">
        <v>76</v>
      </c>
      <c r="F140" s="331">
        <v>125</v>
      </c>
      <c r="G140" s="331">
        <v>311</v>
      </c>
      <c r="H140" s="331">
        <v>2176</v>
      </c>
      <c r="I140" s="330">
        <v>1865</v>
      </c>
      <c r="J140" s="330">
        <v>23</v>
      </c>
      <c r="K140" s="332">
        <v>92.74</v>
      </c>
      <c r="L140" s="332">
        <v>90.51</v>
      </c>
      <c r="M140" s="332">
        <v>4.78</v>
      </c>
      <c r="N140" s="332">
        <v>95.2</v>
      </c>
      <c r="O140" s="333">
        <v>1433</v>
      </c>
      <c r="P140" s="330">
        <v>89.35</v>
      </c>
      <c r="Q140" s="330">
        <v>77.209999999999994</v>
      </c>
      <c r="R140" s="330">
        <v>31.29</v>
      </c>
      <c r="S140" s="330">
        <v>120.63</v>
      </c>
      <c r="T140" s="330">
        <v>191</v>
      </c>
      <c r="U140" s="330">
        <v>106.14</v>
      </c>
      <c r="V140" s="330">
        <v>199</v>
      </c>
      <c r="W140" s="330">
        <v>0</v>
      </c>
      <c r="X140" s="330">
        <v>0</v>
      </c>
      <c r="Y140" s="330">
        <v>0</v>
      </c>
      <c r="Z140" s="330">
        <v>0</v>
      </c>
      <c r="AA140" s="330">
        <v>12</v>
      </c>
      <c r="AB140" s="330">
        <v>28</v>
      </c>
      <c r="AC140" s="330">
        <v>5</v>
      </c>
      <c r="AD140" s="334">
        <v>1664</v>
      </c>
      <c r="AE140" s="334">
        <v>8</v>
      </c>
      <c r="AF140" s="334">
        <v>16</v>
      </c>
      <c r="AG140" s="334">
        <v>24</v>
      </c>
    </row>
    <row r="141" spans="1:33" x14ac:dyDescent="0.25">
      <c r="A141" s="329" t="s">
        <v>338</v>
      </c>
      <c r="B141" s="335" t="s">
        <v>339</v>
      </c>
      <c r="C141" s="331">
        <v>5499</v>
      </c>
      <c r="D141" s="331">
        <v>0</v>
      </c>
      <c r="E141" s="331">
        <v>154</v>
      </c>
      <c r="F141" s="331">
        <v>1119</v>
      </c>
      <c r="G141" s="331">
        <v>523</v>
      </c>
      <c r="H141" s="331">
        <v>7295</v>
      </c>
      <c r="I141" s="330">
        <v>6772</v>
      </c>
      <c r="J141" s="330">
        <v>8</v>
      </c>
      <c r="K141" s="332">
        <v>114.36</v>
      </c>
      <c r="L141" s="332">
        <v>113.94</v>
      </c>
      <c r="M141" s="332">
        <v>3.93</v>
      </c>
      <c r="N141" s="332">
        <v>116.71</v>
      </c>
      <c r="O141" s="333">
        <v>4634</v>
      </c>
      <c r="P141" s="330">
        <v>97.64</v>
      </c>
      <c r="Q141" s="330">
        <v>95.44</v>
      </c>
      <c r="R141" s="330">
        <v>22.81</v>
      </c>
      <c r="S141" s="330">
        <v>120.17</v>
      </c>
      <c r="T141" s="330">
        <v>1065</v>
      </c>
      <c r="U141" s="330">
        <v>157.66999999999999</v>
      </c>
      <c r="V141" s="330">
        <v>797</v>
      </c>
      <c r="W141" s="330">
        <v>138.28</v>
      </c>
      <c r="X141" s="330">
        <v>62</v>
      </c>
      <c r="Y141" s="330">
        <v>0</v>
      </c>
      <c r="Z141" s="330">
        <v>7</v>
      </c>
      <c r="AA141" s="330">
        <v>2</v>
      </c>
      <c r="AB141" s="330">
        <v>63</v>
      </c>
      <c r="AC141" s="330">
        <v>33</v>
      </c>
      <c r="AD141" s="334">
        <v>5466</v>
      </c>
      <c r="AE141" s="334">
        <v>20</v>
      </c>
      <c r="AF141" s="334">
        <v>17</v>
      </c>
      <c r="AG141" s="334">
        <v>37</v>
      </c>
    </row>
    <row r="142" spans="1:33" x14ac:dyDescent="0.25">
      <c r="A142" s="329" t="s">
        <v>340</v>
      </c>
      <c r="B142" s="335" t="s">
        <v>341</v>
      </c>
      <c r="C142" s="331">
        <v>7409</v>
      </c>
      <c r="D142" s="331">
        <v>9</v>
      </c>
      <c r="E142" s="331">
        <v>411</v>
      </c>
      <c r="F142" s="331">
        <v>184</v>
      </c>
      <c r="G142" s="331">
        <v>1955</v>
      </c>
      <c r="H142" s="331">
        <v>9968</v>
      </c>
      <c r="I142" s="330">
        <v>8013</v>
      </c>
      <c r="J142" s="330">
        <v>93</v>
      </c>
      <c r="K142" s="332">
        <v>126.84</v>
      </c>
      <c r="L142" s="332">
        <v>127.89</v>
      </c>
      <c r="M142" s="332">
        <v>9.43</v>
      </c>
      <c r="N142" s="332">
        <v>134.16</v>
      </c>
      <c r="O142" s="333">
        <v>5995</v>
      </c>
      <c r="P142" s="330">
        <v>112.15</v>
      </c>
      <c r="Q142" s="330">
        <v>118.59</v>
      </c>
      <c r="R142" s="330">
        <v>67.59</v>
      </c>
      <c r="S142" s="330">
        <v>167.75</v>
      </c>
      <c r="T142" s="330">
        <v>310</v>
      </c>
      <c r="U142" s="330">
        <v>191.65</v>
      </c>
      <c r="V142" s="330">
        <v>529</v>
      </c>
      <c r="W142" s="330">
        <v>230.02</v>
      </c>
      <c r="X142" s="330">
        <v>97</v>
      </c>
      <c r="Y142" s="330">
        <v>0</v>
      </c>
      <c r="Z142" s="330">
        <v>5</v>
      </c>
      <c r="AA142" s="330">
        <v>1</v>
      </c>
      <c r="AB142" s="330">
        <v>77</v>
      </c>
      <c r="AC142" s="330">
        <v>105</v>
      </c>
      <c r="AD142" s="334">
        <v>6889</v>
      </c>
      <c r="AE142" s="334">
        <v>7</v>
      </c>
      <c r="AF142" s="334">
        <v>57</v>
      </c>
      <c r="AG142" s="334">
        <v>64</v>
      </c>
    </row>
    <row r="143" spans="1:33" x14ac:dyDescent="0.25">
      <c r="A143" s="329" t="s">
        <v>342</v>
      </c>
      <c r="B143" s="335" t="s">
        <v>343</v>
      </c>
      <c r="C143" s="331">
        <v>8243</v>
      </c>
      <c r="D143" s="331">
        <v>0</v>
      </c>
      <c r="E143" s="331">
        <v>367</v>
      </c>
      <c r="F143" s="331">
        <v>994</v>
      </c>
      <c r="G143" s="331">
        <v>654</v>
      </c>
      <c r="H143" s="331">
        <v>10258</v>
      </c>
      <c r="I143" s="330">
        <v>9604</v>
      </c>
      <c r="J143" s="330">
        <v>15</v>
      </c>
      <c r="K143" s="332">
        <v>97.61</v>
      </c>
      <c r="L143" s="332">
        <v>97.9</v>
      </c>
      <c r="M143" s="332">
        <v>3.85</v>
      </c>
      <c r="N143" s="332">
        <v>99.04</v>
      </c>
      <c r="O143" s="333">
        <v>7915</v>
      </c>
      <c r="P143" s="330">
        <v>89.16</v>
      </c>
      <c r="Q143" s="330">
        <v>88.81</v>
      </c>
      <c r="R143" s="330">
        <v>41.6</v>
      </c>
      <c r="S143" s="330">
        <v>130.31</v>
      </c>
      <c r="T143" s="330">
        <v>734</v>
      </c>
      <c r="U143" s="330">
        <v>119.24</v>
      </c>
      <c r="V143" s="330">
        <v>129</v>
      </c>
      <c r="W143" s="330">
        <v>0</v>
      </c>
      <c r="X143" s="330">
        <v>0</v>
      </c>
      <c r="Y143" s="330">
        <v>0</v>
      </c>
      <c r="Z143" s="330">
        <v>21</v>
      </c>
      <c r="AA143" s="330">
        <v>8</v>
      </c>
      <c r="AB143" s="330">
        <v>56</v>
      </c>
      <c r="AC143" s="330">
        <v>32</v>
      </c>
      <c r="AD143" s="334">
        <v>8240</v>
      </c>
      <c r="AE143" s="334">
        <v>23</v>
      </c>
      <c r="AF143" s="334">
        <v>29</v>
      </c>
      <c r="AG143" s="334">
        <v>52</v>
      </c>
    </row>
    <row r="144" spans="1:33" x14ac:dyDescent="0.25">
      <c r="A144" s="329" t="s">
        <v>344</v>
      </c>
      <c r="B144" s="335" t="s">
        <v>345</v>
      </c>
      <c r="C144" s="331">
        <v>2965</v>
      </c>
      <c r="D144" s="331">
        <v>0</v>
      </c>
      <c r="E144" s="331">
        <v>226</v>
      </c>
      <c r="F144" s="331">
        <v>1707</v>
      </c>
      <c r="G144" s="331">
        <v>51</v>
      </c>
      <c r="H144" s="331">
        <v>4949</v>
      </c>
      <c r="I144" s="330">
        <v>4898</v>
      </c>
      <c r="J144" s="330">
        <v>10</v>
      </c>
      <c r="K144" s="332">
        <v>79.319999999999993</v>
      </c>
      <c r="L144" s="332">
        <v>80.209999999999994</v>
      </c>
      <c r="M144" s="332">
        <v>2.2799999999999998</v>
      </c>
      <c r="N144" s="332">
        <v>80.47</v>
      </c>
      <c r="O144" s="333">
        <v>2874</v>
      </c>
      <c r="P144" s="330">
        <v>75.25</v>
      </c>
      <c r="Q144" s="330">
        <v>71.989999999999995</v>
      </c>
      <c r="R144" s="330">
        <v>16.8</v>
      </c>
      <c r="S144" s="330">
        <v>91.92</v>
      </c>
      <c r="T144" s="330">
        <v>1878</v>
      </c>
      <c r="U144" s="330">
        <v>90.18</v>
      </c>
      <c r="V144" s="330">
        <v>90</v>
      </c>
      <c r="W144" s="330">
        <v>241.93</v>
      </c>
      <c r="X144" s="330">
        <v>12</v>
      </c>
      <c r="Y144" s="330">
        <v>0</v>
      </c>
      <c r="Z144" s="330">
        <v>7</v>
      </c>
      <c r="AA144" s="330">
        <v>15</v>
      </c>
      <c r="AB144" s="330">
        <v>0</v>
      </c>
      <c r="AC144" s="330">
        <v>0</v>
      </c>
      <c r="AD144" s="334">
        <v>2965</v>
      </c>
      <c r="AE144" s="334">
        <v>36</v>
      </c>
      <c r="AF144" s="334">
        <v>23</v>
      </c>
      <c r="AG144" s="334">
        <v>59</v>
      </c>
    </row>
    <row r="145" spans="1:33" x14ac:dyDescent="0.25">
      <c r="A145" s="329" t="s">
        <v>346</v>
      </c>
      <c r="B145" s="335" t="s">
        <v>347</v>
      </c>
      <c r="C145" s="331">
        <v>3645</v>
      </c>
      <c r="D145" s="331">
        <v>0</v>
      </c>
      <c r="E145" s="331">
        <v>613</v>
      </c>
      <c r="F145" s="331">
        <v>742</v>
      </c>
      <c r="G145" s="331">
        <v>348</v>
      </c>
      <c r="H145" s="331">
        <v>5348</v>
      </c>
      <c r="I145" s="330">
        <v>5000</v>
      </c>
      <c r="J145" s="330">
        <v>79</v>
      </c>
      <c r="K145" s="332">
        <v>90.28</v>
      </c>
      <c r="L145" s="332">
        <v>89.91</v>
      </c>
      <c r="M145" s="332">
        <v>6.52</v>
      </c>
      <c r="N145" s="332">
        <v>95.11</v>
      </c>
      <c r="O145" s="333">
        <v>3183</v>
      </c>
      <c r="P145" s="330">
        <v>79.92</v>
      </c>
      <c r="Q145" s="330">
        <v>73.25</v>
      </c>
      <c r="R145" s="330">
        <v>52.82</v>
      </c>
      <c r="S145" s="330">
        <v>132.69</v>
      </c>
      <c r="T145" s="330">
        <v>1115</v>
      </c>
      <c r="U145" s="330">
        <v>97.62</v>
      </c>
      <c r="V145" s="330">
        <v>411</v>
      </c>
      <c r="W145" s="330">
        <v>93.64</v>
      </c>
      <c r="X145" s="330">
        <v>2</v>
      </c>
      <c r="Y145" s="330">
        <v>14</v>
      </c>
      <c r="Z145" s="330">
        <v>2</v>
      </c>
      <c r="AA145" s="330">
        <v>0</v>
      </c>
      <c r="AB145" s="330">
        <v>40</v>
      </c>
      <c r="AC145" s="330">
        <v>17</v>
      </c>
      <c r="AD145" s="334">
        <v>3645</v>
      </c>
      <c r="AE145" s="334">
        <v>19</v>
      </c>
      <c r="AF145" s="334">
        <v>17</v>
      </c>
      <c r="AG145" s="334">
        <v>36</v>
      </c>
    </row>
    <row r="146" spans="1:33" x14ac:dyDescent="0.25">
      <c r="A146" s="329" t="s">
        <v>348</v>
      </c>
      <c r="B146" s="335" t="s">
        <v>349</v>
      </c>
      <c r="C146" s="331">
        <v>6241</v>
      </c>
      <c r="D146" s="331">
        <v>10</v>
      </c>
      <c r="E146" s="331">
        <v>310</v>
      </c>
      <c r="F146" s="331">
        <v>681</v>
      </c>
      <c r="G146" s="331">
        <v>258</v>
      </c>
      <c r="H146" s="331">
        <v>7500</v>
      </c>
      <c r="I146" s="330">
        <v>7242</v>
      </c>
      <c r="J146" s="330">
        <v>2</v>
      </c>
      <c r="K146" s="332">
        <v>90.75</v>
      </c>
      <c r="L146" s="332">
        <v>91.22</v>
      </c>
      <c r="M146" s="332">
        <v>5.26</v>
      </c>
      <c r="N146" s="332">
        <v>93.82</v>
      </c>
      <c r="O146" s="333">
        <v>5483</v>
      </c>
      <c r="P146" s="330">
        <v>74.260000000000005</v>
      </c>
      <c r="Q146" s="330">
        <v>75.91</v>
      </c>
      <c r="R146" s="330">
        <v>36.22</v>
      </c>
      <c r="S146" s="330">
        <v>102.72</v>
      </c>
      <c r="T146" s="330">
        <v>952</v>
      </c>
      <c r="U146" s="330">
        <v>122.93</v>
      </c>
      <c r="V146" s="330">
        <v>238</v>
      </c>
      <c r="W146" s="330">
        <v>100.93</v>
      </c>
      <c r="X146" s="330">
        <v>13</v>
      </c>
      <c r="Y146" s="330">
        <v>1</v>
      </c>
      <c r="Z146" s="330">
        <v>5</v>
      </c>
      <c r="AA146" s="330">
        <v>8</v>
      </c>
      <c r="AB146" s="330">
        <v>19</v>
      </c>
      <c r="AC146" s="330">
        <v>10</v>
      </c>
      <c r="AD146" s="334">
        <v>5806</v>
      </c>
      <c r="AE146" s="334">
        <v>13</v>
      </c>
      <c r="AF146" s="334">
        <v>3</v>
      </c>
      <c r="AG146" s="334">
        <v>16</v>
      </c>
    </row>
    <row r="147" spans="1:33" x14ac:dyDescent="0.25">
      <c r="A147" s="329" t="s">
        <v>350</v>
      </c>
      <c r="B147" s="335" t="s">
        <v>351</v>
      </c>
      <c r="C147" s="331">
        <v>54</v>
      </c>
      <c r="D147" s="331">
        <v>0</v>
      </c>
      <c r="E147" s="331">
        <v>0</v>
      </c>
      <c r="F147" s="331">
        <v>7</v>
      </c>
      <c r="G147" s="331">
        <v>0</v>
      </c>
      <c r="H147" s="331">
        <v>61</v>
      </c>
      <c r="I147" s="330">
        <v>61</v>
      </c>
      <c r="J147" s="330">
        <v>0</v>
      </c>
      <c r="K147" s="332">
        <v>104.09</v>
      </c>
      <c r="L147" s="332">
        <v>106.36</v>
      </c>
      <c r="M147" s="332">
        <v>0.89</v>
      </c>
      <c r="N147" s="332">
        <v>104.45</v>
      </c>
      <c r="O147" s="333">
        <v>27</v>
      </c>
      <c r="P147" s="330">
        <v>96.71</v>
      </c>
      <c r="Q147" s="330">
        <v>88.23</v>
      </c>
      <c r="R147" s="330">
        <v>18.27</v>
      </c>
      <c r="S147" s="330">
        <v>114.98</v>
      </c>
      <c r="T147" s="330">
        <v>7</v>
      </c>
      <c r="U147" s="330">
        <v>118.6</v>
      </c>
      <c r="V147" s="330">
        <v>2</v>
      </c>
      <c r="W147" s="330">
        <v>0</v>
      </c>
      <c r="X147" s="330">
        <v>0</v>
      </c>
      <c r="Y147" s="330">
        <v>0</v>
      </c>
      <c r="Z147" s="330">
        <v>0</v>
      </c>
      <c r="AA147" s="330">
        <v>0</v>
      </c>
      <c r="AB147" s="330">
        <v>0</v>
      </c>
      <c r="AC147" s="330">
        <v>0</v>
      </c>
      <c r="AD147" s="334">
        <v>27</v>
      </c>
      <c r="AE147" s="334">
        <v>1</v>
      </c>
      <c r="AF147" s="334">
        <v>0</v>
      </c>
      <c r="AG147" s="334">
        <v>1</v>
      </c>
    </row>
    <row r="148" spans="1:33" x14ac:dyDescent="0.25">
      <c r="A148" s="329" t="s">
        <v>352</v>
      </c>
      <c r="B148" s="335" t="s">
        <v>353</v>
      </c>
      <c r="C148" s="331">
        <v>13324</v>
      </c>
      <c r="D148" s="331">
        <v>252</v>
      </c>
      <c r="E148" s="331">
        <v>1283</v>
      </c>
      <c r="F148" s="331">
        <v>758</v>
      </c>
      <c r="G148" s="331">
        <v>1413</v>
      </c>
      <c r="H148" s="331">
        <v>17030</v>
      </c>
      <c r="I148" s="330">
        <v>15617</v>
      </c>
      <c r="J148" s="330">
        <v>28</v>
      </c>
      <c r="K148" s="332">
        <v>127.4</v>
      </c>
      <c r="L148" s="332">
        <v>137.1</v>
      </c>
      <c r="M148" s="332">
        <v>11.02</v>
      </c>
      <c r="N148" s="332">
        <v>135.47</v>
      </c>
      <c r="O148" s="333">
        <v>11484</v>
      </c>
      <c r="P148" s="330">
        <v>114.67</v>
      </c>
      <c r="Q148" s="330">
        <v>115.64</v>
      </c>
      <c r="R148" s="330">
        <v>44.87</v>
      </c>
      <c r="S148" s="330">
        <v>154.6</v>
      </c>
      <c r="T148" s="330">
        <v>1664</v>
      </c>
      <c r="U148" s="330">
        <v>182.83</v>
      </c>
      <c r="V148" s="330">
        <v>468</v>
      </c>
      <c r="W148" s="330">
        <v>237.91</v>
      </c>
      <c r="X148" s="330">
        <v>1</v>
      </c>
      <c r="Y148" s="330">
        <v>0</v>
      </c>
      <c r="Z148" s="330">
        <v>3</v>
      </c>
      <c r="AA148" s="330">
        <v>11</v>
      </c>
      <c r="AB148" s="330">
        <v>43</v>
      </c>
      <c r="AC148" s="330">
        <v>81</v>
      </c>
      <c r="AD148" s="334">
        <v>12332</v>
      </c>
      <c r="AE148" s="334">
        <v>103</v>
      </c>
      <c r="AF148" s="334">
        <v>48</v>
      </c>
      <c r="AG148" s="334">
        <v>151</v>
      </c>
    </row>
    <row r="149" spans="1:33" x14ac:dyDescent="0.25">
      <c r="A149" s="329" t="s">
        <v>354</v>
      </c>
      <c r="B149" s="335" t="s">
        <v>355</v>
      </c>
      <c r="C149" s="331">
        <v>10732</v>
      </c>
      <c r="D149" s="331">
        <v>328</v>
      </c>
      <c r="E149" s="331">
        <v>977</v>
      </c>
      <c r="F149" s="331">
        <v>997</v>
      </c>
      <c r="G149" s="331">
        <v>599</v>
      </c>
      <c r="H149" s="331">
        <v>13633</v>
      </c>
      <c r="I149" s="330">
        <v>13034</v>
      </c>
      <c r="J149" s="330">
        <v>66</v>
      </c>
      <c r="K149" s="332">
        <v>126.69</v>
      </c>
      <c r="L149" s="332">
        <v>147.69999999999999</v>
      </c>
      <c r="M149" s="332">
        <v>11.07</v>
      </c>
      <c r="N149" s="332">
        <v>133.93</v>
      </c>
      <c r="O149" s="333">
        <v>9373</v>
      </c>
      <c r="P149" s="330">
        <v>118.96</v>
      </c>
      <c r="Q149" s="330">
        <v>128.51</v>
      </c>
      <c r="R149" s="330">
        <v>50.92</v>
      </c>
      <c r="S149" s="330">
        <v>161.59</v>
      </c>
      <c r="T149" s="330">
        <v>1536</v>
      </c>
      <c r="U149" s="330">
        <v>217.76</v>
      </c>
      <c r="V149" s="330">
        <v>458</v>
      </c>
      <c r="W149" s="330">
        <v>208.64</v>
      </c>
      <c r="X149" s="330">
        <v>22</v>
      </c>
      <c r="Y149" s="330">
        <v>76</v>
      </c>
      <c r="Z149" s="330">
        <v>1</v>
      </c>
      <c r="AA149" s="330">
        <v>48</v>
      </c>
      <c r="AB149" s="330">
        <v>32</v>
      </c>
      <c r="AC149" s="330">
        <v>18</v>
      </c>
      <c r="AD149" s="334">
        <v>9923</v>
      </c>
      <c r="AE149" s="334">
        <v>34</v>
      </c>
      <c r="AF149" s="334">
        <v>177</v>
      </c>
      <c r="AG149" s="334">
        <v>211</v>
      </c>
    </row>
    <row r="150" spans="1:33" x14ac:dyDescent="0.25">
      <c r="A150" s="329" t="s">
        <v>356</v>
      </c>
      <c r="B150" s="335" t="s">
        <v>357</v>
      </c>
      <c r="C150" s="331">
        <v>8397</v>
      </c>
      <c r="D150" s="331">
        <v>17</v>
      </c>
      <c r="E150" s="331">
        <v>360</v>
      </c>
      <c r="F150" s="331">
        <v>941</v>
      </c>
      <c r="G150" s="331">
        <v>213</v>
      </c>
      <c r="H150" s="331">
        <v>9928</v>
      </c>
      <c r="I150" s="330">
        <v>9715</v>
      </c>
      <c r="J150" s="330">
        <v>1</v>
      </c>
      <c r="K150" s="332">
        <v>85.76</v>
      </c>
      <c r="L150" s="332">
        <v>85.97</v>
      </c>
      <c r="M150" s="332">
        <v>4.1399999999999997</v>
      </c>
      <c r="N150" s="332">
        <v>86.56</v>
      </c>
      <c r="O150" s="333">
        <v>7848</v>
      </c>
      <c r="P150" s="330">
        <v>85.07</v>
      </c>
      <c r="Q150" s="330">
        <v>82.31</v>
      </c>
      <c r="R150" s="330">
        <v>30.16</v>
      </c>
      <c r="S150" s="330">
        <v>113.15</v>
      </c>
      <c r="T150" s="330">
        <v>1263</v>
      </c>
      <c r="U150" s="330">
        <v>102.62</v>
      </c>
      <c r="V150" s="330">
        <v>512</v>
      </c>
      <c r="W150" s="330">
        <v>96</v>
      </c>
      <c r="X150" s="330">
        <v>10</v>
      </c>
      <c r="Y150" s="330">
        <v>0</v>
      </c>
      <c r="Z150" s="330">
        <v>27</v>
      </c>
      <c r="AA150" s="330">
        <v>5</v>
      </c>
      <c r="AB150" s="330">
        <v>3</v>
      </c>
      <c r="AC150" s="330">
        <v>12</v>
      </c>
      <c r="AD150" s="334">
        <v>8389</v>
      </c>
      <c r="AE150" s="334">
        <v>7</v>
      </c>
      <c r="AF150" s="334">
        <v>4</v>
      </c>
      <c r="AG150" s="334">
        <v>11</v>
      </c>
    </row>
    <row r="151" spans="1:33" x14ac:dyDescent="0.25">
      <c r="A151" s="329" t="s">
        <v>358</v>
      </c>
      <c r="B151" s="335" t="s">
        <v>359</v>
      </c>
      <c r="C151" s="331">
        <v>5708</v>
      </c>
      <c r="D151" s="331">
        <v>0</v>
      </c>
      <c r="E151" s="331">
        <v>711</v>
      </c>
      <c r="F151" s="331">
        <v>2463</v>
      </c>
      <c r="G151" s="331">
        <v>403</v>
      </c>
      <c r="H151" s="331">
        <v>9285</v>
      </c>
      <c r="I151" s="330">
        <v>8882</v>
      </c>
      <c r="J151" s="330">
        <v>5</v>
      </c>
      <c r="K151" s="332">
        <v>81.81</v>
      </c>
      <c r="L151" s="332">
        <v>82</v>
      </c>
      <c r="M151" s="332">
        <v>5.61</v>
      </c>
      <c r="N151" s="332">
        <v>84.63</v>
      </c>
      <c r="O151" s="333">
        <v>5078</v>
      </c>
      <c r="P151" s="330">
        <v>81.400000000000006</v>
      </c>
      <c r="Q151" s="330">
        <v>81.040000000000006</v>
      </c>
      <c r="R151" s="330">
        <v>33.229999999999997</v>
      </c>
      <c r="S151" s="330">
        <v>114.07</v>
      </c>
      <c r="T151" s="330">
        <v>2848</v>
      </c>
      <c r="U151" s="330">
        <v>100.26</v>
      </c>
      <c r="V151" s="330">
        <v>411</v>
      </c>
      <c r="W151" s="330">
        <v>127.7</v>
      </c>
      <c r="X151" s="330">
        <v>8</v>
      </c>
      <c r="Y151" s="330">
        <v>0</v>
      </c>
      <c r="Z151" s="330">
        <v>8</v>
      </c>
      <c r="AA151" s="330">
        <v>10</v>
      </c>
      <c r="AB151" s="330">
        <v>0</v>
      </c>
      <c r="AC151" s="330">
        <v>1</v>
      </c>
      <c r="AD151" s="334">
        <v>5514</v>
      </c>
      <c r="AE151" s="334">
        <v>46</v>
      </c>
      <c r="AF151" s="334">
        <v>13</v>
      </c>
      <c r="AG151" s="334">
        <v>59</v>
      </c>
    </row>
    <row r="152" spans="1:33" x14ac:dyDescent="0.25">
      <c r="A152" s="329" t="s">
        <v>360</v>
      </c>
      <c r="B152" s="335" t="s">
        <v>361</v>
      </c>
      <c r="C152" s="331">
        <v>2077</v>
      </c>
      <c r="D152" s="331">
        <v>13</v>
      </c>
      <c r="E152" s="331">
        <v>325</v>
      </c>
      <c r="F152" s="331">
        <v>219</v>
      </c>
      <c r="G152" s="331">
        <v>275</v>
      </c>
      <c r="H152" s="331">
        <v>2909</v>
      </c>
      <c r="I152" s="330">
        <v>2634</v>
      </c>
      <c r="J152" s="330">
        <v>20</v>
      </c>
      <c r="K152" s="332">
        <v>132.81</v>
      </c>
      <c r="L152" s="332">
        <v>135.57</v>
      </c>
      <c r="M152" s="332">
        <v>8.98</v>
      </c>
      <c r="N152" s="332">
        <v>140.49</v>
      </c>
      <c r="O152" s="333">
        <v>1561</v>
      </c>
      <c r="P152" s="330">
        <v>105.86</v>
      </c>
      <c r="Q152" s="330">
        <v>105.13</v>
      </c>
      <c r="R152" s="330">
        <v>32.68</v>
      </c>
      <c r="S152" s="330">
        <v>138.24</v>
      </c>
      <c r="T152" s="330">
        <v>325</v>
      </c>
      <c r="U152" s="330">
        <v>222.75</v>
      </c>
      <c r="V152" s="330">
        <v>254</v>
      </c>
      <c r="W152" s="330">
        <v>0</v>
      </c>
      <c r="X152" s="330">
        <v>0</v>
      </c>
      <c r="Y152" s="330">
        <v>0</v>
      </c>
      <c r="Z152" s="330">
        <v>1</v>
      </c>
      <c r="AA152" s="330">
        <v>1</v>
      </c>
      <c r="AB152" s="330">
        <v>0</v>
      </c>
      <c r="AC152" s="330">
        <v>10</v>
      </c>
      <c r="AD152" s="334">
        <v>1817</v>
      </c>
      <c r="AE152" s="334">
        <v>11</v>
      </c>
      <c r="AF152" s="334">
        <v>6</v>
      </c>
      <c r="AG152" s="334">
        <v>17</v>
      </c>
    </row>
    <row r="153" spans="1:33" x14ac:dyDescent="0.25">
      <c r="A153" s="329" t="s">
        <v>362</v>
      </c>
      <c r="B153" s="335" t="s">
        <v>363</v>
      </c>
      <c r="C153" s="331">
        <v>3806</v>
      </c>
      <c r="D153" s="331">
        <v>42</v>
      </c>
      <c r="E153" s="331">
        <v>401</v>
      </c>
      <c r="F153" s="331">
        <v>1495</v>
      </c>
      <c r="G153" s="331">
        <v>370</v>
      </c>
      <c r="H153" s="331">
        <v>6114</v>
      </c>
      <c r="I153" s="330">
        <v>5744</v>
      </c>
      <c r="J153" s="330">
        <v>21</v>
      </c>
      <c r="K153" s="332">
        <v>87.53</v>
      </c>
      <c r="L153" s="332">
        <v>86.26</v>
      </c>
      <c r="M153" s="332">
        <v>5.28</v>
      </c>
      <c r="N153" s="332">
        <v>91.43</v>
      </c>
      <c r="O153" s="333">
        <v>3296</v>
      </c>
      <c r="P153" s="330">
        <v>78.260000000000005</v>
      </c>
      <c r="Q153" s="330">
        <v>75.569999999999993</v>
      </c>
      <c r="R153" s="330">
        <v>27.09</v>
      </c>
      <c r="S153" s="330">
        <v>104.49</v>
      </c>
      <c r="T153" s="330">
        <v>1737</v>
      </c>
      <c r="U153" s="330">
        <v>97.67</v>
      </c>
      <c r="V153" s="330">
        <v>351</v>
      </c>
      <c r="W153" s="330">
        <v>99.34</v>
      </c>
      <c r="X153" s="330">
        <v>24</v>
      </c>
      <c r="Y153" s="330">
        <v>0</v>
      </c>
      <c r="Z153" s="330">
        <v>2</v>
      </c>
      <c r="AA153" s="330">
        <v>12</v>
      </c>
      <c r="AB153" s="330">
        <v>13</v>
      </c>
      <c r="AC153" s="330">
        <v>5</v>
      </c>
      <c r="AD153" s="334">
        <v>3797</v>
      </c>
      <c r="AE153" s="334">
        <v>32</v>
      </c>
      <c r="AF153" s="334">
        <v>10</v>
      </c>
      <c r="AG153" s="334">
        <v>42</v>
      </c>
    </row>
    <row r="154" spans="1:33" x14ac:dyDescent="0.25">
      <c r="A154" s="329" t="s">
        <v>364</v>
      </c>
      <c r="B154" s="335" t="s">
        <v>365</v>
      </c>
      <c r="C154" s="331">
        <v>15916</v>
      </c>
      <c r="D154" s="331">
        <v>0</v>
      </c>
      <c r="E154" s="331">
        <v>871</v>
      </c>
      <c r="F154" s="331">
        <v>1580</v>
      </c>
      <c r="G154" s="331">
        <v>289</v>
      </c>
      <c r="H154" s="331">
        <v>18656</v>
      </c>
      <c r="I154" s="330">
        <v>18367</v>
      </c>
      <c r="J154" s="330">
        <v>36</v>
      </c>
      <c r="K154" s="332">
        <v>86.11</v>
      </c>
      <c r="L154" s="332">
        <v>87.21</v>
      </c>
      <c r="M154" s="332">
        <v>10.99</v>
      </c>
      <c r="N154" s="332">
        <v>88.6</v>
      </c>
      <c r="O154" s="333">
        <v>14830</v>
      </c>
      <c r="P154" s="330">
        <v>84.27</v>
      </c>
      <c r="Q154" s="330">
        <v>83.65</v>
      </c>
      <c r="R154" s="330">
        <v>27.4</v>
      </c>
      <c r="S154" s="330">
        <v>102.78</v>
      </c>
      <c r="T154" s="330">
        <v>2259</v>
      </c>
      <c r="U154" s="330">
        <v>110.73</v>
      </c>
      <c r="V154" s="330">
        <v>793</v>
      </c>
      <c r="W154" s="330">
        <v>143.63999999999999</v>
      </c>
      <c r="X154" s="330">
        <v>41</v>
      </c>
      <c r="Y154" s="330">
        <v>0</v>
      </c>
      <c r="Z154" s="330">
        <v>92</v>
      </c>
      <c r="AA154" s="330">
        <v>7</v>
      </c>
      <c r="AB154" s="330">
        <v>16</v>
      </c>
      <c r="AC154" s="330">
        <v>4</v>
      </c>
      <c r="AD154" s="334">
        <v>15666</v>
      </c>
      <c r="AE154" s="334">
        <v>268</v>
      </c>
      <c r="AF154" s="334">
        <v>201</v>
      </c>
      <c r="AG154" s="334">
        <v>469</v>
      </c>
    </row>
    <row r="155" spans="1:33" x14ac:dyDescent="0.25">
      <c r="A155" s="329" t="s">
        <v>366</v>
      </c>
      <c r="B155" s="335" t="s">
        <v>367</v>
      </c>
      <c r="C155" s="331">
        <v>20823</v>
      </c>
      <c r="D155" s="331">
        <v>57</v>
      </c>
      <c r="E155" s="331">
        <v>1787</v>
      </c>
      <c r="F155" s="331">
        <v>1344</v>
      </c>
      <c r="G155" s="331">
        <v>2049</v>
      </c>
      <c r="H155" s="331">
        <v>26060</v>
      </c>
      <c r="I155" s="330">
        <v>24011</v>
      </c>
      <c r="J155" s="330">
        <v>58</v>
      </c>
      <c r="K155" s="332">
        <v>119.46</v>
      </c>
      <c r="L155" s="332">
        <v>129.69999999999999</v>
      </c>
      <c r="M155" s="332">
        <v>12.42</v>
      </c>
      <c r="N155" s="332">
        <v>129.36000000000001</v>
      </c>
      <c r="O155" s="333">
        <v>18520</v>
      </c>
      <c r="P155" s="330">
        <v>110.4</v>
      </c>
      <c r="Q155" s="330">
        <v>111.84</v>
      </c>
      <c r="R155" s="330">
        <v>44.51</v>
      </c>
      <c r="S155" s="330">
        <v>151.27000000000001</v>
      </c>
      <c r="T155" s="330">
        <v>2786</v>
      </c>
      <c r="U155" s="330">
        <v>185.35</v>
      </c>
      <c r="V155" s="330">
        <v>915</v>
      </c>
      <c r="W155" s="330">
        <v>201.29</v>
      </c>
      <c r="X155" s="330">
        <v>9</v>
      </c>
      <c r="Y155" s="330">
        <v>4</v>
      </c>
      <c r="Z155" s="330">
        <v>21</v>
      </c>
      <c r="AA155" s="330">
        <v>20</v>
      </c>
      <c r="AB155" s="330">
        <v>267</v>
      </c>
      <c r="AC155" s="330">
        <v>108</v>
      </c>
      <c r="AD155" s="334">
        <v>19696</v>
      </c>
      <c r="AE155" s="334">
        <v>141</v>
      </c>
      <c r="AF155" s="334">
        <v>372</v>
      </c>
      <c r="AG155" s="334">
        <v>513</v>
      </c>
    </row>
    <row r="156" spans="1:33" x14ac:dyDescent="0.25">
      <c r="A156" s="329" t="s">
        <v>368</v>
      </c>
      <c r="B156" s="335" t="s">
        <v>369</v>
      </c>
      <c r="C156" s="331">
        <v>1731</v>
      </c>
      <c r="D156" s="331">
        <v>2</v>
      </c>
      <c r="E156" s="331">
        <v>321</v>
      </c>
      <c r="F156" s="331">
        <v>485</v>
      </c>
      <c r="G156" s="331">
        <v>324</v>
      </c>
      <c r="H156" s="331">
        <v>2863</v>
      </c>
      <c r="I156" s="330">
        <v>2539</v>
      </c>
      <c r="J156" s="330">
        <v>4</v>
      </c>
      <c r="K156" s="332">
        <v>85.93</v>
      </c>
      <c r="L156" s="332">
        <v>83.12</v>
      </c>
      <c r="M156" s="332">
        <v>5.18</v>
      </c>
      <c r="N156" s="332">
        <v>90.32</v>
      </c>
      <c r="O156" s="333">
        <v>1342</v>
      </c>
      <c r="P156" s="330">
        <v>83.63</v>
      </c>
      <c r="Q156" s="330">
        <v>72.180000000000007</v>
      </c>
      <c r="R156" s="330">
        <v>45.39</v>
      </c>
      <c r="S156" s="330">
        <v>128.57</v>
      </c>
      <c r="T156" s="330">
        <v>711</v>
      </c>
      <c r="U156" s="330">
        <v>103.07</v>
      </c>
      <c r="V156" s="330">
        <v>336</v>
      </c>
      <c r="W156" s="330">
        <v>133.9</v>
      </c>
      <c r="X156" s="330">
        <v>10</v>
      </c>
      <c r="Y156" s="330">
        <v>5</v>
      </c>
      <c r="Z156" s="330">
        <v>0</v>
      </c>
      <c r="AA156" s="330">
        <v>22</v>
      </c>
      <c r="AB156" s="330">
        <v>23</v>
      </c>
      <c r="AC156" s="330">
        <v>5</v>
      </c>
      <c r="AD156" s="334">
        <v>1699</v>
      </c>
      <c r="AE156" s="334">
        <v>14</v>
      </c>
      <c r="AF156" s="334">
        <v>1</v>
      </c>
      <c r="AG156" s="334">
        <v>15</v>
      </c>
    </row>
    <row r="157" spans="1:33" x14ac:dyDescent="0.25">
      <c r="A157" s="329" t="s">
        <v>370</v>
      </c>
      <c r="B157" s="335" t="s">
        <v>371</v>
      </c>
      <c r="C157" s="331">
        <v>12176</v>
      </c>
      <c r="D157" s="331">
        <v>68</v>
      </c>
      <c r="E157" s="331">
        <v>1417</v>
      </c>
      <c r="F157" s="331">
        <v>3079</v>
      </c>
      <c r="G157" s="331">
        <v>1155</v>
      </c>
      <c r="H157" s="331">
        <v>17895</v>
      </c>
      <c r="I157" s="330">
        <v>16740</v>
      </c>
      <c r="J157" s="330">
        <v>12</v>
      </c>
      <c r="K157" s="332">
        <v>85.91</v>
      </c>
      <c r="L157" s="332">
        <v>85.33</v>
      </c>
      <c r="M157" s="332">
        <v>6.58</v>
      </c>
      <c r="N157" s="332">
        <v>89.91</v>
      </c>
      <c r="O157" s="333">
        <v>10539</v>
      </c>
      <c r="P157" s="330">
        <v>88.86</v>
      </c>
      <c r="Q157" s="330">
        <v>76.27</v>
      </c>
      <c r="R157" s="330">
        <v>40.700000000000003</v>
      </c>
      <c r="S157" s="330">
        <v>128.91</v>
      </c>
      <c r="T157" s="330">
        <v>3550</v>
      </c>
      <c r="U157" s="330">
        <v>104.75</v>
      </c>
      <c r="V157" s="330">
        <v>849</v>
      </c>
      <c r="W157" s="330">
        <v>92.46</v>
      </c>
      <c r="X157" s="330">
        <v>33</v>
      </c>
      <c r="Y157" s="330">
        <v>0</v>
      </c>
      <c r="Z157" s="330">
        <v>15</v>
      </c>
      <c r="AA157" s="330">
        <v>24</v>
      </c>
      <c r="AB157" s="330">
        <v>38</v>
      </c>
      <c r="AC157" s="330">
        <v>23</v>
      </c>
      <c r="AD157" s="334">
        <v>11811</v>
      </c>
      <c r="AE157" s="334">
        <v>67</v>
      </c>
      <c r="AF157" s="334">
        <v>33</v>
      </c>
      <c r="AG157" s="334">
        <v>100</v>
      </c>
    </row>
    <row r="158" spans="1:33" x14ac:dyDescent="0.25">
      <c r="A158" s="329" t="s">
        <v>372</v>
      </c>
      <c r="B158" s="335" t="s">
        <v>373</v>
      </c>
      <c r="C158" s="331">
        <v>8858</v>
      </c>
      <c r="D158" s="331">
        <v>0</v>
      </c>
      <c r="E158" s="331">
        <v>809</v>
      </c>
      <c r="F158" s="331">
        <v>974</v>
      </c>
      <c r="G158" s="331">
        <v>542</v>
      </c>
      <c r="H158" s="331">
        <v>11183</v>
      </c>
      <c r="I158" s="330">
        <v>10641</v>
      </c>
      <c r="J158" s="330">
        <v>109</v>
      </c>
      <c r="K158" s="332">
        <v>85.42</v>
      </c>
      <c r="L158" s="332">
        <v>83.81</v>
      </c>
      <c r="M158" s="332">
        <v>7.99</v>
      </c>
      <c r="N158" s="332">
        <v>90.59</v>
      </c>
      <c r="O158" s="333">
        <v>7467</v>
      </c>
      <c r="P158" s="330">
        <v>81.09</v>
      </c>
      <c r="Q158" s="330">
        <v>75.84</v>
      </c>
      <c r="R158" s="330">
        <v>54.64</v>
      </c>
      <c r="S158" s="330">
        <v>134.79</v>
      </c>
      <c r="T158" s="330">
        <v>1507</v>
      </c>
      <c r="U158" s="330">
        <v>107.03</v>
      </c>
      <c r="V158" s="330">
        <v>506</v>
      </c>
      <c r="W158" s="330">
        <v>100.78</v>
      </c>
      <c r="X158" s="330">
        <v>73</v>
      </c>
      <c r="Y158" s="330">
        <v>0</v>
      </c>
      <c r="Z158" s="330">
        <v>2</v>
      </c>
      <c r="AA158" s="330">
        <v>33</v>
      </c>
      <c r="AB158" s="330">
        <v>13</v>
      </c>
      <c r="AC158" s="330">
        <v>34</v>
      </c>
      <c r="AD158" s="334">
        <v>8137</v>
      </c>
      <c r="AE158" s="334">
        <v>49</v>
      </c>
      <c r="AF158" s="334">
        <v>79</v>
      </c>
      <c r="AG158" s="334">
        <v>128</v>
      </c>
    </row>
    <row r="159" spans="1:33" x14ac:dyDescent="0.25">
      <c r="A159" s="329" t="s">
        <v>374</v>
      </c>
      <c r="B159" s="335" t="s">
        <v>375</v>
      </c>
      <c r="C159" s="331">
        <v>1006</v>
      </c>
      <c r="D159" s="331">
        <v>0</v>
      </c>
      <c r="E159" s="331">
        <v>154</v>
      </c>
      <c r="F159" s="331">
        <v>427</v>
      </c>
      <c r="G159" s="331">
        <v>246</v>
      </c>
      <c r="H159" s="331">
        <v>1833</v>
      </c>
      <c r="I159" s="330">
        <v>1587</v>
      </c>
      <c r="J159" s="330">
        <v>0</v>
      </c>
      <c r="K159" s="332">
        <v>96.3</v>
      </c>
      <c r="L159" s="332">
        <v>98.16</v>
      </c>
      <c r="M159" s="332">
        <v>7.93</v>
      </c>
      <c r="N159" s="332">
        <v>103.06</v>
      </c>
      <c r="O159" s="333">
        <v>865</v>
      </c>
      <c r="P159" s="330">
        <v>82.25</v>
      </c>
      <c r="Q159" s="330">
        <v>81.25</v>
      </c>
      <c r="R159" s="330">
        <v>39.200000000000003</v>
      </c>
      <c r="S159" s="330">
        <v>120.79</v>
      </c>
      <c r="T159" s="330">
        <v>295</v>
      </c>
      <c r="U159" s="330">
        <v>152.91</v>
      </c>
      <c r="V159" s="330">
        <v>118</v>
      </c>
      <c r="W159" s="330">
        <v>134.29</v>
      </c>
      <c r="X159" s="330">
        <v>9</v>
      </c>
      <c r="Y159" s="330">
        <v>0</v>
      </c>
      <c r="Z159" s="330">
        <v>0</v>
      </c>
      <c r="AA159" s="330">
        <v>0</v>
      </c>
      <c r="AB159" s="330">
        <v>8</v>
      </c>
      <c r="AC159" s="330">
        <v>3</v>
      </c>
      <c r="AD159" s="334">
        <v>994</v>
      </c>
      <c r="AE159" s="334">
        <v>8</v>
      </c>
      <c r="AF159" s="334">
        <v>1</v>
      </c>
      <c r="AG159" s="334">
        <v>9</v>
      </c>
    </row>
    <row r="160" spans="1:33" x14ac:dyDescent="0.25">
      <c r="A160" s="329" t="s">
        <v>376</v>
      </c>
      <c r="B160" s="335" t="s">
        <v>377</v>
      </c>
      <c r="C160" s="331">
        <v>20796</v>
      </c>
      <c r="D160" s="331">
        <v>194</v>
      </c>
      <c r="E160" s="331">
        <v>1223</v>
      </c>
      <c r="F160" s="331">
        <v>651</v>
      </c>
      <c r="G160" s="331">
        <v>1595</v>
      </c>
      <c r="H160" s="331">
        <v>24459</v>
      </c>
      <c r="I160" s="330">
        <v>22864</v>
      </c>
      <c r="J160" s="330">
        <v>6</v>
      </c>
      <c r="K160" s="332">
        <v>111.79</v>
      </c>
      <c r="L160" s="332">
        <v>115.03</v>
      </c>
      <c r="M160" s="332">
        <v>8.34</v>
      </c>
      <c r="N160" s="332">
        <v>116.63</v>
      </c>
      <c r="O160" s="333">
        <v>18506</v>
      </c>
      <c r="P160" s="330">
        <v>103.27</v>
      </c>
      <c r="Q160" s="330">
        <v>105.29</v>
      </c>
      <c r="R160" s="330">
        <v>49.95</v>
      </c>
      <c r="S160" s="330">
        <v>148.29</v>
      </c>
      <c r="T160" s="330">
        <v>1631</v>
      </c>
      <c r="U160" s="330">
        <v>167.07</v>
      </c>
      <c r="V160" s="330">
        <v>1131</v>
      </c>
      <c r="W160" s="330">
        <v>270.57</v>
      </c>
      <c r="X160" s="330">
        <v>56</v>
      </c>
      <c r="Y160" s="330">
        <v>0</v>
      </c>
      <c r="Z160" s="330">
        <v>57</v>
      </c>
      <c r="AA160" s="330">
        <v>40</v>
      </c>
      <c r="AB160" s="330">
        <v>223</v>
      </c>
      <c r="AC160" s="330">
        <v>59</v>
      </c>
      <c r="AD160" s="334">
        <v>19866</v>
      </c>
      <c r="AE160" s="334">
        <v>89</v>
      </c>
      <c r="AF160" s="334">
        <v>48</v>
      </c>
      <c r="AG160" s="334">
        <v>137</v>
      </c>
    </row>
    <row r="161" spans="1:33" x14ac:dyDescent="0.25">
      <c r="A161" s="329" t="s">
        <v>378</v>
      </c>
      <c r="B161" s="335" t="s">
        <v>379</v>
      </c>
      <c r="C161" s="331">
        <v>5303</v>
      </c>
      <c r="D161" s="331">
        <v>17</v>
      </c>
      <c r="E161" s="331">
        <v>131</v>
      </c>
      <c r="F161" s="331">
        <v>272</v>
      </c>
      <c r="G161" s="331">
        <v>200</v>
      </c>
      <c r="H161" s="331">
        <v>5923</v>
      </c>
      <c r="I161" s="330">
        <v>5723</v>
      </c>
      <c r="J161" s="330">
        <v>3</v>
      </c>
      <c r="K161" s="332">
        <v>90.23</v>
      </c>
      <c r="L161" s="332">
        <v>86.98</v>
      </c>
      <c r="M161" s="332">
        <v>2.88</v>
      </c>
      <c r="N161" s="332">
        <v>91.7</v>
      </c>
      <c r="O161" s="333">
        <v>4964</v>
      </c>
      <c r="P161" s="330">
        <v>93.58</v>
      </c>
      <c r="Q161" s="330">
        <v>91.43</v>
      </c>
      <c r="R161" s="330">
        <v>42.49</v>
      </c>
      <c r="S161" s="330">
        <v>109.61</v>
      </c>
      <c r="T161" s="330">
        <v>403</v>
      </c>
      <c r="U161" s="330">
        <v>110.67</v>
      </c>
      <c r="V161" s="330">
        <v>331</v>
      </c>
      <c r="W161" s="330">
        <v>0</v>
      </c>
      <c r="X161" s="330">
        <v>0</v>
      </c>
      <c r="Y161" s="330">
        <v>0</v>
      </c>
      <c r="Z161" s="330">
        <v>15</v>
      </c>
      <c r="AA161" s="330">
        <v>10</v>
      </c>
      <c r="AB161" s="330">
        <v>6</v>
      </c>
      <c r="AC161" s="330">
        <v>9</v>
      </c>
      <c r="AD161" s="334">
        <v>5301</v>
      </c>
      <c r="AE161" s="334">
        <v>14</v>
      </c>
      <c r="AF161" s="334">
        <v>13</v>
      </c>
      <c r="AG161" s="334">
        <v>27</v>
      </c>
    </row>
    <row r="162" spans="1:33" x14ac:dyDescent="0.25">
      <c r="A162" s="329" t="s">
        <v>380</v>
      </c>
      <c r="B162" s="335" t="s">
        <v>381</v>
      </c>
      <c r="C162" s="331">
        <v>1252</v>
      </c>
      <c r="D162" s="331">
        <v>0</v>
      </c>
      <c r="E162" s="331">
        <v>433</v>
      </c>
      <c r="F162" s="331">
        <v>182</v>
      </c>
      <c r="G162" s="331">
        <v>212</v>
      </c>
      <c r="H162" s="331">
        <v>2079</v>
      </c>
      <c r="I162" s="330">
        <v>1867</v>
      </c>
      <c r="J162" s="330">
        <v>16</v>
      </c>
      <c r="K162" s="332">
        <v>82</v>
      </c>
      <c r="L162" s="332">
        <v>80.98</v>
      </c>
      <c r="M162" s="332">
        <v>6.65</v>
      </c>
      <c r="N162" s="332">
        <v>87.64</v>
      </c>
      <c r="O162" s="333">
        <v>978</v>
      </c>
      <c r="P162" s="330">
        <v>89.56</v>
      </c>
      <c r="Q162" s="330">
        <v>83.62</v>
      </c>
      <c r="R162" s="330">
        <v>52.8</v>
      </c>
      <c r="S162" s="330">
        <v>142.35</v>
      </c>
      <c r="T162" s="330">
        <v>199</v>
      </c>
      <c r="U162" s="330">
        <v>97.7</v>
      </c>
      <c r="V162" s="330">
        <v>101</v>
      </c>
      <c r="W162" s="330">
        <v>239.38</v>
      </c>
      <c r="X162" s="330">
        <v>16</v>
      </c>
      <c r="Y162" s="330">
        <v>94</v>
      </c>
      <c r="Z162" s="330">
        <v>0</v>
      </c>
      <c r="AA162" s="330">
        <v>4</v>
      </c>
      <c r="AB162" s="330">
        <v>8</v>
      </c>
      <c r="AC162" s="330">
        <v>7</v>
      </c>
      <c r="AD162" s="334">
        <v>1223</v>
      </c>
      <c r="AE162" s="334">
        <v>6</v>
      </c>
      <c r="AF162" s="334">
        <v>2</v>
      </c>
      <c r="AG162" s="334">
        <v>8</v>
      </c>
    </row>
    <row r="163" spans="1:33" x14ac:dyDescent="0.25">
      <c r="A163" s="329" t="s">
        <v>382</v>
      </c>
      <c r="B163" s="335" t="s">
        <v>383</v>
      </c>
      <c r="C163" s="331">
        <v>52470</v>
      </c>
      <c r="D163" s="331">
        <v>1</v>
      </c>
      <c r="E163" s="331">
        <v>2182</v>
      </c>
      <c r="F163" s="331">
        <v>3958</v>
      </c>
      <c r="G163" s="331">
        <v>747</v>
      </c>
      <c r="H163" s="331">
        <v>59358</v>
      </c>
      <c r="I163" s="330">
        <v>58611</v>
      </c>
      <c r="J163" s="330">
        <v>103</v>
      </c>
      <c r="K163" s="332">
        <v>85.64</v>
      </c>
      <c r="L163" s="332">
        <v>86.47</v>
      </c>
      <c r="M163" s="332">
        <v>8.01</v>
      </c>
      <c r="N163" s="332">
        <v>87.82</v>
      </c>
      <c r="O163" s="333">
        <v>45979</v>
      </c>
      <c r="P163" s="330">
        <v>83.29</v>
      </c>
      <c r="Q163" s="330">
        <v>81.14</v>
      </c>
      <c r="R163" s="330">
        <v>41.65</v>
      </c>
      <c r="S163" s="330">
        <v>123.69</v>
      </c>
      <c r="T163" s="330">
        <v>5319</v>
      </c>
      <c r="U163" s="330">
        <v>103.08</v>
      </c>
      <c r="V163" s="330">
        <v>3918</v>
      </c>
      <c r="W163" s="330">
        <v>152.22</v>
      </c>
      <c r="X163" s="330">
        <v>28</v>
      </c>
      <c r="Y163" s="330">
        <v>105</v>
      </c>
      <c r="Z163" s="330">
        <v>169</v>
      </c>
      <c r="AA163" s="330">
        <v>190</v>
      </c>
      <c r="AB163" s="330">
        <v>60</v>
      </c>
      <c r="AC163" s="330">
        <v>20</v>
      </c>
      <c r="AD163" s="334">
        <v>50046</v>
      </c>
      <c r="AE163" s="334">
        <v>308</v>
      </c>
      <c r="AF163" s="334">
        <v>476</v>
      </c>
      <c r="AG163" s="334">
        <v>784</v>
      </c>
    </row>
    <row r="164" spans="1:33" x14ac:dyDescent="0.25">
      <c r="A164" s="329" t="s">
        <v>384</v>
      </c>
      <c r="B164" s="335" t="s">
        <v>385</v>
      </c>
      <c r="C164" s="331">
        <v>3557</v>
      </c>
      <c r="D164" s="331">
        <v>0</v>
      </c>
      <c r="E164" s="331">
        <v>292</v>
      </c>
      <c r="F164" s="331">
        <v>356</v>
      </c>
      <c r="G164" s="331">
        <v>337</v>
      </c>
      <c r="H164" s="331">
        <v>4542</v>
      </c>
      <c r="I164" s="330">
        <v>4205</v>
      </c>
      <c r="J164" s="330">
        <v>4</v>
      </c>
      <c r="K164" s="332">
        <v>103.96</v>
      </c>
      <c r="L164" s="332">
        <v>101.78</v>
      </c>
      <c r="M164" s="332">
        <v>6.2</v>
      </c>
      <c r="N164" s="332">
        <v>108.42</v>
      </c>
      <c r="O164" s="333">
        <v>2857</v>
      </c>
      <c r="P164" s="330">
        <v>100.59</v>
      </c>
      <c r="Q164" s="330">
        <v>98.53</v>
      </c>
      <c r="R164" s="330">
        <v>34.69</v>
      </c>
      <c r="S164" s="330">
        <v>133.53</v>
      </c>
      <c r="T164" s="330">
        <v>417</v>
      </c>
      <c r="U164" s="330">
        <v>130.22</v>
      </c>
      <c r="V164" s="330">
        <v>277</v>
      </c>
      <c r="W164" s="330">
        <v>0</v>
      </c>
      <c r="X164" s="330">
        <v>0</v>
      </c>
      <c r="Y164" s="330">
        <v>10</v>
      </c>
      <c r="Z164" s="330">
        <v>0</v>
      </c>
      <c r="AA164" s="330">
        <v>1</v>
      </c>
      <c r="AB164" s="330">
        <v>23</v>
      </c>
      <c r="AC164" s="330">
        <v>24</v>
      </c>
      <c r="AD164" s="334">
        <v>3230</v>
      </c>
      <c r="AE164" s="334">
        <v>12</v>
      </c>
      <c r="AF164" s="334">
        <v>2</v>
      </c>
      <c r="AG164" s="334">
        <v>14</v>
      </c>
    </row>
    <row r="165" spans="1:33" x14ac:dyDescent="0.25">
      <c r="A165" s="329" t="s">
        <v>386</v>
      </c>
      <c r="B165" s="335" t="s">
        <v>387</v>
      </c>
      <c r="C165" s="331">
        <v>7431</v>
      </c>
      <c r="D165" s="331">
        <v>0</v>
      </c>
      <c r="E165" s="331">
        <v>243</v>
      </c>
      <c r="F165" s="331">
        <v>1136</v>
      </c>
      <c r="G165" s="331">
        <v>694</v>
      </c>
      <c r="H165" s="331">
        <v>9504</v>
      </c>
      <c r="I165" s="330">
        <v>8810</v>
      </c>
      <c r="J165" s="330">
        <v>1</v>
      </c>
      <c r="K165" s="332">
        <v>97.73</v>
      </c>
      <c r="L165" s="332">
        <v>96.56</v>
      </c>
      <c r="M165" s="332">
        <v>4.6900000000000004</v>
      </c>
      <c r="N165" s="332">
        <v>101.3</v>
      </c>
      <c r="O165" s="333">
        <v>6140</v>
      </c>
      <c r="P165" s="330">
        <v>86.94</v>
      </c>
      <c r="Q165" s="330">
        <v>92.86</v>
      </c>
      <c r="R165" s="330">
        <v>14.51</v>
      </c>
      <c r="S165" s="330">
        <v>100.47</v>
      </c>
      <c r="T165" s="330">
        <v>1235</v>
      </c>
      <c r="U165" s="330">
        <v>156.1</v>
      </c>
      <c r="V165" s="330">
        <v>916</v>
      </c>
      <c r="W165" s="330">
        <v>218.43</v>
      </c>
      <c r="X165" s="330">
        <v>57</v>
      </c>
      <c r="Y165" s="330">
        <v>33</v>
      </c>
      <c r="Z165" s="330">
        <v>34</v>
      </c>
      <c r="AA165" s="330">
        <v>2</v>
      </c>
      <c r="AB165" s="330">
        <v>18</v>
      </c>
      <c r="AC165" s="330">
        <v>30</v>
      </c>
      <c r="AD165" s="334">
        <v>7118</v>
      </c>
      <c r="AE165" s="334">
        <v>35</v>
      </c>
      <c r="AF165" s="334">
        <v>49</v>
      </c>
      <c r="AG165" s="334">
        <v>84</v>
      </c>
    </row>
    <row r="166" spans="1:33" x14ac:dyDescent="0.25">
      <c r="A166" s="329" t="s">
        <v>388</v>
      </c>
      <c r="B166" s="335" t="s">
        <v>389</v>
      </c>
      <c r="C166" s="331">
        <v>2155</v>
      </c>
      <c r="D166" s="331">
        <v>0</v>
      </c>
      <c r="E166" s="331">
        <v>28</v>
      </c>
      <c r="F166" s="331">
        <v>811</v>
      </c>
      <c r="G166" s="331">
        <v>51</v>
      </c>
      <c r="H166" s="331">
        <v>3045</v>
      </c>
      <c r="I166" s="330">
        <v>2994</v>
      </c>
      <c r="J166" s="330">
        <v>0</v>
      </c>
      <c r="K166" s="332">
        <v>105.59</v>
      </c>
      <c r="L166" s="332">
        <v>104.57</v>
      </c>
      <c r="M166" s="332">
        <v>4.6900000000000004</v>
      </c>
      <c r="N166" s="332">
        <v>108.64</v>
      </c>
      <c r="O166" s="333">
        <v>1960</v>
      </c>
      <c r="P166" s="330">
        <v>87.63</v>
      </c>
      <c r="Q166" s="330">
        <v>87.03</v>
      </c>
      <c r="R166" s="330">
        <v>12.47</v>
      </c>
      <c r="S166" s="330">
        <v>100.01</v>
      </c>
      <c r="T166" s="330">
        <v>765</v>
      </c>
      <c r="U166" s="330">
        <v>134.65</v>
      </c>
      <c r="V166" s="330">
        <v>187</v>
      </c>
      <c r="W166" s="330">
        <v>116.23</v>
      </c>
      <c r="X166" s="330">
        <v>1</v>
      </c>
      <c r="Y166" s="330">
        <v>0</v>
      </c>
      <c r="Z166" s="330">
        <v>2</v>
      </c>
      <c r="AA166" s="330">
        <v>3</v>
      </c>
      <c r="AB166" s="330">
        <v>0</v>
      </c>
      <c r="AC166" s="330">
        <v>3</v>
      </c>
      <c r="AD166" s="334">
        <v>2155</v>
      </c>
      <c r="AE166" s="334">
        <v>11</v>
      </c>
      <c r="AF166" s="334">
        <v>8</v>
      </c>
      <c r="AG166" s="334">
        <v>19</v>
      </c>
    </row>
    <row r="167" spans="1:33" x14ac:dyDescent="0.25">
      <c r="A167" s="329" t="s">
        <v>390</v>
      </c>
      <c r="B167" s="335" t="s">
        <v>391</v>
      </c>
      <c r="C167" s="331">
        <v>3933</v>
      </c>
      <c r="D167" s="331">
        <v>0</v>
      </c>
      <c r="E167" s="331">
        <v>66</v>
      </c>
      <c r="F167" s="331">
        <v>681</v>
      </c>
      <c r="G167" s="331">
        <v>314</v>
      </c>
      <c r="H167" s="331">
        <v>4994</v>
      </c>
      <c r="I167" s="330">
        <v>4680</v>
      </c>
      <c r="J167" s="330">
        <v>0</v>
      </c>
      <c r="K167" s="332">
        <v>98.78</v>
      </c>
      <c r="L167" s="332">
        <v>99.02</v>
      </c>
      <c r="M167" s="332">
        <v>3.43</v>
      </c>
      <c r="N167" s="332">
        <v>101.87</v>
      </c>
      <c r="O167" s="333">
        <v>3680</v>
      </c>
      <c r="P167" s="330">
        <v>89.51</v>
      </c>
      <c r="Q167" s="330">
        <v>91.15</v>
      </c>
      <c r="R167" s="330">
        <v>23.45</v>
      </c>
      <c r="S167" s="330">
        <v>112.83</v>
      </c>
      <c r="T167" s="330">
        <v>699</v>
      </c>
      <c r="U167" s="330">
        <v>115.11</v>
      </c>
      <c r="V167" s="330">
        <v>179</v>
      </c>
      <c r="W167" s="330">
        <v>159.49</v>
      </c>
      <c r="X167" s="330">
        <v>45</v>
      </c>
      <c r="Y167" s="330">
        <v>0</v>
      </c>
      <c r="Z167" s="330">
        <v>5</v>
      </c>
      <c r="AA167" s="330">
        <v>0</v>
      </c>
      <c r="AB167" s="330">
        <v>13</v>
      </c>
      <c r="AC167" s="330">
        <v>7</v>
      </c>
      <c r="AD167" s="334">
        <v>3932</v>
      </c>
      <c r="AE167" s="334">
        <v>31</v>
      </c>
      <c r="AF167" s="334">
        <v>17</v>
      </c>
      <c r="AG167" s="334">
        <v>48</v>
      </c>
    </row>
    <row r="168" spans="1:33" x14ac:dyDescent="0.25">
      <c r="A168" s="329" t="s">
        <v>392</v>
      </c>
      <c r="B168" s="335" t="s">
        <v>393</v>
      </c>
      <c r="C168" s="331">
        <v>46708</v>
      </c>
      <c r="D168" s="331">
        <v>62</v>
      </c>
      <c r="E168" s="331">
        <v>1541</v>
      </c>
      <c r="F168" s="331">
        <v>3235</v>
      </c>
      <c r="G168" s="331">
        <v>1313</v>
      </c>
      <c r="H168" s="331">
        <v>52859</v>
      </c>
      <c r="I168" s="330">
        <v>51546</v>
      </c>
      <c r="J168" s="330">
        <v>144</v>
      </c>
      <c r="K168" s="332">
        <v>82.87</v>
      </c>
      <c r="L168" s="332">
        <v>83.66</v>
      </c>
      <c r="M168" s="332">
        <v>4.74</v>
      </c>
      <c r="N168" s="332">
        <v>84.56</v>
      </c>
      <c r="O168" s="333">
        <v>43057</v>
      </c>
      <c r="P168" s="330">
        <v>80.81</v>
      </c>
      <c r="Q168" s="330">
        <v>75.33</v>
      </c>
      <c r="R168" s="330">
        <v>42.57</v>
      </c>
      <c r="S168" s="330">
        <v>120.92</v>
      </c>
      <c r="T168" s="330">
        <v>4133</v>
      </c>
      <c r="U168" s="330">
        <v>107.11</v>
      </c>
      <c r="V168" s="330">
        <v>1923</v>
      </c>
      <c r="W168" s="330">
        <v>0</v>
      </c>
      <c r="X168" s="330">
        <v>0</v>
      </c>
      <c r="Y168" s="330">
        <v>10</v>
      </c>
      <c r="Z168" s="330">
        <v>251</v>
      </c>
      <c r="AA168" s="330">
        <v>115</v>
      </c>
      <c r="AB168" s="330">
        <v>76</v>
      </c>
      <c r="AC168" s="330">
        <v>45</v>
      </c>
      <c r="AD168" s="334">
        <v>45028</v>
      </c>
      <c r="AE168" s="334">
        <v>121</v>
      </c>
      <c r="AF168" s="334">
        <v>194</v>
      </c>
      <c r="AG168" s="334">
        <v>315</v>
      </c>
    </row>
    <row r="169" spans="1:33" x14ac:dyDescent="0.25">
      <c r="A169" s="329" t="s">
        <v>394</v>
      </c>
      <c r="B169" s="335" t="s">
        <v>395</v>
      </c>
      <c r="C169" s="331">
        <v>1730</v>
      </c>
      <c r="D169" s="331">
        <v>0</v>
      </c>
      <c r="E169" s="331">
        <v>383</v>
      </c>
      <c r="F169" s="331">
        <v>248</v>
      </c>
      <c r="G169" s="331">
        <v>139</v>
      </c>
      <c r="H169" s="331">
        <v>2500</v>
      </c>
      <c r="I169" s="330">
        <v>2361</v>
      </c>
      <c r="J169" s="330">
        <v>5</v>
      </c>
      <c r="K169" s="332">
        <v>83.62</v>
      </c>
      <c r="L169" s="332">
        <v>81.739999999999995</v>
      </c>
      <c r="M169" s="332">
        <v>5.81</v>
      </c>
      <c r="N169" s="332">
        <v>86.38</v>
      </c>
      <c r="O169" s="333">
        <v>1690</v>
      </c>
      <c r="P169" s="330">
        <v>100.15</v>
      </c>
      <c r="Q169" s="330">
        <v>72.849999999999994</v>
      </c>
      <c r="R169" s="330">
        <v>53.34</v>
      </c>
      <c r="S169" s="330">
        <v>150.96</v>
      </c>
      <c r="T169" s="330">
        <v>316</v>
      </c>
      <c r="U169" s="330">
        <v>93.67</v>
      </c>
      <c r="V169" s="330">
        <v>32</v>
      </c>
      <c r="W169" s="330">
        <v>0</v>
      </c>
      <c r="X169" s="330">
        <v>0</v>
      </c>
      <c r="Y169" s="330">
        <v>0</v>
      </c>
      <c r="Z169" s="330">
        <v>0</v>
      </c>
      <c r="AA169" s="330">
        <v>16</v>
      </c>
      <c r="AB169" s="330">
        <v>13</v>
      </c>
      <c r="AC169" s="330">
        <v>1</v>
      </c>
      <c r="AD169" s="334">
        <v>1730</v>
      </c>
      <c r="AE169" s="334">
        <v>13</v>
      </c>
      <c r="AF169" s="334">
        <v>18</v>
      </c>
      <c r="AG169" s="334">
        <v>31</v>
      </c>
    </row>
    <row r="170" spans="1:33" x14ac:dyDescent="0.25">
      <c r="A170" s="329" t="s">
        <v>396</v>
      </c>
      <c r="B170" s="335" t="s">
        <v>397</v>
      </c>
      <c r="C170" s="331">
        <v>3832</v>
      </c>
      <c r="D170" s="331">
        <v>0</v>
      </c>
      <c r="E170" s="331">
        <v>290</v>
      </c>
      <c r="F170" s="331">
        <v>784</v>
      </c>
      <c r="G170" s="331">
        <v>1129</v>
      </c>
      <c r="H170" s="331">
        <v>6035</v>
      </c>
      <c r="I170" s="330">
        <v>4906</v>
      </c>
      <c r="J170" s="330">
        <v>1</v>
      </c>
      <c r="K170" s="332">
        <v>102.8</v>
      </c>
      <c r="L170" s="332">
        <v>101.36</v>
      </c>
      <c r="M170" s="332">
        <v>6.83</v>
      </c>
      <c r="N170" s="332">
        <v>108.11</v>
      </c>
      <c r="O170" s="333">
        <v>2891</v>
      </c>
      <c r="P170" s="330">
        <v>87.63</v>
      </c>
      <c r="Q170" s="330">
        <v>85.11</v>
      </c>
      <c r="R170" s="330">
        <v>35.29</v>
      </c>
      <c r="S170" s="330">
        <v>118.44</v>
      </c>
      <c r="T170" s="330">
        <v>907</v>
      </c>
      <c r="U170" s="330">
        <v>128.85</v>
      </c>
      <c r="V170" s="330">
        <v>553</v>
      </c>
      <c r="W170" s="330">
        <v>161.72</v>
      </c>
      <c r="X170" s="330">
        <v>61</v>
      </c>
      <c r="Y170" s="330">
        <v>49</v>
      </c>
      <c r="Z170" s="330">
        <v>9</v>
      </c>
      <c r="AA170" s="330">
        <v>7</v>
      </c>
      <c r="AB170" s="330">
        <v>30</v>
      </c>
      <c r="AC170" s="330">
        <v>25</v>
      </c>
      <c r="AD170" s="334">
        <v>3496</v>
      </c>
      <c r="AE170" s="334">
        <v>15</v>
      </c>
      <c r="AF170" s="334">
        <v>9</v>
      </c>
      <c r="AG170" s="334">
        <v>24</v>
      </c>
    </row>
    <row r="171" spans="1:33" x14ac:dyDescent="0.25">
      <c r="A171" s="329" t="s">
        <v>398</v>
      </c>
      <c r="B171" s="335" t="s">
        <v>399</v>
      </c>
      <c r="C171" s="331">
        <v>503</v>
      </c>
      <c r="D171" s="331">
        <v>0</v>
      </c>
      <c r="E171" s="331">
        <v>66</v>
      </c>
      <c r="F171" s="331">
        <v>77</v>
      </c>
      <c r="G171" s="331">
        <v>149</v>
      </c>
      <c r="H171" s="331">
        <v>795</v>
      </c>
      <c r="I171" s="330">
        <v>646</v>
      </c>
      <c r="J171" s="330">
        <v>3</v>
      </c>
      <c r="K171" s="332">
        <v>93.17</v>
      </c>
      <c r="L171" s="332">
        <v>91</v>
      </c>
      <c r="M171" s="332">
        <v>2.89</v>
      </c>
      <c r="N171" s="332">
        <v>95.31</v>
      </c>
      <c r="O171" s="333">
        <v>420</v>
      </c>
      <c r="P171" s="330">
        <v>79.14</v>
      </c>
      <c r="Q171" s="330">
        <v>77.97</v>
      </c>
      <c r="R171" s="330">
        <v>57.33</v>
      </c>
      <c r="S171" s="330">
        <v>136.47</v>
      </c>
      <c r="T171" s="330">
        <v>143</v>
      </c>
      <c r="U171" s="330">
        <v>102.73</v>
      </c>
      <c r="V171" s="330">
        <v>58</v>
      </c>
      <c r="W171" s="330">
        <v>0</v>
      </c>
      <c r="X171" s="330">
        <v>0</v>
      </c>
      <c r="Y171" s="330">
        <v>0</v>
      </c>
      <c r="Z171" s="330">
        <v>0</v>
      </c>
      <c r="AA171" s="330">
        <v>0</v>
      </c>
      <c r="AB171" s="330">
        <v>0</v>
      </c>
      <c r="AC171" s="330">
        <v>3</v>
      </c>
      <c r="AD171" s="334">
        <v>502</v>
      </c>
      <c r="AE171" s="334">
        <v>5</v>
      </c>
      <c r="AF171" s="334">
        <v>2</v>
      </c>
      <c r="AG171" s="334">
        <v>7</v>
      </c>
    </row>
    <row r="172" spans="1:33" x14ac:dyDescent="0.25">
      <c r="A172" s="329" t="s">
        <v>400</v>
      </c>
      <c r="B172" s="335" t="s">
        <v>401</v>
      </c>
      <c r="C172" s="331">
        <v>5008</v>
      </c>
      <c r="D172" s="331">
        <v>0</v>
      </c>
      <c r="E172" s="331">
        <v>293</v>
      </c>
      <c r="F172" s="331">
        <v>1029</v>
      </c>
      <c r="G172" s="331">
        <v>361</v>
      </c>
      <c r="H172" s="331">
        <v>6691</v>
      </c>
      <c r="I172" s="330">
        <v>6330</v>
      </c>
      <c r="J172" s="330">
        <v>0</v>
      </c>
      <c r="K172" s="332">
        <v>95.37</v>
      </c>
      <c r="L172" s="332">
        <v>94.77</v>
      </c>
      <c r="M172" s="332">
        <v>4.41</v>
      </c>
      <c r="N172" s="332">
        <v>97.05</v>
      </c>
      <c r="O172" s="333">
        <v>4159</v>
      </c>
      <c r="P172" s="330">
        <v>85.18</v>
      </c>
      <c r="Q172" s="330">
        <v>82.03</v>
      </c>
      <c r="R172" s="330">
        <v>20.52</v>
      </c>
      <c r="S172" s="330">
        <v>105.37</v>
      </c>
      <c r="T172" s="330">
        <v>1181</v>
      </c>
      <c r="U172" s="330">
        <v>115.87</v>
      </c>
      <c r="V172" s="330">
        <v>683</v>
      </c>
      <c r="W172" s="330">
        <v>113.42</v>
      </c>
      <c r="X172" s="330">
        <v>33</v>
      </c>
      <c r="Y172" s="330">
        <v>0</v>
      </c>
      <c r="Z172" s="330">
        <v>12</v>
      </c>
      <c r="AA172" s="330">
        <v>11</v>
      </c>
      <c r="AB172" s="330">
        <v>47</v>
      </c>
      <c r="AC172" s="330">
        <v>5</v>
      </c>
      <c r="AD172" s="334">
        <v>4845</v>
      </c>
      <c r="AE172" s="334">
        <v>15</v>
      </c>
      <c r="AF172" s="334">
        <v>7</v>
      </c>
      <c r="AG172" s="334">
        <v>22</v>
      </c>
    </row>
    <row r="173" spans="1:33" x14ac:dyDescent="0.25">
      <c r="A173" s="329" t="s">
        <v>402</v>
      </c>
      <c r="B173" s="335" t="s">
        <v>403</v>
      </c>
      <c r="C173" s="331">
        <v>10082</v>
      </c>
      <c r="D173" s="331">
        <v>6</v>
      </c>
      <c r="E173" s="331">
        <v>453</v>
      </c>
      <c r="F173" s="331">
        <v>808</v>
      </c>
      <c r="G173" s="331">
        <v>706</v>
      </c>
      <c r="H173" s="331">
        <v>12055</v>
      </c>
      <c r="I173" s="330">
        <v>11349</v>
      </c>
      <c r="J173" s="330">
        <v>172</v>
      </c>
      <c r="K173" s="332">
        <v>116.11</v>
      </c>
      <c r="L173" s="332">
        <v>117.87</v>
      </c>
      <c r="M173" s="332">
        <v>7.05</v>
      </c>
      <c r="N173" s="332">
        <v>121.92</v>
      </c>
      <c r="O173" s="333">
        <v>8978</v>
      </c>
      <c r="P173" s="330">
        <v>107.47</v>
      </c>
      <c r="Q173" s="330">
        <v>104.1</v>
      </c>
      <c r="R173" s="330">
        <v>30.65</v>
      </c>
      <c r="S173" s="330">
        <v>137.5</v>
      </c>
      <c r="T173" s="330">
        <v>930</v>
      </c>
      <c r="U173" s="330">
        <v>147.86000000000001</v>
      </c>
      <c r="V173" s="330">
        <v>955</v>
      </c>
      <c r="W173" s="330">
        <v>235.26</v>
      </c>
      <c r="X173" s="330">
        <v>56</v>
      </c>
      <c r="Y173" s="330">
        <v>82</v>
      </c>
      <c r="Z173" s="330">
        <v>49</v>
      </c>
      <c r="AA173" s="330">
        <v>31</v>
      </c>
      <c r="AB173" s="330">
        <v>25</v>
      </c>
      <c r="AC173" s="330">
        <v>44</v>
      </c>
      <c r="AD173" s="334">
        <v>10036</v>
      </c>
      <c r="AE173" s="334">
        <v>16</v>
      </c>
      <c r="AF173" s="334">
        <v>18</v>
      </c>
      <c r="AG173" s="334">
        <v>34</v>
      </c>
    </row>
    <row r="174" spans="1:33" x14ac:dyDescent="0.25">
      <c r="A174" s="329" t="s">
        <v>404</v>
      </c>
      <c r="B174" s="335" t="s">
        <v>405</v>
      </c>
      <c r="C174" s="331">
        <v>964</v>
      </c>
      <c r="D174" s="331">
        <v>0</v>
      </c>
      <c r="E174" s="331">
        <v>26</v>
      </c>
      <c r="F174" s="331">
        <v>285</v>
      </c>
      <c r="G174" s="331">
        <v>210</v>
      </c>
      <c r="H174" s="331">
        <v>1485</v>
      </c>
      <c r="I174" s="330">
        <v>1275</v>
      </c>
      <c r="J174" s="330">
        <v>4</v>
      </c>
      <c r="K174" s="332">
        <v>89.58</v>
      </c>
      <c r="L174" s="332">
        <v>87.03</v>
      </c>
      <c r="M174" s="332">
        <v>6.48</v>
      </c>
      <c r="N174" s="332">
        <v>95.23</v>
      </c>
      <c r="O174" s="333">
        <v>741</v>
      </c>
      <c r="P174" s="330">
        <v>79.39</v>
      </c>
      <c r="Q174" s="330">
        <v>75.900000000000006</v>
      </c>
      <c r="R174" s="330">
        <v>39.35</v>
      </c>
      <c r="S174" s="330">
        <v>118.74</v>
      </c>
      <c r="T174" s="330">
        <v>156</v>
      </c>
      <c r="U174" s="330">
        <v>112.35</v>
      </c>
      <c r="V174" s="330">
        <v>95</v>
      </c>
      <c r="W174" s="330">
        <v>0</v>
      </c>
      <c r="X174" s="330">
        <v>0</v>
      </c>
      <c r="Y174" s="330">
        <v>24</v>
      </c>
      <c r="Z174" s="330">
        <v>0</v>
      </c>
      <c r="AA174" s="330">
        <v>2</v>
      </c>
      <c r="AB174" s="330">
        <v>1</v>
      </c>
      <c r="AC174" s="330">
        <v>10</v>
      </c>
      <c r="AD174" s="334">
        <v>838</v>
      </c>
      <c r="AE174" s="334">
        <v>12</v>
      </c>
      <c r="AF174" s="334">
        <v>9</v>
      </c>
      <c r="AG174" s="334">
        <v>21</v>
      </c>
    </row>
    <row r="175" spans="1:33" x14ac:dyDescent="0.25">
      <c r="A175" s="329" t="s">
        <v>406</v>
      </c>
      <c r="B175" s="335" t="s">
        <v>407</v>
      </c>
      <c r="C175" s="331">
        <v>1199</v>
      </c>
      <c r="D175" s="331">
        <v>0</v>
      </c>
      <c r="E175" s="331">
        <v>113</v>
      </c>
      <c r="F175" s="331">
        <v>210</v>
      </c>
      <c r="G175" s="331">
        <v>297</v>
      </c>
      <c r="H175" s="331">
        <v>1819</v>
      </c>
      <c r="I175" s="330">
        <v>1522</v>
      </c>
      <c r="J175" s="330">
        <v>16</v>
      </c>
      <c r="K175" s="332">
        <v>95.59</v>
      </c>
      <c r="L175" s="332">
        <v>94.29</v>
      </c>
      <c r="M175" s="332">
        <v>3.93</v>
      </c>
      <c r="N175" s="332">
        <v>98.25</v>
      </c>
      <c r="O175" s="333">
        <v>911</v>
      </c>
      <c r="P175" s="330">
        <v>85.56</v>
      </c>
      <c r="Q175" s="330">
        <v>79.86</v>
      </c>
      <c r="R175" s="330">
        <v>32.42</v>
      </c>
      <c r="S175" s="330">
        <v>117.53</v>
      </c>
      <c r="T175" s="330">
        <v>291</v>
      </c>
      <c r="U175" s="330">
        <v>111.98</v>
      </c>
      <c r="V175" s="330">
        <v>238</v>
      </c>
      <c r="W175" s="330">
        <v>131.63</v>
      </c>
      <c r="X175" s="330">
        <v>1</v>
      </c>
      <c r="Y175" s="330">
        <v>0</v>
      </c>
      <c r="Z175" s="330">
        <v>0</v>
      </c>
      <c r="AA175" s="330">
        <v>0</v>
      </c>
      <c r="AB175" s="330">
        <v>0</v>
      </c>
      <c r="AC175" s="330">
        <v>4</v>
      </c>
      <c r="AD175" s="334">
        <v>1194</v>
      </c>
      <c r="AE175" s="334">
        <v>1</v>
      </c>
      <c r="AF175" s="334">
        <v>2</v>
      </c>
      <c r="AG175" s="334">
        <v>3</v>
      </c>
    </row>
    <row r="176" spans="1:33" x14ac:dyDescent="0.25">
      <c r="A176" s="329" t="s">
        <v>408</v>
      </c>
      <c r="B176" s="335" t="s">
        <v>409</v>
      </c>
      <c r="C176" s="331">
        <v>5511</v>
      </c>
      <c r="D176" s="331">
        <v>3</v>
      </c>
      <c r="E176" s="331">
        <v>170</v>
      </c>
      <c r="F176" s="331">
        <v>744</v>
      </c>
      <c r="G176" s="331">
        <v>565</v>
      </c>
      <c r="H176" s="331">
        <v>6993</v>
      </c>
      <c r="I176" s="330">
        <v>6428</v>
      </c>
      <c r="J176" s="330">
        <v>7</v>
      </c>
      <c r="K176" s="332">
        <v>119.14</v>
      </c>
      <c r="L176" s="332">
        <v>119.37</v>
      </c>
      <c r="M176" s="332">
        <v>5.29</v>
      </c>
      <c r="N176" s="332">
        <v>122.61</v>
      </c>
      <c r="O176" s="333">
        <v>4160</v>
      </c>
      <c r="P176" s="330">
        <v>102.59</v>
      </c>
      <c r="Q176" s="330">
        <v>101.11</v>
      </c>
      <c r="R176" s="330">
        <v>35.76</v>
      </c>
      <c r="S176" s="330">
        <v>135.36000000000001</v>
      </c>
      <c r="T176" s="330">
        <v>825</v>
      </c>
      <c r="U176" s="330">
        <v>160.28</v>
      </c>
      <c r="V176" s="330">
        <v>1012</v>
      </c>
      <c r="W176" s="330">
        <v>242.05</v>
      </c>
      <c r="X176" s="330">
        <v>17</v>
      </c>
      <c r="Y176" s="330">
        <v>101</v>
      </c>
      <c r="Z176" s="330">
        <v>7</v>
      </c>
      <c r="AA176" s="330">
        <v>28</v>
      </c>
      <c r="AB176" s="330">
        <v>42</v>
      </c>
      <c r="AC176" s="330">
        <v>17</v>
      </c>
      <c r="AD176" s="334">
        <v>5214</v>
      </c>
      <c r="AE176" s="334">
        <v>74</v>
      </c>
      <c r="AF176" s="334">
        <v>40</v>
      </c>
      <c r="AG176" s="334">
        <v>114</v>
      </c>
    </row>
    <row r="177" spans="1:33" x14ac:dyDescent="0.25">
      <c r="A177" s="329" t="s">
        <v>410</v>
      </c>
      <c r="B177" s="335" t="s">
        <v>411</v>
      </c>
      <c r="C177" s="331">
        <v>12975</v>
      </c>
      <c r="D177" s="331">
        <v>4</v>
      </c>
      <c r="E177" s="331">
        <v>653</v>
      </c>
      <c r="F177" s="331">
        <v>1584</v>
      </c>
      <c r="G177" s="331">
        <v>268</v>
      </c>
      <c r="H177" s="331">
        <v>15484</v>
      </c>
      <c r="I177" s="330">
        <v>15216</v>
      </c>
      <c r="J177" s="330">
        <v>29</v>
      </c>
      <c r="K177" s="332">
        <v>87.75</v>
      </c>
      <c r="L177" s="332">
        <v>85.12</v>
      </c>
      <c r="M177" s="332">
        <v>7.87</v>
      </c>
      <c r="N177" s="332">
        <v>90.01</v>
      </c>
      <c r="O177" s="333">
        <v>12419</v>
      </c>
      <c r="P177" s="330">
        <v>86.14</v>
      </c>
      <c r="Q177" s="330">
        <v>82.12</v>
      </c>
      <c r="R177" s="330">
        <v>41.66</v>
      </c>
      <c r="S177" s="330">
        <v>118.66</v>
      </c>
      <c r="T177" s="330">
        <v>2132</v>
      </c>
      <c r="U177" s="330">
        <v>98.59</v>
      </c>
      <c r="V177" s="330">
        <v>382</v>
      </c>
      <c r="W177" s="330">
        <v>160.96</v>
      </c>
      <c r="X177" s="330">
        <v>86</v>
      </c>
      <c r="Y177" s="330">
        <v>10</v>
      </c>
      <c r="Z177" s="330">
        <v>56</v>
      </c>
      <c r="AA177" s="330">
        <v>13</v>
      </c>
      <c r="AB177" s="330">
        <v>10</v>
      </c>
      <c r="AC177" s="330">
        <v>4</v>
      </c>
      <c r="AD177" s="334">
        <v>12943</v>
      </c>
      <c r="AE177" s="334">
        <v>181</v>
      </c>
      <c r="AF177" s="334">
        <v>33</v>
      </c>
      <c r="AG177" s="334">
        <v>214</v>
      </c>
    </row>
    <row r="178" spans="1:33" x14ac:dyDescent="0.25">
      <c r="A178" s="329" t="s">
        <v>412</v>
      </c>
      <c r="B178" s="335" t="s">
        <v>413</v>
      </c>
      <c r="C178" s="331">
        <v>7777</v>
      </c>
      <c r="D178" s="331">
        <v>49</v>
      </c>
      <c r="E178" s="331">
        <v>459</v>
      </c>
      <c r="F178" s="331">
        <v>587</v>
      </c>
      <c r="G178" s="331">
        <v>4987</v>
      </c>
      <c r="H178" s="331">
        <v>13859</v>
      </c>
      <c r="I178" s="330">
        <v>8872</v>
      </c>
      <c r="J178" s="330">
        <v>0</v>
      </c>
      <c r="K178" s="332">
        <v>101.76</v>
      </c>
      <c r="L178" s="332">
        <v>100.88</v>
      </c>
      <c r="M178" s="332">
        <v>5.63</v>
      </c>
      <c r="N178" s="332">
        <v>105.46</v>
      </c>
      <c r="O178" s="333">
        <v>6172</v>
      </c>
      <c r="P178" s="330">
        <v>102.18</v>
      </c>
      <c r="Q178" s="330">
        <v>101.58</v>
      </c>
      <c r="R178" s="330">
        <v>35.200000000000003</v>
      </c>
      <c r="S178" s="330">
        <v>135.91</v>
      </c>
      <c r="T178" s="330">
        <v>890</v>
      </c>
      <c r="U178" s="330">
        <v>133.36000000000001</v>
      </c>
      <c r="V178" s="330">
        <v>721</v>
      </c>
      <c r="W178" s="330">
        <v>141.04</v>
      </c>
      <c r="X178" s="330">
        <v>5</v>
      </c>
      <c r="Y178" s="330">
        <v>0</v>
      </c>
      <c r="Z178" s="330">
        <v>3</v>
      </c>
      <c r="AA178" s="330">
        <v>15</v>
      </c>
      <c r="AB178" s="330">
        <v>115</v>
      </c>
      <c r="AC178" s="330">
        <v>91</v>
      </c>
      <c r="AD178" s="334">
        <v>7581</v>
      </c>
      <c r="AE178" s="334">
        <v>21</v>
      </c>
      <c r="AF178" s="334">
        <v>8</v>
      </c>
      <c r="AG178" s="334">
        <v>29</v>
      </c>
    </row>
    <row r="179" spans="1:33" x14ac:dyDescent="0.25">
      <c r="A179" s="329" t="s">
        <v>414</v>
      </c>
      <c r="B179" s="335" t="s">
        <v>415</v>
      </c>
      <c r="C179" s="331">
        <v>3498</v>
      </c>
      <c r="D179" s="331">
        <v>0</v>
      </c>
      <c r="E179" s="331">
        <v>203</v>
      </c>
      <c r="F179" s="331">
        <v>678</v>
      </c>
      <c r="G179" s="331">
        <v>296</v>
      </c>
      <c r="H179" s="331">
        <v>4675</v>
      </c>
      <c r="I179" s="330">
        <v>4379</v>
      </c>
      <c r="J179" s="330">
        <v>0</v>
      </c>
      <c r="K179" s="332">
        <v>114.73</v>
      </c>
      <c r="L179" s="332">
        <v>117.18</v>
      </c>
      <c r="M179" s="332">
        <v>3.07</v>
      </c>
      <c r="N179" s="332">
        <v>117.67</v>
      </c>
      <c r="O179" s="333">
        <v>2993</v>
      </c>
      <c r="P179" s="330">
        <v>97.3</v>
      </c>
      <c r="Q179" s="330">
        <v>94.37</v>
      </c>
      <c r="R179" s="330">
        <v>26.01</v>
      </c>
      <c r="S179" s="330">
        <v>123.24</v>
      </c>
      <c r="T179" s="330">
        <v>723</v>
      </c>
      <c r="U179" s="330">
        <v>152.94</v>
      </c>
      <c r="V179" s="330">
        <v>445</v>
      </c>
      <c r="W179" s="330">
        <v>0</v>
      </c>
      <c r="X179" s="330">
        <v>0</v>
      </c>
      <c r="Y179" s="330">
        <v>145</v>
      </c>
      <c r="Z179" s="330">
        <v>38</v>
      </c>
      <c r="AA179" s="330">
        <v>0</v>
      </c>
      <c r="AB179" s="330">
        <v>31</v>
      </c>
      <c r="AC179" s="330">
        <v>14</v>
      </c>
      <c r="AD179" s="334">
        <v>3465</v>
      </c>
      <c r="AE179" s="334">
        <v>12</v>
      </c>
      <c r="AF179" s="334">
        <v>9</v>
      </c>
      <c r="AG179" s="334">
        <v>21</v>
      </c>
    </row>
    <row r="180" spans="1:33" x14ac:dyDescent="0.25">
      <c r="A180" s="329" t="s">
        <v>416</v>
      </c>
      <c r="B180" s="335" t="s">
        <v>417</v>
      </c>
      <c r="C180" s="331">
        <v>2702</v>
      </c>
      <c r="D180" s="331">
        <v>8</v>
      </c>
      <c r="E180" s="331">
        <v>286</v>
      </c>
      <c r="F180" s="331">
        <v>384</v>
      </c>
      <c r="G180" s="331">
        <v>309</v>
      </c>
      <c r="H180" s="331">
        <v>3689</v>
      </c>
      <c r="I180" s="330">
        <v>3380</v>
      </c>
      <c r="J180" s="330">
        <v>0</v>
      </c>
      <c r="K180" s="332">
        <v>0</v>
      </c>
      <c r="L180" s="332">
        <v>0</v>
      </c>
      <c r="M180" s="332">
        <v>0</v>
      </c>
      <c r="N180" s="332">
        <v>0</v>
      </c>
      <c r="O180" s="333">
        <v>2375</v>
      </c>
      <c r="P180" s="330">
        <v>0</v>
      </c>
      <c r="Q180" s="330">
        <v>0</v>
      </c>
      <c r="R180" s="330">
        <v>0</v>
      </c>
      <c r="S180" s="330">
        <v>0</v>
      </c>
      <c r="T180" s="330">
        <v>471</v>
      </c>
      <c r="U180" s="330">
        <v>143.96</v>
      </c>
      <c r="V180" s="330">
        <v>204</v>
      </c>
      <c r="W180" s="330">
        <v>140.09</v>
      </c>
      <c r="X180" s="330">
        <v>3</v>
      </c>
      <c r="Y180" s="330">
        <v>114</v>
      </c>
      <c r="Z180" s="330">
        <v>0</v>
      </c>
      <c r="AA180" s="330">
        <v>2</v>
      </c>
      <c r="AB180" s="330">
        <v>2</v>
      </c>
      <c r="AC180" s="330">
        <v>8</v>
      </c>
      <c r="AD180" s="334">
        <v>2655</v>
      </c>
      <c r="AE180" s="334">
        <v>4</v>
      </c>
      <c r="AF180" s="334">
        <v>1</v>
      </c>
      <c r="AG180" s="334">
        <v>5</v>
      </c>
    </row>
    <row r="181" spans="1:33" x14ac:dyDescent="0.25">
      <c r="A181" s="329" t="s">
        <v>418</v>
      </c>
      <c r="B181" s="335" t="s">
        <v>419</v>
      </c>
      <c r="C181" s="331">
        <v>1683</v>
      </c>
      <c r="D181" s="331">
        <v>13</v>
      </c>
      <c r="E181" s="331">
        <v>302</v>
      </c>
      <c r="F181" s="331">
        <v>362</v>
      </c>
      <c r="G181" s="331">
        <v>240</v>
      </c>
      <c r="H181" s="331">
        <v>2600</v>
      </c>
      <c r="I181" s="330">
        <v>2360</v>
      </c>
      <c r="J181" s="330">
        <v>8</v>
      </c>
      <c r="K181" s="332">
        <v>89.07</v>
      </c>
      <c r="L181" s="332">
        <v>86.39</v>
      </c>
      <c r="M181" s="332">
        <v>3.86</v>
      </c>
      <c r="N181" s="332">
        <v>91.14</v>
      </c>
      <c r="O181" s="333">
        <v>1533</v>
      </c>
      <c r="P181" s="330">
        <v>100.76</v>
      </c>
      <c r="Q181" s="330">
        <v>77.64</v>
      </c>
      <c r="R181" s="330">
        <v>37.130000000000003</v>
      </c>
      <c r="S181" s="330">
        <v>136.16999999999999</v>
      </c>
      <c r="T181" s="330">
        <v>477</v>
      </c>
      <c r="U181" s="330">
        <v>97.44</v>
      </c>
      <c r="V181" s="330">
        <v>135</v>
      </c>
      <c r="W181" s="330">
        <v>0</v>
      </c>
      <c r="X181" s="330">
        <v>0</v>
      </c>
      <c r="Y181" s="330">
        <v>0</v>
      </c>
      <c r="Z181" s="330">
        <v>0</v>
      </c>
      <c r="AA181" s="330">
        <v>6</v>
      </c>
      <c r="AB181" s="330">
        <v>7</v>
      </c>
      <c r="AC181" s="330">
        <v>8</v>
      </c>
      <c r="AD181" s="334">
        <v>1683</v>
      </c>
      <c r="AE181" s="334">
        <v>23</v>
      </c>
      <c r="AF181" s="334">
        <v>31</v>
      </c>
      <c r="AG181" s="334">
        <v>54</v>
      </c>
    </row>
    <row r="182" spans="1:33" x14ac:dyDescent="0.25">
      <c r="A182" s="329" t="s">
        <v>420</v>
      </c>
      <c r="B182" s="335" t="s">
        <v>421</v>
      </c>
      <c r="C182" s="331">
        <v>6759</v>
      </c>
      <c r="D182" s="331">
        <v>235</v>
      </c>
      <c r="E182" s="331">
        <v>1260</v>
      </c>
      <c r="F182" s="331">
        <v>1592</v>
      </c>
      <c r="G182" s="331">
        <v>361</v>
      </c>
      <c r="H182" s="331">
        <v>10207</v>
      </c>
      <c r="I182" s="330">
        <v>9846</v>
      </c>
      <c r="J182" s="330">
        <v>131</v>
      </c>
      <c r="K182" s="332">
        <v>79.540000000000006</v>
      </c>
      <c r="L182" s="332">
        <v>79.44</v>
      </c>
      <c r="M182" s="332">
        <v>8.76</v>
      </c>
      <c r="N182" s="332">
        <v>86.68</v>
      </c>
      <c r="O182" s="333">
        <v>5805</v>
      </c>
      <c r="P182" s="330">
        <v>82.6</v>
      </c>
      <c r="Q182" s="330">
        <v>75.02</v>
      </c>
      <c r="R182" s="330">
        <v>48.22</v>
      </c>
      <c r="S182" s="330">
        <v>128.22999999999999</v>
      </c>
      <c r="T182" s="330">
        <v>2374</v>
      </c>
      <c r="U182" s="330">
        <v>101.14</v>
      </c>
      <c r="V182" s="330">
        <v>646</v>
      </c>
      <c r="W182" s="330">
        <v>188.86</v>
      </c>
      <c r="X182" s="330">
        <v>148</v>
      </c>
      <c r="Y182" s="330">
        <v>0</v>
      </c>
      <c r="Z182" s="330">
        <v>9</v>
      </c>
      <c r="AA182" s="330">
        <v>7</v>
      </c>
      <c r="AB182" s="330">
        <v>11</v>
      </c>
      <c r="AC182" s="330">
        <v>8</v>
      </c>
      <c r="AD182" s="334">
        <v>6320</v>
      </c>
      <c r="AE182" s="334">
        <v>72</v>
      </c>
      <c r="AF182" s="334">
        <v>35</v>
      </c>
      <c r="AG182" s="334">
        <v>107</v>
      </c>
    </row>
    <row r="183" spans="1:33" x14ac:dyDescent="0.25">
      <c r="A183" s="329" t="s">
        <v>422</v>
      </c>
      <c r="B183" s="335" t="s">
        <v>423</v>
      </c>
      <c r="C183" s="331">
        <v>9071</v>
      </c>
      <c r="D183" s="331">
        <v>0</v>
      </c>
      <c r="E183" s="331">
        <v>52</v>
      </c>
      <c r="F183" s="331">
        <v>1273</v>
      </c>
      <c r="G183" s="331">
        <v>207</v>
      </c>
      <c r="H183" s="331">
        <v>10603</v>
      </c>
      <c r="I183" s="330">
        <v>10396</v>
      </c>
      <c r="J183" s="330">
        <v>3</v>
      </c>
      <c r="K183" s="332">
        <v>79.2</v>
      </c>
      <c r="L183" s="332">
        <v>81.73</v>
      </c>
      <c r="M183" s="332">
        <v>3.77</v>
      </c>
      <c r="N183" s="332">
        <v>82.8</v>
      </c>
      <c r="O183" s="333">
        <v>8698</v>
      </c>
      <c r="P183" s="330">
        <v>77.22</v>
      </c>
      <c r="Q183" s="330">
        <v>77.989999999999995</v>
      </c>
      <c r="R183" s="330">
        <v>21.62</v>
      </c>
      <c r="S183" s="330">
        <v>98.79</v>
      </c>
      <c r="T183" s="330">
        <v>1215</v>
      </c>
      <c r="U183" s="330">
        <v>97.54</v>
      </c>
      <c r="V183" s="330">
        <v>328</v>
      </c>
      <c r="W183" s="330">
        <v>164.98</v>
      </c>
      <c r="X183" s="330">
        <v>23</v>
      </c>
      <c r="Y183" s="330">
        <v>0</v>
      </c>
      <c r="Z183" s="330">
        <v>30</v>
      </c>
      <c r="AA183" s="330">
        <v>32</v>
      </c>
      <c r="AB183" s="330">
        <v>9</v>
      </c>
      <c r="AC183" s="330">
        <v>3</v>
      </c>
      <c r="AD183" s="334">
        <v>9070</v>
      </c>
      <c r="AE183" s="334">
        <v>9</v>
      </c>
      <c r="AF183" s="334">
        <v>29</v>
      </c>
      <c r="AG183" s="334">
        <v>38</v>
      </c>
    </row>
    <row r="184" spans="1:33" x14ac:dyDescent="0.25">
      <c r="A184" s="329" t="s">
        <v>424</v>
      </c>
      <c r="B184" s="335" t="s">
        <v>425</v>
      </c>
      <c r="C184" s="331">
        <v>12271</v>
      </c>
      <c r="D184" s="331">
        <v>37</v>
      </c>
      <c r="E184" s="331">
        <v>812</v>
      </c>
      <c r="F184" s="331">
        <v>954</v>
      </c>
      <c r="G184" s="331">
        <v>1873</v>
      </c>
      <c r="H184" s="331">
        <v>15947</v>
      </c>
      <c r="I184" s="330">
        <v>14074</v>
      </c>
      <c r="J184" s="330">
        <v>13</v>
      </c>
      <c r="K184" s="332">
        <v>141.18</v>
      </c>
      <c r="L184" s="332">
        <v>122.27</v>
      </c>
      <c r="M184" s="332">
        <v>8.89</v>
      </c>
      <c r="N184" s="332">
        <v>145.38999999999999</v>
      </c>
      <c r="O184" s="333">
        <v>10275</v>
      </c>
      <c r="P184" s="330">
        <v>102.77</v>
      </c>
      <c r="Q184" s="330">
        <v>101.44</v>
      </c>
      <c r="R184" s="330">
        <v>60.25</v>
      </c>
      <c r="S184" s="330">
        <v>157.51</v>
      </c>
      <c r="T184" s="330">
        <v>1717</v>
      </c>
      <c r="U184" s="330">
        <v>177.84</v>
      </c>
      <c r="V184" s="330">
        <v>607</v>
      </c>
      <c r="W184" s="330">
        <v>175.66</v>
      </c>
      <c r="X184" s="330">
        <v>10</v>
      </c>
      <c r="Y184" s="330">
        <v>14</v>
      </c>
      <c r="Z184" s="330">
        <v>4</v>
      </c>
      <c r="AA184" s="330">
        <v>12</v>
      </c>
      <c r="AB184" s="330">
        <v>121</v>
      </c>
      <c r="AC184" s="330">
        <v>102</v>
      </c>
      <c r="AD184" s="334">
        <v>11706</v>
      </c>
      <c r="AE184" s="334">
        <v>25</v>
      </c>
      <c r="AF184" s="334">
        <v>24</v>
      </c>
      <c r="AG184" s="334">
        <v>49</v>
      </c>
    </row>
    <row r="185" spans="1:33" x14ac:dyDescent="0.25">
      <c r="A185" s="329" t="s">
        <v>426</v>
      </c>
      <c r="B185" s="335" t="s">
        <v>427</v>
      </c>
      <c r="C185" s="331">
        <v>3513</v>
      </c>
      <c r="D185" s="331">
        <v>0</v>
      </c>
      <c r="E185" s="331">
        <v>48</v>
      </c>
      <c r="F185" s="331">
        <v>912</v>
      </c>
      <c r="G185" s="331">
        <v>216</v>
      </c>
      <c r="H185" s="331">
        <v>4689</v>
      </c>
      <c r="I185" s="330">
        <v>4473</v>
      </c>
      <c r="J185" s="330">
        <v>5</v>
      </c>
      <c r="K185" s="332">
        <v>86.76</v>
      </c>
      <c r="L185" s="332">
        <v>86.22</v>
      </c>
      <c r="M185" s="332">
        <v>3.14</v>
      </c>
      <c r="N185" s="332">
        <v>88.58</v>
      </c>
      <c r="O185" s="333">
        <v>3110</v>
      </c>
      <c r="P185" s="330">
        <v>75.84</v>
      </c>
      <c r="Q185" s="330">
        <v>74.77</v>
      </c>
      <c r="R185" s="330">
        <v>14.6</v>
      </c>
      <c r="S185" s="330">
        <v>89.92</v>
      </c>
      <c r="T185" s="330">
        <v>905</v>
      </c>
      <c r="U185" s="330">
        <v>116.29</v>
      </c>
      <c r="V185" s="330">
        <v>380</v>
      </c>
      <c r="W185" s="330">
        <v>0</v>
      </c>
      <c r="X185" s="330">
        <v>0</v>
      </c>
      <c r="Y185" s="330">
        <v>0</v>
      </c>
      <c r="Z185" s="330">
        <v>10</v>
      </c>
      <c r="AA185" s="330">
        <v>2</v>
      </c>
      <c r="AB185" s="330">
        <v>15</v>
      </c>
      <c r="AC185" s="330">
        <v>4</v>
      </c>
      <c r="AD185" s="334">
        <v>3513</v>
      </c>
      <c r="AE185" s="334">
        <v>0</v>
      </c>
      <c r="AF185" s="334">
        <v>22</v>
      </c>
      <c r="AG185" s="334">
        <v>22</v>
      </c>
    </row>
    <row r="186" spans="1:33" x14ac:dyDescent="0.25">
      <c r="A186" s="329" t="s">
        <v>428</v>
      </c>
      <c r="B186" s="335" t="s">
        <v>429</v>
      </c>
      <c r="C186" s="331">
        <v>762</v>
      </c>
      <c r="D186" s="331">
        <v>0</v>
      </c>
      <c r="E186" s="331">
        <v>66</v>
      </c>
      <c r="F186" s="331">
        <v>240</v>
      </c>
      <c r="G186" s="331">
        <v>107</v>
      </c>
      <c r="H186" s="331">
        <v>1175</v>
      </c>
      <c r="I186" s="330">
        <v>1068</v>
      </c>
      <c r="J186" s="330">
        <v>0</v>
      </c>
      <c r="K186" s="332">
        <v>91.79</v>
      </c>
      <c r="L186" s="332">
        <v>91.56</v>
      </c>
      <c r="M186" s="332">
        <v>4.47</v>
      </c>
      <c r="N186" s="332">
        <v>94.03</v>
      </c>
      <c r="O186" s="333">
        <v>586</v>
      </c>
      <c r="P186" s="330">
        <v>105.93</v>
      </c>
      <c r="Q186" s="330">
        <v>105.91</v>
      </c>
      <c r="R186" s="330">
        <v>43.87</v>
      </c>
      <c r="S186" s="330">
        <v>146.03</v>
      </c>
      <c r="T186" s="330">
        <v>302</v>
      </c>
      <c r="U186" s="330">
        <v>102.14</v>
      </c>
      <c r="V186" s="330">
        <v>140</v>
      </c>
      <c r="W186" s="330">
        <v>0</v>
      </c>
      <c r="X186" s="330">
        <v>0</v>
      </c>
      <c r="Y186" s="330">
        <v>0</v>
      </c>
      <c r="Z186" s="330">
        <v>14</v>
      </c>
      <c r="AA186" s="330">
        <v>1</v>
      </c>
      <c r="AB186" s="330">
        <v>21</v>
      </c>
      <c r="AC186" s="330">
        <v>4</v>
      </c>
      <c r="AD186" s="334">
        <v>667</v>
      </c>
      <c r="AE186" s="334">
        <v>31</v>
      </c>
      <c r="AF186" s="334">
        <v>3</v>
      </c>
      <c r="AG186" s="334">
        <v>34</v>
      </c>
    </row>
    <row r="187" spans="1:33" x14ac:dyDescent="0.25">
      <c r="A187" s="329" t="s">
        <v>430</v>
      </c>
      <c r="B187" s="335" t="s">
        <v>431</v>
      </c>
      <c r="C187" s="331">
        <v>7295</v>
      </c>
      <c r="D187" s="331">
        <v>0</v>
      </c>
      <c r="E187" s="331">
        <v>332</v>
      </c>
      <c r="F187" s="331">
        <v>2652</v>
      </c>
      <c r="G187" s="331">
        <v>191</v>
      </c>
      <c r="H187" s="331">
        <v>10470</v>
      </c>
      <c r="I187" s="330">
        <v>10279</v>
      </c>
      <c r="J187" s="330">
        <v>56</v>
      </c>
      <c r="K187" s="332">
        <v>85.24</v>
      </c>
      <c r="L187" s="332">
        <v>85.45</v>
      </c>
      <c r="M187" s="332">
        <v>2.14</v>
      </c>
      <c r="N187" s="332">
        <v>87.09</v>
      </c>
      <c r="O187" s="333">
        <v>7249</v>
      </c>
      <c r="P187" s="330">
        <v>78.66</v>
      </c>
      <c r="Q187" s="330">
        <v>77.06</v>
      </c>
      <c r="R187" s="330">
        <v>9.64</v>
      </c>
      <c r="S187" s="330">
        <v>87.9</v>
      </c>
      <c r="T187" s="330">
        <v>2738</v>
      </c>
      <c r="U187" s="330">
        <v>102.43</v>
      </c>
      <c r="V187" s="330">
        <v>25</v>
      </c>
      <c r="W187" s="330">
        <v>0</v>
      </c>
      <c r="X187" s="330">
        <v>0</v>
      </c>
      <c r="Y187" s="330">
        <v>0</v>
      </c>
      <c r="Z187" s="330">
        <v>20</v>
      </c>
      <c r="AA187" s="330">
        <v>3</v>
      </c>
      <c r="AB187" s="330">
        <v>4</v>
      </c>
      <c r="AC187" s="330">
        <v>6</v>
      </c>
      <c r="AD187" s="334">
        <v>7295</v>
      </c>
      <c r="AE187" s="334">
        <v>122</v>
      </c>
      <c r="AF187" s="334">
        <v>626</v>
      </c>
      <c r="AG187" s="334">
        <v>748</v>
      </c>
    </row>
    <row r="188" spans="1:33" x14ac:dyDescent="0.25">
      <c r="A188" s="329" t="s">
        <v>432</v>
      </c>
      <c r="B188" s="335" t="s">
        <v>433</v>
      </c>
      <c r="C188" s="331">
        <v>9171</v>
      </c>
      <c r="D188" s="331">
        <v>0</v>
      </c>
      <c r="E188" s="331">
        <v>313</v>
      </c>
      <c r="F188" s="331">
        <v>1017</v>
      </c>
      <c r="G188" s="331">
        <v>442</v>
      </c>
      <c r="H188" s="331">
        <v>10943</v>
      </c>
      <c r="I188" s="330">
        <v>10501</v>
      </c>
      <c r="J188" s="330">
        <v>1</v>
      </c>
      <c r="K188" s="332">
        <v>110.67</v>
      </c>
      <c r="L188" s="332">
        <v>118.44</v>
      </c>
      <c r="M188" s="332">
        <v>4.2</v>
      </c>
      <c r="N188" s="332">
        <v>111.8</v>
      </c>
      <c r="O188" s="333">
        <v>9006</v>
      </c>
      <c r="P188" s="330">
        <v>94.19</v>
      </c>
      <c r="Q188" s="330">
        <v>94.55</v>
      </c>
      <c r="R188" s="330">
        <v>23.84</v>
      </c>
      <c r="S188" s="330">
        <v>114.86</v>
      </c>
      <c r="T188" s="330">
        <v>1302</v>
      </c>
      <c r="U188" s="330">
        <v>139.43</v>
      </c>
      <c r="V188" s="330">
        <v>92</v>
      </c>
      <c r="W188" s="330">
        <v>0</v>
      </c>
      <c r="X188" s="330">
        <v>0</v>
      </c>
      <c r="Y188" s="330">
        <v>0</v>
      </c>
      <c r="Z188" s="330">
        <v>48</v>
      </c>
      <c r="AA188" s="330">
        <v>1</v>
      </c>
      <c r="AB188" s="330">
        <v>10</v>
      </c>
      <c r="AC188" s="330">
        <v>16</v>
      </c>
      <c r="AD188" s="334">
        <v>9131</v>
      </c>
      <c r="AE188" s="334">
        <v>33</v>
      </c>
      <c r="AF188" s="334">
        <v>22</v>
      </c>
      <c r="AG188" s="334">
        <v>55</v>
      </c>
    </row>
    <row r="189" spans="1:33" x14ac:dyDescent="0.25">
      <c r="A189" s="329" t="s">
        <v>434</v>
      </c>
      <c r="B189" s="335" t="s">
        <v>435</v>
      </c>
      <c r="C189" s="331">
        <v>947</v>
      </c>
      <c r="D189" s="331">
        <v>0</v>
      </c>
      <c r="E189" s="331">
        <v>88</v>
      </c>
      <c r="F189" s="331">
        <v>152</v>
      </c>
      <c r="G189" s="331">
        <v>267</v>
      </c>
      <c r="H189" s="331">
        <v>1454</v>
      </c>
      <c r="I189" s="330">
        <v>1187</v>
      </c>
      <c r="J189" s="330">
        <v>0</v>
      </c>
      <c r="K189" s="332">
        <v>89.3</v>
      </c>
      <c r="L189" s="332">
        <v>88.52</v>
      </c>
      <c r="M189" s="332">
        <v>3.97</v>
      </c>
      <c r="N189" s="332">
        <v>92.5</v>
      </c>
      <c r="O189" s="333">
        <v>752</v>
      </c>
      <c r="P189" s="330">
        <v>98.8</v>
      </c>
      <c r="Q189" s="330">
        <v>79.62</v>
      </c>
      <c r="R189" s="330">
        <v>35.61</v>
      </c>
      <c r="S189" s="330">
        <v>129.93</v>
      </c>
      <c r="T189" s="330">
        <v>207</v>
      </c>
      <c r="U189" s="330">
        <v>99.05</v>
      </c>
      <c r="V189" s="330">
        <v>117</v>
      </c>
      <c r="W189" s="330">
        <v>0</v>
      </c>
      <c r="X189" s="330">
        <v>0</v>
      </c>
      <c r="Y189" s="330">
        <v>0</v>
      </c>
      <c r="Z189" s="330">
        <v>0</v>
      </c>
      <c r="AA189" s="330">
        <v>0</v>
      </c>
      <c r="AB189" s="330">
        <v>22</v>
      </c>
      <c r="AC189" s="330">
        <v>3</v>
      </c>
      <c r="AD189" s="334">
        <v>890</v>
      </c>
      <c r="AE189" s="334">
        <v>3</v>
      </c>
      <c r="AF189" s="334">
        <v>1</v>
      </c>
      <c r="AG189" s="334">
        <v>4</v>
      </c>
    </row>
    <row r="190" spans="1:33" x14ac:dyDescent="0.25">
      <c r="A190" s="329" t="s">
        <v>436</v>
      </c>
      <c r="B190" s="335" t="s">
        <v>437</v>
      </c>
      <c r="C190" s="331">
        <v>10431</v>
      </c>
      <c r="D190" s="331">
        <v>0</v>
      </c>
      <c r="E190" s="331">
        <v>146</v>
      </c>
      <c r="F190" s="331">
        <v>772</v>
      </c>
      <c r="G190" s="331">
        <v>69</v>
      </c>
      <c r="H190" s="331">
        <v>11418</v>
      </c>
      <c r="I190" s="330">
        <v>11349</v>
      </c>
      <c r="J190" s="330">
        <v>0</v>
      </c>
      <c r="K190" s="332">
        <v>82.07</v>
      </c>
      <c r="L190" s="332">
        <v>78.62</v>
      </c>
      <c r="M190" s="332">
        <v>2.88</v>
      </c>
      <c r="N190" s="332">
        <v>83.05</v>
      </c>
      <c r="O190" s="333">
        <v>10067</v>
      </c>
      <c r="P190" s="330">
        <v>83.63</v>
      </c>
      <c r="Q190" s="330">
        <v>73.69</v>
      </c>
      <c r="R190" s="330">
        <v>29.96</v>
      </c>
      <c r="S190" s="330">
        <v>107.02</v>
      </c>
      <c r="T190" s="330">
        <v>890</v>
      </c>
      <c r="U190" s="330">
        <v>90.07</v>
      </c>
      <c r="V190" s="330">
        <v>257</v>
      </c>
      <c r="W190" s="330">
        <v>0</v>
      </c>
      <c r="X190" s="330">
        <v>0</v>
      </c>
      <c r="Y190" s="330">
        <v>0</v>
      </c>
      <c r="Z190" s="330">
        <v>42</v>
      </c>
      <c r="AA190" s="330">
        <v>4</v>
      </c>
      <c r="AB190" s="330">
        <v>1</v>
      </c>
      <c r="AC190" s="330">
        <v>2</v>
      </c>
      <c r="AD190" s="334">
        <v>10391</v>
      </c>
      <c r="AE190" s="334">
        <v>74</v>
      </c>
      <c r="AF190" s="334">
        <v>56</v>
      </c>
      <c r="AG190" s="334">
        <v>130</v>
      </c>
    </row>
    <row r="191" spans="1:33" x14ac:dyDescent="0.25">
      <c r="A191" s="329" t="s">
        <v>438</v>
      </c>
      <c r="B191" s="335" t="s">
        <v>439</v>
      </c>
      <c r="C191" s="331">
        <v>5502</v>
      </c>
      <c r="D191" s="331">
        <v>4</v>
      </c>
      <c r="E191" s="331">
        <v>154</v>
      </c>
      <c r="F191" s="331">
        <v>661</v>
      </c>
      <c r="G191" s="331">
        <v>137</v>
      </c>
      <c r="H191" s="331">
        <v>6458</v>
      </c>
      <c r="I191" s="330">
        <v>6321</v>
      </c>
      <c r="J191" s="330">
        <v>26</v>
      </c>
      <c r="K191" s="332">
        <v>91.73</v>
      </c>
      <c r="L191" s="332">
        <v>92.74</v>
      </c>
      <c r="M191" s="332">
        <v>2.31</v>
      </c>
      <c r="N191" s="332">
        <v>93.28</v>
      </c>
      <c r="O191" s="333">
        <v>5143</v>
      </c>
      <c r="P191" s="330">
        <v>91.37</v>
      </c>
      <c r="Q191" s="330">
        <v>84.51</v>
      </c>
      <c r="R191" s="330">
        <v>22.3</v>
      </c>
      <c r="S191" s="330">
        <v>113.02</v>
      </c>
      <c r="T191" s="330">
        <v>786</v>
      </c>
      <c r="U191" s="330">
        <v>105.21</v>
      </c>
      <c r="V191" s="330">
        <v>350</v>
      </c>
      <c r="W191" s="330">
        <v>97.52</v>
      </c>
      <c r="X191" s="330">
        <v>27</v>
      </c>
      <c r="Y191" s="330">
        <v>0</v>
      </c>
      <c r="Z191" s="330">
        <v>30</v>
      </c>
      <c r="AA191" s="330">
        <v>48</v>
      </c>
      <c r="AB191" s="330">
        <v>5</v>
      </c>
      <c r="AC191" s="330">
        <v>4</v>
      </c>
      <c r="AD191" s="334">
        <v>5486</v>
      </c>
      <c r="AE191" s="334">
        <v>63</v>
      </c>
      <c r="AF191" s="334">
        <v>29</v>
      </c>
      <c r="AG191" s="334">
        <v>92</v>
      </c>
    </row>
    <row r="192" spans="1:33" x14ac:dyDescent="0.25">
      <c r="A192" s="329" t="s">
        <v>799</v>
      </c>
      <c r="B192" s="335" t="s">
        <v>797</v>
      </c>
      <c r="C192" s="331">
        <v>12445</v>
      </c>
      <c r="D192" s="331">
        <v>83</v>
      </c>
      <c r="E192" s="331">
        <v>605</v>
      </c>
      <c r="F192" s="331">
        <v>1557</v>
      </c>
      <c r="G192" s="331">
        <v>1117</v>
      </c>
      <c r="H192" s="331">
        <v>15807</v>
      </c>
      <c r="I192" s="330">
        <v>14690</v>
      </c>
      <c r="J192" s="330">
        <v>15</v>
      </c>
      <c r="K192" s="332">
        <v>91.59</v>
      </c>
      <c r="L192" s="332">
        <v>91.46</v>
      </c>
      <c r="M192" s="332">
        <v>5.67</v>
      </c>
      <c r="N192" s="332">
        <v>93.95</v>
      </c>
      <c r="O192" s="333">
        <v>10751</v>
      </c>
      <c r="P192" s="330">
        <v>87.03</v>
      </c>
      <c r="Q192" s="330">
        <v>87.09</v>
      </c>
      <c r="R192" s="330">
        <v>33.869999999999997</v>
      </c>
      <c r="S192" s="330">
        <v>111.5</v>
      </c>
      <c r="T192" s="330">
        <v>2036</v>
      </c>
      <c r="U192" s="330">
        <v>104.59</v>
      </c>
      <c r="V192" s="330">
        <v>782</v>
      </c>
      <c r="W192" s="330">
        <v>106.64</v>
      </c>
      <c r="X192" s="330">
        <v>49</v>
      </c>
      <c r="Y192" s="330">
        <v>8</v>
      </c>
      <c r="Z192" s="330">
        <v>26</v>
      </c>
      <c r="AA192" s="330">
        <v>32</v>
      </c>
      <c r="AB192" s="330">
        <v>69</v>
      </c>
      <c r="AC192" s="330">
        <v>34</v>
      </c>
      <c r="AD192" s="334">
        <v>11689</v>
      </c>
      <c r="AE192" s="334">
        <v>52</v>
      </c>
      <c r="AF192" s="334">
        <v>22</v>
      </c>
      <c r="AG192" s="334">
        <v>74</v>
      </c>
    </row>
    <row r="193" spans="1:33" x14ac:dyDescent="0.25">
      <c r="A193" s="329" t="s">
        <v>440</v>
      </c>
      <c r="B193" s="335" t="s">
        <v>441</v>
      </c>
      <c r="C193" s="331">
        <v>7086</v>
      </c>
      <c r="D193" s="331">
        <v>81</v>
      </c>
      <c r="E193" s="331">
        <v>325</v>
      </c>
      <c r="F193" s="331">
        <v>1690</v>
      </c>
      <c r="G193" s="331">
        <v>397</v>
      </c>
      <c r="H193" s="331">
        <v>9579</v>
      </c>
      <c r="I193" s="330">
        <v>9182</v>
      </c>
      <c r="J193" s="330">
        <v>7</v>
      </c>
      <c r="K193" s="332">
        <v>97.46</v>
      </c>
      <c r="L193" s="332">
        <v>97.53</v>
      </c>
      <c r="M193" s="332">
        <v>4.82</v>
      </c>
      <c r="N193" s="332">
        <v>99.76</v>
      </c>
      <c r="O193" s="333">
        <v>6277</v>
      </c>
      <c r="P193" s="330">
        <v>92.4</v>
      </c>
      <c r="Q193" s="330">
        <v>87.56</v>
      </c>
      <c r="R193" s="330">
        <v>26.69</v>
      </c>
      <c r="S193" s="330">
        <v>118.73</v>
      </c>
      <c r="T193" s="330">
        <v>1891</v>
      </c>
      <c r="U193" s="330">
        <v>127.03</v>
      </c>
      <c r="V193" s="330">
        <v>721</v>
      </c>
      <c r="W193" s="330">
        <v>161.21</v>
      </c>
      <c r="X193" s="330">
        <v>38</v>
      </c>
      <c r="Y193" s="330">
        <v>0</v>
      </c>
      <c r="Z193" s="330">
        <v>29</v>
      </c>
      <c r="AA193" s="330">
        <v>20</v>
      </c>
      <c r="AB193" s="330">
        <v>14</v>
      </c>
      <c r="AC193" s="330">
        <v>12</v>
      </c>
      <c r="AD193" s="334">
        <v>6987</v>
      </c>
      <c r="AE193" s="334">
        <v>18</v>
      </c>
      <c r="AF193" s="334">
        <v>20</v>
      </c>
      <c r="AG193" s="334">
        <v>38</v>
      </c>
    </row>
    <row r="194" spans="1:33" x14ac:dyDescent="0.25">
      <c r="A194" s="329" t="s">
        <v>442</v>
      </c>
      <c r="B194" s="335" t="s">
        <v>443</v>
      </c>
      <c r="C194" s="331">
        <v>3754</v>
      </c>
      <c r="D194" s="331">
        <v>60</v>
      </c>
      <c r="E194" s="331">
        <v>528</v>
      </c>
      <c r="F194" s="331">
        <v>1322</v>
      </c>
      <c r="G194" s="331">
        <v>314</v>
      </c>
      <c r="H194" s="331">
        <v>5978</v>
      </c>
      <c r="I194" s="330">
        <v>5664</v>
      </c>
      <c r="J194" s="330">
        <v>1</v>
      </c>
      <c r="K194" s="332">
        <v>83.65</v>
      </c>
      <c r="L194" s="332">
        <v>82.65</v>
      </c>
      <c r="M194" s="332">
        <v>7.26</v>
      </c>
      <c r="N194" s="332">
        <v>89.27</v>
      </c>
      <c r="O194" s="333">
        <v>3251</v>
      </c>
      <c r="P194" s="330">
        <v>86.77</v>
      </c>
      <c r="Q194" s="330">
        <v>77.91</v>
      </c>
      <c r="R194" s="330">
        <v>40.36</v>
      </c>
      <c r="S194" s="330">
        <v>126.67</v>
      </c>
      <c r="T194" s="330">
        <v>1657</v>
      </c>
      <c r="U194" s="330">
        <v>98.98</v>
      </c>
      <c r="V194" s="330">
        <v>407</v>
      </c>
      <c r="W194" s="330">
        <v>152.16</v>
      </c>
      <c r="X194" s="330">
        <v>52</v>
      </c>
      <c r="Y194" s="330">
        <v>8</v>
      </c>
      <c r="Z194" s="330">
        <v>4</v>
      </c>
      <c r="AA194" s="330">
        <v>2</v>
      </c>
      <c r="AB194" s="330">
        <v>2</v>
      </c>
      <c r="AC194" s="330">
        <v>3</v>
      </c>
      <c r="AD194" s="334">
        <v>3595</v>
      </c>
      <c r="AE194" s="334">
        <v>31</v>
      </c>
      <c r="AF194" s="334">
        <v>18</v>
      </c>
      <c r="AG194" s="334">
        <v>49</v>
      </c>
    </row>
    <row r="195" spans="1:33" x14ac:dyDescent="0.25">
      <c r="A195" s="329" t="s">
        <v>444</v>
      </c>
      <c r="B195" s="335" t="s">
        <v>445</v>
      </c>
      <c r="C195" s="331">
        <v>1026</v>
      </c>
      <c r="D195" s="331">
        <v>2</v>
      </c>
      <c r="E195" s="331">
        <v>12</v>
      </c>
      <c r="F195" s="331">
        <v>54</v>
      </c>
      <c r="G195" s="331">
        <v>171</v>
      </c>
      <c r="H195" s="331">
        <v>1265</v>
      </c>
      <c r="I195" s="330">
        <v>1094</v>
      </c>
      <c r="J195" s="330">
        <v>0</v>
      </c>
      <c r="K195" s="332">
        <v>99.92</v>
      </c>
      <c r="L195" s="332">
        <v>99.46</v>
      </c>
      <c r="M195" s="332">
        <v>4.42</v>
      </c>
      <c r="N195" s="332">
        <v>102.41</v>
      </c>
      <c r="O195" s="333">
        <v>894</v>
      </c>
      <c r="P195" s="330">
        <v>91.04</v>
      </c>
      <c r="Q195" s="330">
        <v>89.29</v>
      </c>
      <c r="R195" s="330">
        <v>31.76</v>
      </c>
      <c r="S195" s="330">
        <v>115.92</v>
      </c>
      <c r="T195" s="330">
        <v>60</v>
      </c>
      <c r="U195" s="330">
        <v>110.27</v>
      </c>
      <c r="V195" s="330">
        <v>130</v>
      </c>
      <c r="W195" s="330">
        <v>0</v>
      </c>
      <c r="X195" s="330">
        <v>0</v>
      </c>
      <c r="Y195" s="330">
        <v>0</v>
      </c>
      <c r="Z195" s="330">
        <v>0</v>
      </c>
      <c r="AA195" s="330">
        <v>0</v>
      </c>
      <c r="AB195" s="330">
        <v>8</v>
      </c>
      <c r="AC195" s="330">
        <v>1</v>
      </c>
      <c r="AD195" s="334">
        <v>1026</v>
      </c>
      <c r="AE195" s="334">
        <v>2</v>
      </c>
      <c r="AF195" s="334">
        <v>2</v>
      </c>
      <c r="AG195" s="334">
        <v>4</v>
      </c>
    </row>
    <row r="196" spans="1:33" x14ac:dyDescent="0.25">
      <c r="A196" s="329" t="s">
        <v>446</v>
      </c>
      <c r="B196" s="335" t="s">
        <v>447</v>
      </c>
      <c r="C196" s="331">
        <v>1603</v>
      </c>
      <c r="D196" s="331">
        <v>0</v>
      </c>
      <c r="E196" s="331">
        <v>49</v>
      </c>
      <c r="F196" s="331">
        <v>203</v>
      </c>
      <c r="G196" s="331">
        <v>353</v>
      </c>
      <c r="H196" s="331">
        <v>2208</v>
      </c>
      <c r="I196" s="330">
        <v>1855</v>
      </c>
      <c r="J196" s="330">
        <v>0</v>
      </c>
      <c r="K196" s="332">
        <v>89.02</v>
      </c>
      <c r="L196" s="332">
        <v>89.88</v>
      </c>
      <c r="M196" s="332">
        <v>5.4</v>
      </c>
      <c r="N196" s="332">
        <v>93.21</v>
      </c>
      <c r="O196" s="333">
        <v>1384</v>
      </c>
      <c r="P196" s="330">
        <v>87.77</v>
      </c>
      <c r="Q196" s="330">
        <v>88.61</v>
      </c>
      <c r="R196" s="330">
        <v>35.880000000000003</v>
      </c>
      <c r="S196" s="330">
        <v>121.36</v>
      </c>
      <c r="T196" s="330">
        <v>250</v>
      </c>
      <c r="U196" s="330">
        <v>97.26</v>
      </c>
      <c r="V196" s="330">
        <v>190</v>
      </c>
      <c r="W196" s="330">
        <v>0</v>
      </c>
      <c r="X196" s="330">
        <v>0</v>
      </c>
      <c r="Y196" s="330">
        <v>0</v>
      </c>
      <c r="Z196" s="330">
        <v>0</v>
      </c>
      <c r="AA196" s="330">
        <v>0</v>
      </c>
      <c r="AB196" s="330">
        <v>35</v>
      </c>
      <c r="AC196" s="330">
        <v>4</v>
      </c>
      <c r="AD196" s="334">
        <v>1593</v>
      </c>
      <c r="AE196" s="334">
        <v>32</v>
      </c>
      <c r="AF196" s="334">
        <v>7</v>
      </c>
      <c r="AG196" s="334">
        <v>39</v>
      </c>
    </row>
    <row r="197" spans="1:33" x14ac:dyDescent="0.25">
      <c r="A197" s="329" t="s">
        <v>448</v>
      </c>
      <c r="B197" s="335" t="s">
        <v>449</v>
      </c>
      <c r="C197" s="331">
        <v>13957</v>
      </c>
      <c r="D197" s="331">
        <v>37</v>
      </c>
      <c r="E197" s="331">
        <v>360</v>
      </c>
      <c r="F197" s="331">
        <v>3231</v>
      </c>
      <c r="G197" s="331">
        <v>625</v>
      </c>
      <c r="H197" s="331">
        <v>18210</v>
      </c>
      <c r="I197" s="330">
        <v>17585</v>
      </c>
      <c r="J197" s="330">
        <v>23</v>
      </c>
      <c r="K197" s="332">
        <v>77.540000000000006</v>
      </c>
      <c r="L197" s="332">
        <v>76.75</v>
      </c>
      <c r="M197" s="332">
        <v>4.6399999999999997</v>
      </c>
      <c r="N197" s="332">
        <v>79.959999999999994</v>
      </c>
      <c r="O197" s="333">
        <v>12961</v>
      </c>
      <c r="P197" s="330">
        <v>71.13</v>
      </c>
      <c r="Q197" s="330">
        <v>65.97</v>
      </c>
      <c r="R197" s="330">
        <v>19.22</v>
      </c>
      <c r="S197" s="330">
        <v>89.48</v>
      </c>
      <c r="T197" s="330">
        <v>3485</v>
      </c>
      <c r="U197" s="330">
        <v>98.87</v>
      </c>
      <c r="V197" s="330">
        <v>816</v>
      </c>
      <c r="W197" s="330">
        <v>112.28</v>
      </c>
      <c r="X197" s="330">
        <v>40</v>
      </c>
      <c r="Y197" s="330">
        <v>0</v>
      </c>
      <c r="Z197" s="330">
        <v>50</v>
      </c>
      <c r="AA197" s="330">
        <v>11</v>
      </c>
      <c r="AB197" s="330">
        <v>13</v>
      </c>
      <c r="AC197" s="330">
        <v>4</v>
      </c>
      <c r="AD197" s="334">
        <v>13723</v>
      </c>
      <c r="AE197" s="334">
        <v>103</v>
      </c>
      <c r="AF197" s="334">
        <v>56</v>
      </c>
      <c r="AG197" s="334">
        <v>159</v>
      </c>
    </row>
    <row r="198" spans="1:33" x14ac:dyDescent="0.25">
      <c r="A198" s="329" t="s">
        <v>450</v>
      </c>
      <c r="B198" s="335" t="s">
        <v>451</v>
      </c>
      <c r="C198" s="331">
        <v>3830</v>
      </c>
      <c r="D198" s="331">
        <v>0</v>
      </c>
      <c r="E198" s="331">
        <v>529</v>
      </c>
      <c r="F198" s="331">
        <v>1127</v>
      </c>
      <c r="G198" s="331">
        <v>326</v>
      </c>
      <c r="H198" s="331">
        <v>5812</v>
      </c>
      <c r="I198" s="330">
        <v>5486</v>
      </c>
      <c r="J198" s="330">
        <v>23</v>
      </c>
      <c r="K198" s="332">
        <v>90.57</v>
      </c>
      <c r="L198" s="332">
        <v>90.22</v>
      </c>
      <c r="M198" s="332">
        <v>6.08</v>
      </c>
      <c r="N198" s="332">
        <v>95.32</v>
      </c>
      <c r="O198" s="333">
        <v>3502</v>
      </c>
      <c r="P198" s="330">
        <v>84.27</v>
      </c>
      <c r="Q198" s="330">
        <v>82.6</v>
      </c>
      <c r="R198" s="330">
        <v>37.64</v>
      </c>
      <c r="S198" s="330">
        <v>121.71</v>
      </c>
      <c r="T198" s="330">
        <v>958</v>
      </c>
      <c r="U198" s="330">
        <v>107.55</v>
      </c>
      <c r="V198" s="330">
        <v>238</v>
      </c>
      <c r="W198" s="330">
        <v>0</v>
      </c>
      <c r="X198" s="330">
        <v>0</v>
      </c>
      <c r="Y198" s="330">
        <v>0</v>
      </c>
      <c r="Z198" s="330">
        <v>0</v>
      </c>
      <c r="AA198" s="330">
        <v>3</v>
      </c>
      <c r="AB198" s="330">
        <v>5</v>
      </c>
      <c r="AC198" s="330">
        <v>11</v>
      </c>
      <c r="AD198" s="334">
        <v>3808</v>
      </c>
      <c r="AE198" s="334">
        <v>17</v>
      </c>
      <c r="AF198" s="334">
        <v>4</v>
      </c>
      <c r="AG198" s="334">
        <v>21</v>
      </c>
    </row>
    <row r="199" spans="1:33" x14ac:dyDescent="0.25">
      <c r="A199" s="329" t="s">
        <v>452</v>
      </c>
      <c r="B199" s="335" t="s">
        <v>453</v>
      </c>
      <c r="C199" s="331">
        <v>6449</v>
      </c>
      <c r="D199" s="331">
        <v>0</v>
      </c>
      <c r="E199" s="331">
        <v>1070</v>
      </c>
      <c r="F199" s="331">
        <v>2493</v>
      </c>
      <c r="G199" s="331">
        <v>389</v>
      </c>
      <c r="H199" s="331">
        <v>10401</v>
      </c>
      <c r="I199" s="330">
        <v>10012</v>
      </c>
      <c r="J199" s="330">
        <v>41</v>
      </c>
      <c r="K199" s="332">
        <v>86.17</v>
      </c>
      <c r="L199" s="332">
        <v>85.21</v>
      </c>
      <c r="M199" s="332">
        <v>5.58</v>
      </c>
      <c r="N199" s="332">
        <v>89.61</v>
      </c>
      <c r="O199" s="333">
        <v>5702</v>
      </c>
      <c r="P199" s="330">
        <v>83.35</v>
      </c>
      <c r="Q199" s="330">
        <v>78.5</v>
      </c>
      <c r="R199" s="330">
        <v>39.89</v>
      </c>
      <c r="S199" s="330">
        <v>121.48</v>
      </c>
      <c r="T199" s="330">
        <v>2657</v>
      </c>
      <c r="U199" s="330">
        <v>101.26</v>
      </c>
      <c r="V199" s="330">
        <v>299</v>
      </c>
      <c r="W199" s="330">
        <v>146.12</v>
      </c>
      <c r="X199" s="330">
        <v>148</v>
      </c>
      <c r="Y199" s="330">
        <v>27</v>
      </c>
      <c r="Z199" s="330">
        <v>3</v>
      </c>
      <c r="AA199" s="330">
        <v>126</v>
      </c>
      <c r="AB199" s="330">
        <v>22</v>
      </c>
      <c r="AC199" s="330">
        <v>29</v>
      </c>
      <c r="AD199" s="334">
        <v>6427</v>
      </c>
      <c r="AE199" s="334">
        <v>34</v>
      </c>
      <c r="AF199" s="334">
        <v>21</v>
      </c>
      <c r="AG199" s="334">
        <v>55</v>
      </c>
    </row>
    <row r="200" spans="1:33" x14ac:dyDescent="0.25">
      <c r="A200" s="329" t="s">
        <v>454</v>
      </c>
      <c r="B200" s="335" t="s">
        <v>455</v>
      </c>
      <c r="C200" s="331">
        <v>2001</v>
      </c>
      <c r="D200" s="331">
        <v>5</v>
      </c>
      <c r="E200" s="331">
        <v>173</v>
      </c>
      <c r="F200" s="331">
        <v>365</v>
      </c>
      <c r="G200" s="331">
        <v>298</v>
      </c>
      <c r="H200" s="331">
        <v>2842</v>
      </c>
      <c r="I200" s="330">
        <v>2544</v>
      </c>
      <c r="J200" s="330">
        <v>9</v>
      </c>
      <c r="K200" s="332">
        <v>98.05</v>
      </c>
      <c r="L200" s="332">
        <v>95.31</v>
      </c>
      <c r="M200" s="332">
        <v>5.96</v>
      </c>
      <c r="N200" s="332">
        <v>102.93</v>
      </c>
      <c r="O200" s="333">
        <v>1716</v>
      </c>
      <c r="P200" s="330">
        <v>90.61</v>
      </c>
      <c r="Q200" s="330">
        <v>84.08</v>
      </c>
      <c r="R200" s="330">
        <v>37.14</v>
      </c>
      <c r="S200" s="330">
        <v>124.43</v>
      </c>
      <c r="T200" s="330">
        <v>324</v>
      </c>
      <c r="U200" s="330">
        <v>115.3</v>
      </c>
      <c r="V200" s="330">
        <v>237</v>
      </c>
      <c r="W200" s="330">
        <v>185.86</v>
      </c>
      <c r="X200" s="330">
        <v>60</v>
      </c>
      <c r="Y200" s="330">
        <v>0</v>
      </c>
      <c r="Z200" s="330">
        <v>1</v>
      </c>
      <c r="AA200" s="330">
        <v>3</v>
      </c>
      <c r="AB200" s="330">
        <v>40</v>
      </c>
      <c r="AC200" s="330">
        <v>25</v>
      </c>
      <c r="AD200" s="334">
        <v>1988</v>
      </c>
      <c r="AE200" s="334">
        <v>10</v>
      </c>
      <c r="AF200" s="334">
        <v>9</v>
      </c>
      <c r="AG200" s="334">
        <v>19</v>
      </c>
    </row>
    <row r="201" spans="1:33" x14ac:dyDescent="0.25">
      <c r="A201" s="329" t="s">
        <v>456</v>
      </c>
      <c r="B201" s="335" t="s">
        <v>457</v>
      </c>
      <c r="C201" s="331">
        <v>426</v>
      </c>
      <c r="D201" s="331">
        <v>0</v>
      </c>
      <c r="E201" s="331">
        <v>43</v>
      </c>
      <c r="F201" s="331">
        <v>94</v>
      </c>
      <c r="G201" s="331">
        <v>101</v>
      </c>
      <c r="H201" s="331">
        <v>664</v>
      </c>
      <c r="I201" s="330">
        <v>563</v>
      </c>
      <c r="J201" s="330">
        <v>4</v>
      </c>
      <c r="K201" s="332">
        <v>93.91</v>
      </c>
      <c r="L201" s="332">
        <v>91.67</v>
      </c>
      <c r="M201" s="332">
        <v>4.84</v>
      </c>
      <c r="N201" s="332">
        <v>96.61</v>
      </c>
      <c r="O201" s="333">
        <v>307</v>
      </c>
      <c r="P201" s="330">
        <v>103.23</v>
      </c>
      <c r="Q201" s="330">
        <v>74.63</v>
      </c>
      <c r="R201" s="330">
        <v>33.909999999999997</v>
      </c>
      <c r="S201" s="330">
        <v>137.15</v>
      </c>
      <c r="T201" s="330">
        <v>132</v>
      </c>
      <c r="U201" s="330">
        <v>98.04</v>
      </c>
      <c r="V201" s="330">
        <v>39</v>
      </c>
      <c r="W201" s="330">
        <v>0</v>
      </c>
      <c r="X201" s="330">
        <v>0</v>
      </c>
      <c r="Y201" s="330">
        <v>0</v>
      </c>
      <c r="Z201" s="330">
        <v>0</v>
      </c>
      <c r="AA201" s="330">
        <v>0</v>
      </c>
      <c r="AB201" s="330">
        <v>0</v>
      </c>
      <c r="AC201" s="330">
        <v>4</v>
      </c>
      <c r="AD201" s="334">
        <v>391</v>
      </c>
      <c r="AE201" s="334">
        <v>2</v>
      </c>
      <c r="AF201" s="334">
        <v>0</v>
      </c>
      <c r="AG201" s="334">
        <v>2</v>
      </c>
    </row>
    <row r="202" spans="1:33" x14ac:dyDescent="0.25">
      <c r="A202" s="329" t="s">
        <v>458</v>
      </c>
      <c r="B202" s="335" t="s">
        <v>459</v>
      </c>
      <c r="C202" s="331">
        <v>17295</v>
      </c>
      <c r="D202" s="331">
        <v>0</v>
      </c>
      <c r="E202" s="331">
        <v>415</v>
      </c>
      <c r="F202" s="331">
        <v>1131</v>
      </c>
      <c r="G202" s="331">
        <v>210</v>
      </c>
      <c r="H202" s="331">
        <v>19051</v>
      </c>
      <c r="I202" s="330">
        <v>18841</v>
      </c>
      <c r="J202" s="330">
        <v>1</v>
      </c>
      <c r="K202" s="332">
        <v>79.22</v>
      </c>
      <c r="L202" s="332">
        <v>79.64</v>
      </c>
      <c r="M202" s="332">
        <v>2.17</v>
      </c>
      <c r="N202" s="332">
        <v>80.2</v>
      </c>
      <c r="O202" s="333">
        <v>15591</v>
      </c>
      <c r="P202" s="330">
        <v>77.91</v>
      </c>
      <c r="Q202" s="330">
        <v>74.95</v>
      </c>
      <c r="R202" s="330">
        <v>26.53</v>
      </c>
      <c r="S202" s="330">
        <v>102</v>
      </c>
      <c r="T202" s="330">
        <v>1503</v>
      </c>
      <c r="U202" s="330">
        <v>99.1</v>
      </c>
      <c r="V202" s="330">
        <v>1258</v>
      </c>
      <c r="W202" s="330">
        <v>81.900000000000006</v>
      </c>
      <c r="X202" s="330">
        <v>16</v>
      </c>
      <c r="Y202" s="330">
        <v>0</v>
      </c>
      <c r="Z202" s="330">
        <v>65</v>
      </c>
      <c r="AA202" s="330">
        <v>35</v>
      </c>
      <c r="AB202" s="330">
        <v>1</v>
      </c>
      <c r="AC202" s="330">
        <v>8</v>
      </c>
      <c r="AD202" s="334">
        <v>16699</v>
      </c>
      <c r="AE202" s="334">
        <v>39</v>
      </c>
      <c r="AF202" s="334">
        <v>101</v>
      </c>
      <c r="AG202" s="334">
        <v>140</v>
      </c>
    </row>
    <row r="203" spans="1:33" x14ac:dyDescent="0.25">
      <c r="A203" s="329" t="s">
        <v>460</v>
      </c>
      <c r="B203" s="335" t="s">
        <v>461</v>
      </c>
      <c r="C203" s="331">
        <v>2968</v>
      </c>
      <c r="D203" s="331">
        <v>49</v>
      </c>
      <c r="E203" s="331">
        <v>511</v>
      </c>
      <c r="F203" s="331">
        <v>861</v>
      </c>
      <c r="G203" s="331">
        <v>661</v>
      </c>
      <c r="H203" s="331">
        <v>5050</v>
      </c>
      <c r="I203" s="330">
        <v>4389</v>
      </c>
      <c r="J203" s="330">
        <v>10</v>
      </c>
      <c r="K203" s="332">
        <v>114.54</v>
      </c>
      <c r="L203" s="332">
        <v>111.31</v>
      </c>
      <c r="M203" s="332">
        <v>8.26</v>
      </c>
      <c r="N203" s="332">
        <v>120.76</v>
      </c>
      <c r="O203" s="333">
        <v>2933</v>
      </c>
      <c r="P203" s="330">
        <v>105.06</v>
      </c>
      <c r="Q203" s="330">
        <v>93.53</v>
      </c>
      <c r="R203" s="330">
        <v>43.14</v>
      </c>
      <c r="S203" s="330">
        <v>145.51</v>
      </c>
      <c r="T203" s="330">
        <v>1302</v>
      </c>
      <c r="U203" s="330">
        <v>167.19</v>
      </c>
      <c r="V203" s="330">
        <v>53</v>
      </c>
      <c r="W203" s="330">
        <v>0</v>
      </c>
      <c r="X203" s="330">
        <v>0</v>
      </c>
      <c r="Y203" s="330">
        <v>0</v>
      </c>
      <c r="Z203" s="330">
        <v>3</v>
      </c>
      <c r="AA203" s="330">
        <v>4</v>
      </c>
      <c r="AB203" s="330">
        <v>4</v>
      </c>
      <c r="AC203" s="330">
        <v>34</v>
      </c>
      <c r="AD203" s="334">
        <v>2967</v>
      </c>
      <c r="AE203" s="334">
        <v>9</v>
      </c>
      <c r="AF203" s="334">
        <v>10</v>
      </c>
      <c r="AG203" s="334">
        <v>19</v>
      </c>
    </row>
    <row r="204" spans="1:33" x14ac:dyDescent="0.25">
      <c r="A204" s="329" t="s">
        <v>462</v>
      </c>
      <c r="B204" s="335" t="s">
        <v>463</v>
      </c>
      <c r="C204" s="331">
        <v>4105</v>
      </c>
      <c r="D204" s="331">
        <v>0</v>
      </c>
      <c r="E204" s="331">
        <v>162</v>
      </c>
      <c r="F204" s="331">
        <v>336</v>
      </c>
      <c r="G204" s="331">
        <v>1</v>
      </c>
      <c r="H204" s="331">
        <v>4604</v>
      </c>
      <c r="I204" s="330">
        <v>4603</v>
      </c>
      <c r="J204" s="330">
        <v>4</v>
      </c>
      <c r="K204" s="332">
        <v>75.81</v>
      </c>
      <c r="L204" s="332">
        <v>75.64</v>
      </c>
      <c r="M204" s="332">
        <v>2.38</v>
      </c>
      <c r="N204" s="332">
        <v>77.930000000000007</v>
      </c>
      <c r="O204" s="333">
        <v>3833</v>
      </c>
      <c r="P204" s="330">
        <v>84.05</v>
      </c>
      <c r="Q204" s="330">
        <v>69.05</v>
      </c>
      <c r="R204" s="330">
        <v>24.42</v>
      </c>
      <c r="S204" s="330">
        <v>108.17</v>
      </c>
      <c r="T204" s="330">
        <v>410</v>
      </c>
      <c r="U204" s="330">
        <v>94.51</v>
      </c>
      <c r="V204" s="330">
        <v>270</v>
      </c>
      <c r="W204" s="330">
        <v>0</v>
      </c>
      <c r="X204" s="330">
        <v>0</v>
      </c>
      <c r="Y204" s="330">
        <v>0</v>
      </c>
      <c r="Z204" s="330">
        <v>21</v>
      </c>
      <c r="AA204" s="330">
        <v>6</v>
      </c>
      <c r="AB204" s="330">
        <v>0</v>
      </c>
      <c r="AC204" s="330">
        <v>0</v>
      </c>
      <c r="AD204" s="334">
        <v>4104</v>
      </c>
      <c r="AE204" s="334">
        <v>19</v>
      </c>
      <c r="AF204" s="334">
        <v>6</v>
      </c>
      <c r="AG204" s="334">
        <v>25</v>
      </c>
    </row>
    <row r="205" spans="1:33" x14ac:dyDescent="0.25">
      <c r="A205" s="329" t="s">
        <v>464</v>
      </c>
      <c r="B205" s="335" t="s">
        <v>465</v>
      </c>
      <c r="C205" s="331">
        <v>12842</v>
      </c>
      <c r="D205" s="331">
        <v>40</v>
      </c>
      <c r="E205" s="331">
        <v>767</v>
      </c>
      <c r="F205" s="331">
        <v>2088</v>
      </c>
      <c r="G205" s="331">
        <v>873</v>
      </c>
      <c r="H205" s="331">
        <v>16610</v>
      </c>
      <c r="I205" s="330">
        <v>15737</v>
      </c>
      <c r="J205" s="330">
        <v>26</v>
      </c>
      <c r="K205" s="332">
        <v>88.28</v>
      </c>
      <c r="L205" s="332">
        <v>88.58</v>
      </c>
      <c r="M205" s="332">
        <v>6.03</v>
      </c>
      <c r="N205" s="332">
        <v>91.21</v>
      </c>
      <c r="O205" s="333">
        <v>11275</v>
      </c>
      <c r="P205" s="330">
        <v>86.82</v>
      </c>
      <c r="Q205" s="330">
        <v>87.58</v>
      </c>
      <c r="R205" s="330">
        <v>34.479999999999997</v>
      </c>
      <c r="S205" s="330">
        <v>119.51</v>
      </c>
      <c r="T205" s="330">
        <v>2592</v>
      </c>
      <c r="U205" s="330">
        <v>105.29</v>
      </c>
      <c r="V205" s="330">
        <v>1279</v>
      </c>
      <c r="W205" s="330">
        <v>192.14</v>
      </c>
      <c r="X205" s="330">
        <v>100</v>
      </c>
      <c r="Y205" s="330">
        <v>20</v>
      </c>
      <c r="Z205" s="330">
        <v>49</v>
      </c>
      <c r="AA205" s="330">
        <v>8</v>
      </c>
      <c r="AB205" s="330">
        <v>105</v>
      </c>
      <c r="AC205" s="330">
        <v>21</v>
      </c>
      <c r="AD205" s="334">
        <v>12842</v>
      </c>
      <c r="AE205" s="334">
        <v>64</v>
      </c>
      <c r="AF205" s="334">
        <v>53</v>
      </c>
      <c r="AG205" s="334">
        <v>117</v>
      </c>
    </row>
    <row r="206" spans="1:33" x14ac:dyDescent="0.25">
      <c r="A206" s="329" t="s">
        <v>466</v>
      </c>
      <c r="B206" s="335" t="s">
        <v>467</v>
      </c>
      <c r="C206" s="331">
        <v>19035</v>
      </c>
      <c r="D206" s="331">
        <v>0</v>
      </c>
      <c r="E206" s="331">
        <v>2256</v>
      </c>
      <c r="F206" s="331">
        <v>1223</v>
      </c>
      <c r="G206" s="331">
        <v>996</v>
      </c>
      <c r="H206" s="331">
        <v>23510</v>
      </c>
      <c r="I206" s="330">
        <v>22514</v>
      </c>
      <c r="J206" s="330">
        <v>19</v>
      </c>
      <c r="K206" s="332">
        <v>76.62</v>
      </c>
      <c r="L206" s="332">
        <v>79.709999999999994</v>
      </c>
      <c r="M206" s="332">
        <v>7</v>
      </c>
      <c r="N206" s="332">
        <v>80.849999999999994</v>
      </c>
      <c r="O206" s="333">
        <v>16665</v>
      </c>
      <c r="P206" s="330">
        <v>71.58</v>
      </c>
      <c r="Q206" s="330">
        <v>72.88</v>
      </c>
      <c r="R206" s="330">
        <v>26.87</v>
      </c>
      <c r="S206" s="330">
        <v>96.98</v>
      </c>
      <c r="T206" s="330">
        <v>3281</v>
      </c>
      <c r="U206" s="330">
        <v>106.61</v>
      </c>
      <c r="V206" s="330">
        <v>1940</v>
      </c>
      <c r="W206" s="330">
        <v>96.52</v>
      </c>
      <c r="X206" s="330">
        <v>100</v>
      </c>
      <c r="Y206" s="330">
        <v>44</v>
      </c>
      <c r="Z206" s="330">
        <v>80</v>
      </c>
      <c r="AA206" s="330">
        <v>27</v>
      </c>
      <c r="AB206" s="330">
        <v>92</v>
      </c>
      <c r="AC206" s="330">
        <v>29</v>
      </c>
      <c r="AD206" s="334">
        <v>18618</v>
      </c>
      <c r="AE206" s="334">
        <v>69</v>
      </c>
      <c r="AF206" s="334">
        <v>280</v>
      </c>
      <c r="AG206" s="334">
        <v>349</v>
      </c>
    </row>
    <row r="207" spans="1:33" x14ac:dyDescent="0.25">
      <c r="A207" s="329" t="s">
        <v>468</v>
      </c>
      <c r="B207" s="335" t="s">
        <v>469</v>
      </c>
      <c r="C207" s="331">
        <v>4779</v>
      </c>
      <c r="D207" s="331">
        <v>15</v>
      </c>
      <c r="E207" s="331">
        <v>505</v>
      </c>
      <c r="F207" s="331">
        <v>957</v>
      </c>
      <c r="G207" s="331">
        <v>748</v>
      </c>
      <c r="H207" s="331">
        <v>7004</v>
      </c>
      <c r="I207" s="330">
        <v>6256</v>
      </c>
      <c r="J207" s="330">
        <v>80</v>
      </c>
      <c r="K207" s="332">
        <v>101.53</v>
      </c>
      <c r="L207" s="332">
        <v>101.86</v>
      </c>
      <c r="M207" s="332">
        <v>8.4</v>
      </c>
      <c r="N207" s="332">
        <v>108.34</v>
      </c>
      <c r="O207" s="333">
        <v>3666</v>
      </c>
      <c r="P207" s="330">
        <v>84.82</v>
      </c>
      <c r="Q207" s="330">
        <v>83.18</v>
      </c>
      <c r="R207" s="330">
        <v>26.55</v>
      </c>
      <c r="S207" s="330">
        <v>109.26</v>
      </c>
      <c r="T207" s="330">
        <v>638</v>
      </c>
      <c r="U207" s="330">
        <v>129.30000000000001</v>
      </c>
      <c r="V207" s="330">
        <v>696</v>
      </c>
      <c r="W207" s="330">
        <v>168.67</v>
      </c>
      <c r="X207" s="330">
        <v>267</v>
      </c>
      <c r="Y207" s="330">
        <v>1</v>
      </c>
      <c r="Z207" s="330">
        <v>31</v>
      </c>
      <c r="AA207" s="330">
        <v>14</v>
      </c>
      <c r="AB207" s="330">
        <v>48</v>
      </c>
      <c r="AC207" s="330">
        <v>19</v>
      </c>
      <c r="AD207" s="334">
        <v>4594</v>
      </c>
      <c r="AE207" s="334">
        <v>25</v>
      </c>
      <c r="AF207" s="334">
        <v>29</v>
      </c>
      <c r="AG207" s="334">
        <v>54</v>
      </c>
    </row>
    <row r="208" spans="1:33" x14ac:dyDescent="0.25">
      <c r="A208" s="329" t="s">
        <v>470</v>
      </c>
      <c r="B208" s="335" t="s">
        <v>471</v>
      </c>
      <c r="C208" s="331">
        <v>9824</v>
      </c>
      <c r="D208" s="331">
        <v>3</v>
      </c>
      <c r="E208" s="331">
        <v>365</v>
      </c>
      <c r="F208" s="331">
        <v>1180</v>
      </c>
      <c r="G208" s="331">
        <v>365</v>
      </c>
      <c r="H208" s="331">
        <v>11737</v>
      </c>
      <c r="I208" s="330">
        <v>11372</v>
      </c>
      <c r="J208" s="330">
        <v>7</v>
      </c>
      <c r="K208" s="332">
        <v>80.58</v>
      </c>
      <c r="L208" s="332">
        <v>78.400000000000006</v>
      </c>
      <c r="M208" s="332">
        <v>5.55</v>
      </c>
      <c r="N208" s="332">
        <v>83</v>
      </c>
      <c r="O208" s="333">
        <v>9193</v>
      </c>
      <c r="P208" s="330">
        <v>78.06</v>
      </c>
      <c r="Q208" s="330">
        <v>70.14</v>
      </c>
      <c r="R208" s="330">
        <v>36.880000000000003</v>
      </c>
      <c r="S208" s="330">
        <v>114.62</v>
      </c>
      <c r="T208" s="330">
        <v>1510</v>
      </c>
      <c r="U208" s="330">
        <v>101.63</v>
      </c>
      <c r="V208" s="330">
        <v>610</v>
      </c>
      <c r="W208" s="330">
        <v>0</v>
      </c>
      <c r="X208" s="330">
        <v>0</v>
      </c>
      <c r="Y208" s="330">
        <v>0</v>
      </c>
      <c r="Z208" s="330">
        <v>29</v>
      </c>
      <c r="AA208" s="330">
        <v>7</v>
      </c>
      <c r="AB208" s="330">
        <v>7</v>
      </c>
      <c r="AC208" s="330">
        <v>7</v>
      </c>
      <c r="AD208" s="334">
        <v>9804</v>
      </c>
      <c r="AE208" s="334">
        <v>89</v>
      </c>
      <c r="AF208" s="334">
        <v>18</v>
      </c>
      <c r="AG208" s="334">
        <v>107</v>
      </c>
    </row>
    <row r="209" spans="1:33" x14ac:dyDescent="0.25">
      <c r="A209" s="329" t="s">
        <v>472</v>
      </c>
      <c r="B209" s="335" t="s">
        <v>473</v>
      </c>
      <c r="C209" s="331">
        <v>3472</v>
      </c>
      <c r="D209" s="331">
        <v>48</v>
      </c>
      <c r="E209" s="331">
        <v>317</v>
      </c>
      <c r="F209" s="331">
        <v>509</v>
      </c>
      <c r="G209" s="331">
        <v>915</v>
      </c>
      <c r="H209" s="331">
        <v>5261</v>
      </c>
      <c r="I209" s="330">
        <v>4346</v>
      </c>
      <c r="J209" s="330">
        <v>8</v>
      </c>
      <c r="K209" s="332">
        <v>121.11</v>
      </c>
      <c r="L209" s="332">
        <v>120.19</v>
      </c>
      <c r="M209" s="332">
        <v>8.49</v>
      </c>
      <c r="N209" s="332">
        <v>129.03</v>
      </c>
      <c r="O209" s="333">
        <v>2856</v>
      </c>
      <c r="P209" s="330">
        <v>109.83</v>
      </c>
      <c r="Q209" s="330">
        <v>101.68</v>
      </c>
      <c r="R209" s="330">
        <v>61.15</v>
      </c>
      <c r="S209" s="330">
        <v>169.28</v>
      </c>
      <c r="T209" s="330">
        <v>683</v>
      </c>
      <c r="U209" s="330">
        <v>155.93</v>
      </c>
      <c r="V209" s="330">
        <v>255</v>
      </c>
      <c r="W209" s="330">
        <v>151.16999999999999</v>
      </c>
      <c r="X209" s="330">
        <v>42</v>
      </c>
      <c r="Y209" s="330">
        <v>0</v>
      </c>
      <c r="Z209" s="330">
        <v>2</v>
      </c>
      <c r="AA209" s="330">
        <v>2</v>
      </c>
      <c r="AB209" s="330">
        <v>32</v>
      </c>
      <c r="AC209" s="330">
        <v>76</v>
      </c>
      <c r="AD209" s="334">
        <v>3350</v>
      </c>
      <c r="AE209" s="334">
        <v>12</v>
      </c>
      <c r="AF209" s="334">
        <v>4</v>
      </c>
      <c r="AG209" s="334">
        <v>16</v>
      </c>
    </row>
    <row r="210" spans="1:33" x14ac:dyDescent="0.25">
      <c r="A210" s="329" t="s">
        <v>474</v>
      </c>
      <c r="B210" s="335" t="s">
        <v>475</v>
      </c>
      <c r="C210" s="331">
        <v>3435</v>
      </c>
      <c r="D210" s="331">
        <v>0</v>
      </c>
      <c r="E210" s="331">
        <v>407</v>
      </c>
      <c r="F210" s="331">
        <v>1098</v>
      </c>
      <c r="G210" s="331">
        <v>588</v>
      </c>
      <c r="H210" s="331">
        <v>5528</v>
      </c>
      <c r="I210" s="330">
        <v>4940</v>
      </c>
      <c r="J210" s="330">
        <v>12</v>
      </c>
      <c r="K210" s="332">
        <v>132.16</v>
      </c>
      <c r="L210" s="332">
        <v>126.79</v>
      </c>
      <c r="M210" s="332">
        <v>10.45</v>
      </c>
      <c r="N210" s="332">
        <v>137.87</v>
      </c>
      <c r="O210" s="333">
        <v>3016</v>
      </c>
      <c r="P210" s="330">
        <v>104.01</v>
      </c>
      <c r="Q210" s="330">
        <v>100.68</v>
      </c>
      <c r="R210" s="330">
        <v>40.47</v>
      </c>
      <c r="S210" s="330">
        <v>143.68</v>
      </c>
      <c r="T210" s="330">
        <v>1321</v>
      </c>
      <c r="U210" s="330">
        <v>159.5</v>
      </c>
      <c r="V210" s="330">
        <v>135</v>
      </c>
      <c r="W210" s="330">
        <v>134.87</v>
      </c>
      <c r="X210" s="330">
        <v>53</v>
      </c>
      <c r="Y210" s="330">
        <v>0</v>
      </c>
      <c r="Z210" s="330">
        <v>3</v>
      </c>
      <c r="AA210" s="330">
        <v>3</v>
      </c>
      <c r="AB210" s="330">
        <v>23</v>
      </c>
      <c r="AC210" s="330">
        <v>26</v>
      </c>
      <c r="AD210" s="334">
        <v>3313</v>
      </c>
      <c r="AE210" s="334">
        <v>9</v>
      </c>
      <c r="AF210" s="334">
        <v>49</v>
      </c>
      <c r="AG210" s="334">
        <v>58</v>
      </c>
    </row>
    <row r="211" spans="1:33" x14ac:dyDescent="0.25">
      <c r="A211" s="329" t="s">
        <v>476</v>
      </c>
      <c r="B211" s="335" t="s">
        <v>477</v>
      </c>
      <c r="C211" s="331">
        <v>11365</v>
      </c>
      <c r="D211" s="331">
        <v>0</v>
      </c>
      <c r="E211" s="331">
        <v>197</v>
      </c>
      <c r="F211" s="331">
        <v>533</v>
      </c>
      <c r="G211" s="331">
        <v>247</v>
      </c>
      <c r="H211" s="331">
        <v>12342</v>
      </c>
      <c r="I211" s="330">
        <v>12095</v>
      </c>
      <c r="J211" s="330">
        <v>20</v>
      </c>
      <c r="K211" s="332">
        <v>89.2</v>
      </c>
      <c r="L211" s="332">
        <v>89.66</v>
      </c>
      <c r="M211" s="332">
        <v>6.12</v>
      </c>
      <c r="N211" s="332">
        <v>92.26</v>
      </c>
      <c r="O211" s="333">
        <v>11010</v>
      </c>
      <c r="P211" s="330">
        <v>83.99</v>
      </c>
      <c r="Q211" s="330">
        <v>78.819999999999993</v>
      </c>
      <c r="R211" s="330">
        <v>41.07</v>
      </c>
      <c r="S211" s="330">
        <v>124.69</v>
      </c>
      <c r="T211" s="330">
        <v>674</v>
      </c>
      <c r="U211" s="330">
        <v>108.95</v>
      </c>
      <c r="V211" s="330">
        <v>207</v>
      </c>
      <c r="W211" s="330">
        <v>0</v>
      </c>
      <c r="X211" s="330">
        <v>0</v>
      </c>
      <c r="Y211" s="330">
        <v>0</v>
      </c>
      <c r="Z211" s="330">
        <v>32</v>
      </c>
      <c r="AA211" s="330">
        <v>17</v>
      </c>
      <c r="AB211" s="330">
        <v>32</v>
      </c>
      <c r="AC211" s="330">
        <v>8</v>
      </c>
      <c r="AD211" s="334">
        <v>11365</v>
      </c>
      <c r="AE211" s="334">
        <v>74</v>
      </c>
      <c r="AF211" s="334">
        <v>133</v>
      </c>
      <c r="AG211" s="334">
        <v>207</v>
      </c>
    </row>
    <row r="212" spans="1:33" x14ac:dyDescent="0.25">
      <c r="A212" s="329" t="s">
        <v>478</v>
      </c>
      <c r="B212" s="335" t="s">
        <v>479</v>
      </c>
      <c r="C212" s="331">
        <v>1669</v>
      </c>
      <c r="D212" s="331">
        <v>0</v>
      </c>
      <c r="E212" s="331">
        <v>192</v>
      </c>
      <c r="F212" s="331">
        <v>179</v>
      </c>
      <c r="G212" s="331">
        <v>145</v>
      </c>
      <c r="H212" s="331">
        <v>2185</v>
      </c>
      <c r="I212" s="330">
        <v>2040</v>
      </c>
      <c r="J212" s="330">
        <v>0</v>
      </c>
      <c r="K212" s="332">
        <v>89.22</v>
      </c>
      <c r="L212" s="332">
        <v>87.97</v>
      </c>
      <c r="M212" s="332">
        <v>4.18</v>
      </c>
      <c r="N212" s="332">
        <v>92.72</v>
      </c>
      <c r="O212" s="333">
        <v>1111</v>
      </c>
      <c r="P212" s="330">
        <v>97.89</v>
      </c>
      <c r="Q212" s="330">
        <v>94.77</v>
      </c>
      <c r="R212" s="330">
        <v>46.39</v>
      </c>
      <c r="S212" s="330">
        <v>137.6</v>
      </c>
      <c r="T212" s="330">
        <v>243</v>
      </c>
      <c r="U212" s="330">
        <v>110.32</v>
      </c>
      <c r="V212" s="330">
        <v>164</v>
      </c>
      <c r="W212" s="330">
        <v>186.88</v>
      </c>
      <c r="X212" s="330">
        <v>43</v>
      </c>
      <c r="Y212" s="330">
        <v>0</v>
      </c>
      <c r="Z212" s="330">
        <v>1</v>
      </c>
      <c r="AA212" s="330">
        <v>5</v>
      </c>
      <c r="AB212" s="330">
        <v>5</v>
      </c>
      <c r="AC212" s="330">
        <v>6</v>
      </c>
      <c r="AD212" s="334">
        <v>1344</v>
      </c>
      <c r="AE212" s="334">
        <v>8</v>
      </c>
      <c r="AF212" s="334">
        <v>2</v>
      </c>
      <c r="AG212" s="334">
        <v>10</v>
      </c>
    </row>
    <row r="213" spans="1:33" x14ac:dyDescent="0.25">
      <c r="A213" s="329" t="s">
        <v>480</v>
      </c>
      <c r="B213" s="335" t="s">
        <v>481</v>
      </c>
      <c r="C213" s="331">
        <v>6040</v>
      </c>
      <c r="D213" s="331">
        <v>0</v>
      </c>
      <c r="E213" s="331">
        <v>464</v>
      </c>
      <c r="F213" s="331">
        <v>665</v>
      </c>
      <c r="G213" s="331">
        <v>765</v>
      </c>
      <c r="H213" s="331">
        <v>7934</v>
      </c>
      <c r="I213" s="330">
        <v>7169</v>
      </c>
      <c r="J213" s="330">
        <v>13</v>
      </c>
      <c r="K213" s="332">
        <v>121.02</v>
      </c>
      <c r="L213" s="332">
        <v>122.13</v>
      </c>
      <c r="M213" s="332">
        <v>3.84</v>
      </c>
      <c r="N213" s="332">
        <v>124.68</v>
      </c>
      <c r="O213" s="333">
        <v>5143</v>
      </c>
      <c r="P213" s="330">
        <v>102.13</v>
      </c>
      <c r="Q213" s="330">
        <v>101.28</v>
      </c>
      <c r="R213" s="330">
        <v>22.22</v>
      </c>
      <c r="S213" s="330">
        <v>123.21</v>
      </c>
      <c r="T213" s="330">
        <v>736</v>
      </c>
      <c r="U213" s="330">
        <v>142.13</v>
      </c>
      <c r="V213" s="330">
        <v>770</v>
      </c>
      <c r="W213" s="330">
        <v>197.82</v>
      </c>
      <c r="X213" s="330">
        <v>106</v>
      </c>
      <c r="Y213" s="330">
        <v>0</v>
      </c>
      <c r="Z213" s="330">
        <v>54</v>
      </c>
      <c r="AA213" s="330">
        <v>22</v>
      </c>
      <c r="AB213" s="330">
        <v>109</v>
      </c>
      <c r="AC213" s="330">
        <v>22</v>
      </c>
      <c r="AD213" s="334">
        <v>6040</v>
      </c>
      <c r="AE213" s="334">
        <v>47</v>
      </c>
      <c r="AF213" s="334">
        <v>30</v>
      </c>
      <c r="AG213" s="334">
        <v>77</v>
      </c>
    </row>
    <row r="214" spans="1:33" x14ac:dyDescent="0.25">
      <c r="A214" s="329" t="s">
        <v>482</v>
      </c>
      <c r="B214" s="335" t="s">
        <v>483</v>
      </c>
      <c r="C214" s="331">
        <v>1198</v>
      </c>
      <c r="D214" s="331">
        <v>0</v>
      </c>
      <c r="E214" s="331">
        <v>87</v>
      </c>
      <c r="F214" s="331">
        <v>719</v>
      </c>
      <c r="G214" s="331">
        <v>226</v>
      </c>
      <c r="H214" s="331">
        <v>2230</v>
      </c>
      <c r="I214" s="330">
        <v>2004</v>
      </c>
      <c r="J214" s="330">
        <v>1</v>
      </c>
      <c r="K214" s="332">
        <v>87.11</v>
      </c>
      <c r="L214" s="332">
        <v>86.58</v>
      </c>
      <c r="M214" s="332">
        <v>2.96</v>
      </c>
      <c r="N214" s="332">
        <v>89.19</v>
      </c>
      <c r="O214" s="333">
        <v>981</v>
      </c>
      <c r="P214" s="330">
        <v>74.650000000000006</v>
      </c>
      <c r="Q214" s="330">
        <v>71.77</v>
      </c>
      <c r="R214" s="330">
        <v>15.42</v>
      </c>
      <c r="S214" s="330">
        <v>89.76</v>
      </c>
      <c r="T214" s="330">
        <v>781</v>
      </c>
      <c r="U214" s="330">
        <v>108.83</v>
      </c>
      <c r="V214" s="330">
        <v>205</v>
      </c>
      <c r="W214" s="330">
        <v>97.94</v>
      </c>
      <c r="X214" s="330">
        <v>8</v>
      </c>
      <c r="Y214" s="330">
        <v>0</v>
      </c>
      <c r="Z214" s="330">
        <v>8</v>
      </c>
      <c r="AA214" s="330">
        <v>2</v>
      </c>
      <c r="AB214" s="330">
        <v>32</v>
      </c>
      <c r="AC214" s="330">
        <v>1</v>
      </c>
      <c r="AD214" s="334">
        <v>1198</v>
      </c>
      <c r="AE214" s="334">
        <v>2</v>
      </c>
      <c r="AF214" s="334">
        <v>10</v>
      </c>
      <c r="AG214" s="334">
        <v>12</v>
      </c>
    </row>
    <row r="215" spans="1:33" x14ac:dyDescent="0.25">
      <c r="A215" s="329" t="s">
        <v>484</v>
      </c>
      <c r="B215" s="335" t="s">
        <v>485</v>
      </c>
      <c r="C215" s="331">
        <v>8759</v>
      </c>
      <c r="D215" s="331">
        <v>12</v>
      </c>
      <c r="E215" s="331">
        <v>318</v>
      </c>
      <c r="F215" s="331">
        <v>835</v>
      </c>
      <c r="G215" s="331">
        <v>469</v>
      </c>
      <c r="H215" s="331">
        <v>10393</v>
      </c>
      <c r="I215" s="330">
        <v>9924</v>
      </c>
      <c r="J215" s="330">
        <v>1</v>
      </c>
      <c r="K215" s="332">
        <v>123.25</v>
      </c>
      <c r="L215" s="332">
        <v>135.63999999999999</v>
      </c>
      <c r="M215" s="332">
        <v>9.3699999999999992</v>
      </c>
      <c r="N215" s="332">
        <v>129.78</v>
      </c>
      <c r="O215" s="333">
        <v>8001</v>
      </c>
      <c r="P215" s="330">
        <v>117.1</v>
      </c>
      <c r="Q215" s="330">
        <v>118.29</v>
      </c>
      <c r="R215" s="330">
        <v>32.340000000000003</v>
      </c>
      <c r="S215" s="330">
        <v>147.11000000000001</v>
      </c>
      <c r="T215" s="330">
        <v>1088</v>
      </c>
      <c r="U215" s="330">
        <v>195.29</v>
      </c>
      <c r="V215" s="330">
        <v>552</v>
      </c>
      <c r="W215" s="330">
        <v>205.84</v>
      </c>
      <c r="X215" s="330">
        <v>11</v>
      </c>
      <c r="Y215" s="330">
        <v>6</v>
      </c>
      <c r="Z215" s="330">
        <v>12</v>
      </c>
      <c r="AA215" s="330">
        <v>42</v>
      </c>
      <c r="AB215" s="330">
        <v>4</v>
      </c>
      <c r="AC215" s="330">
        <v>13</v>
      </c>
      <c r="AD215" s="334">
        <v>8670</v>
      </c>
      <c r="AE215" s="334">
        <v>21</v>
      </c>
      <c r="AF215" s="334">
        <v>34</v>
      </c>
      <c r="AG215" s="334">
        <v>55</v>
      </c>
    </row>
    <row r="216" spans="1:33" x14ac:dyDescent="0.25">
      <c r="A216" s="329" t="s">
        <v>486</v>
      </c>
      <c r="B216" s="335" t="s">
        <v>487</v>
      </c>
      <c r="C216" s="331">
        <v>606</v>
      </c>
      <c r="D216" s="331">
        <v>4</v>
      </c>
      <c r="E216" s="331">
        <v>92</v>
      </c>
      <c r="F216" s="331">
        <v>97</v>
      </c>
      <c r="G216" s="331">
        <v>51</v>
      </c>
      <c r="H216" s="331">
        <v>850</v>
      </c>
      <c r="I216" s="330">
        <v>799</v>
      </c>
      <c r="J216" s="330">
        <v>0</v>
      </c>
      <c r="K216" s="332">
        <v>93.74</v>
      </c>
      <c r="L216" s="332">
        <v>93</v>
      </c>
      <c r="M216" s="332">
        <v>3.44</v>
      </c>
      <c r="N216" s="332">
        <v>96.17</v>
      </c>
      <c r="O216" s="333">
        <v>483</v>
      </c>
      <c r="P216" s="330">
        <v>97.33</v>
      </c>
      <c r="Q216" s="330">
        <v>102.75</v>
      </c>
      <c r="R216" s="330">
        <v>64.39</v>
      </c>
      <c r="S216" s="330">
        <v>153.97</v>
      </c>
      <c r="T216" s="330">
        <v>133</v>
      </c>
      <c r="U216" s="330">
        <v>106.3</v>
      </c>
      <c r="V216" s="330">
        <v>96</v>
      </c>
      <c r="W216" s="330">
        <v>157.94</v>
      </c>
      <c r="X216" s="330">
        <v>46</v>
      </c>
      <c r="Y216" s="330">
        <v>0</v>
      </c>
      <c r="Z216" s="330">
        <v>0</v>
      </c>
      <c r="AA216" s="330">
        <v>0</v>
      </c>
      <c r="AB216" s="330">
        <v>0</v>
      </c>
      <c r="AC216" s="330">
        <v>0</v>
      </c>
      <c r="AD216" s="334">
        <v>606</v>
      </c>
      <c r="AE216" s="334">
        <v>2</v>
      </c>
      <c r="AF216" s="334">
        <v>5</v>
      </c>
      <c r="AG216" s="334">
        <v>7</v>
      </c>
    </row>
    <row r="217" spans="1:33" x14ac:dyDescent="0.25">
      <c r="A217" s="329" t="s">
        <v>488</v>
      </c>
      <c r="B217" s="335" t="s">
        <v>489</v>
      </c>
      <c r="C217" s="331">
        <v>18763</v>
      </c>
      <c r="D217" s="331">
        <v>0</v>
      </c>
      <c r="E217" s="331">
        <v>553</v>
      </c>
      <c r="F217" s="331">
        <v>2032</v>
      </c>
      <c r="G217" s="331">
        <v>221</v>
      </c>
      <c r="H217" s="331">
        <v>21569</v>
      </c>
      <c r="I217" s="330">
        <v>21348</v>
      </c>
      <c r="J217" s="330">
        <v>60</v>
      </c>
      <c r="K217" s="332">
        <v>77.27</v>
      </c>
      <c r="L217" s="332">
        <v>78.930000000000007</v>
      </c>
      <c r="M217" s="332">
        <v>4.5999999999999996</v>
      </c>
      <c r="N217" s="332">
        <v>81.28</v>
      </c>
      <c r="O217" s="333">
        <v>17634</v>
      </c>
      <c r="P217" s="330">
        <v>76.290000000000006</v>
      </c>
      <c r="Q217" s="330">
        <v>73.13</v>
      </c>
      <c r="R217" s="330">
        <v>26.23</v>
      </c>
      <c r="S217" s="330">
        <v>101.06</v>
      </c>
      <c r="T217" s="330">
        <v>2488</v>
      </c>
      <c r="U217" s="330">
        <v>97.05</v>
      </c>
      <c r="V217" s="330">
        <v>1022</v>
      </c>
      <c r="W217" s="330">
        <v>0</v>
      </c>
      <c r="X217" s="330">
        <v>0</v>
      </c>
      <c r="Y217" s="330">
        <v>2</v>
      </c>
      <c r="Z217" s="330">
        <v>124</v>
      </c>
      <c r="AA217" s="330">
        <v>7</v>
      </c>
      <c r="AB217" s="330">
        <v>1</v>
      </c>
      <c r="AC217" s="330">
        <v>6</v>
      </c>
      <c r="AD217" s="334">
        <v>18682</v>
      </c>
      <c r="AE217" s="334">
        <v>272</v>
      </c>
      <c r="AF217" s="334">
        <v>206</v>
      </c>
      <c r="AG217" s="334">
        <v>478</v>
      </c>
    </row>
    <row r="218" spans="1:33" x14ac:dyDescent="0.25">
      <c r="A218" s="329" t="s">
        <v>490</v>
      </c>
      <c r="B218" s="335" t="s">
        <v>491</v>
      </c>
      <c r="C218" s="331">
        <v>2070</v>
      </c>
      <c r="D218" s="331">
        <v>0</v>
      </c>
      <c r="E218" s="331">
        <v>48</v>
      </c>
      <c r="F218" s="331">
        <v>715</v>
      </c>
      <c r="G218" s="331">
        <v>217</v>
      </c>
      <c r="H218" s="331">
        <v>3050</v>
      </c>
      <c r="I218" s="330">
        <v>2833</v>
      </c>
      <c r="J218" s="330">
        <v>4</v>
      </c>
      <c r="K218" s="332">
        <v>102.1</v>
      </c>
      <c r="L218" s="332">
        <v>103.47</v>
      </c>
      <c r="M218" s="332">
        <v>5.78</v>
      </c>
      <c r="N218" s="332">
        <v>104.09</v>
      </c>
      <c r="O218" s="333">
        <v>1772</v>
      </c>
      <c r="P218" s="330">
        <v>87.55</v>
      </c>
      <c r="Q218" s="330">
        <v>87.82</v>
      </c>
      <c r="R218" s="330">
        <v>34.76</v>
      </c>
      <c r="S218" s="330">
        <v>122.27</v>
      </c>
      <c r="T218" s="330">
        <v>763</v>
      </c>
      <c r="U218" s="330">
        <v>140.82</v>
      </c>
      <c r="V218" s="330">
        <v>297</v>
      </c>
      <c r="W218" s="330">
        <v>0</v>
      </c>
      <c r="X218" s="330">
        <v>0</v>
      </c>
      <c r="Y218" s="330">
        <v>1</v>
      </c>
      <c r="Z218" s="330">
        <v>3</v>
      </c>
      <c r="AA218" s="330">
        <v>0</v>
      </c>
      <c r="AB218" s="330">
        <v>8</v>
      </c>
      <c r="AC218" s="330">
        <v>0</v>
      </c>
      <c r="AD218" s="334">
        <v>2070</v>
      </c>
      <c r="AE218" s="334">
        <v>4</v>
      </c>
      <c r="AF218" s="334">
        <v>4</v>
      </c>
      <c r="AG218" s="334">
        <v>8</v>
      </c>
    </row>
    <row r="219" spans="1:33" x14ac:dyDescent="0.25">
      <c r="A219" s="329" t="s">
        <v>492</v>
      </c>
      <c r="B219" s="335" t="s">
        <v>493</v>
      </c>
      <c r="C219" s="331">
        <v>4218</v>
      </c>
      <c r="D219" s="331">
        <v>0</v>
      </c>
      <c r="E219" s="331">
        <v>64</v>
      </c>
      <c r="F219" s="331">
        <v>401</v>
      </c>
      <c r="G219" s="331">
        <v>39</v>
      </c>
      <c r="H219" s="331">
        <v>4722</v>
      </c>
      <c r="I219" s="330">
        <v>4683</v>
      </c>
      <c r="J219" s="330">
        <v>1</v>
      </c>
      <c r="K219" s="332">
        <v>75.88</v>
      </c>
      <c r="L219" s="332">
        <v>76.83</v>
      </c>
      <c r="M219" s="332">
        <v>3.58</v>
      </c>
      <c r="N219" s="332">
        <v>76.61</v>
      </c>
      <c r="O219" s="333">
        <v>3858</v>
      </c>
      <c r="P219" s="330">
        <v>82.69</v>
      </c>
      <c r="Q219" s="330">
        <v>80.81</v>
      </c>
      <c r="R219" s="330">
        <v>27.79</v>
      </c>
      <c r="S219" s="330">
        <v>109.44</v>
      </c>
      <c r="T219" s="330">
        <v>432</v>
      </c>
      <c r="U219" s="330">
        <v>94.16</v>
      </c>
      <c r="V219" s="330">
        <v>358</v>
      </c>
      <c r="W219" s="330">
        <v>0</v>
      </c>
      <c r="X219" s="330">
        <v>0</v>
      </c>
      <c r="Y219" s="330">
        <v>0</v>
      </c>
      <c r="Z219" s="330">
        <v>16</v>
      </c>
      <c r="AA219" s="330">
        <v>4</v>
      </c>
      <c r="AB219" s="330">
        <v>5</v>
      </c>
      <c r="AC219" s="330">
        <v>0</v>
      </c>
      <c r="AD219" s="334">
        <v>4218</v>
      </c>
      <c r="AE219" s="334">
        <v>15</v>
      </c>
      <c r="AF219" s="334">
        <v>12</v>
      </c>
      <c r="AG219" s="334">
        <v>27</v>
      </c>
    </row>
    <row r="220" spans="1:33" x14ac:dyDescent="0.25">
      <c r="A220" s="329" t="s">
        <v>494</v>
      </c>
      <c r="B220" s="335" t="s">
        <v>495</v>
      </c>
      <c r="C220" s="331">
        <v>3561</v>
      </c>
      <c r="D220" s="331">
        <v>0</v>
      </c>
      <c r="E220" s="331">
        <v>135</v>
      </c>
      <c r="F220" s="331">
        <v>700</v>
      </c>
      <c r="G220" s="331">
        <v>178</v>
      </c>
      <c r="H220" s="331">
        <v>4574</v>
      </c>
      <c r="I220" s="330">
        <v>4396</v>
      </c>
      <c r="J220" s="330">
        <v>20</v>
      </c>
      <c r="K220" s="332">
        <v>99.02</v>
      </c>
      <c r="L220" s="332">
        <v>97.51</v>
      </c>
      <c r="M220" s="332">
        <v>2.83</v>
      </c>
      <c r="N220" s="332">
        <v>101.35</v>
      </c>
      <c r="O220" s="333">
        <v>3178</v>
      </c>
      <c r="P220" s="330">
        <v>85.3</v>
      </c>
      <c r="Q220" s="330">
        <v>84.03</v>
      </c>
      <c r="R220" s="330">
        <v>31.69</v>
      </c>
      <c r="S220" s="330">
        <v>116.24</v>
      </c>
      <c r="T220" s="330">
        <v>675</v>
      </c>
      <c r="U220" s="330">
        <v>120.05</v>
      </c>
      <c r="V220" s="330">
        <v>368</v>
      </c>
      <c r="W220" s="330">
        <v>125.69</v>
      </c>
      <c r="X220" s="330">
        <v>24</v>
      </c>
      <c r="Y220" s="330">
        <v>0</v>
      </c>
      <c r="Z220" s="330">
        <v>5</v>
      </c>
      <c r="AA220" s="330">
        <v>0</v>
      </c>
      <c r="AB220" s="330">
        <v>30</v>
      </c>
      <c r="AC220" s="330">
        <v>7</v>
      </c>
      <c r="AD220" s="334">
        <v>3544</v>
      </c>
      <c r="AE220" s="334">
        <v>11</v>
      </c>
      <c r="AF220" s="334">
        <v>19</v>
      </c>
      <c r="AG220" s="334">
        <v>30</v>
      </c>
    </row>
    <row r="221" spans="1:33" x14ac:dyDescent="0.25">
      <c r="A221" s="329" t="s">
        <v>496</v>
      </c>
      <c r="B221" s="335" t="s">
        <v>497</v>
      </c>
      <c r="C221" s="331">
        <v>3320</v>
      </c>
      <c r="D221" s="331">
        <v>0</v>
      </c>
      <c r="E221" s="331">
        <v>370</v>
      </c>
      <c r="F221" s="331">
        <v>895</v>
      </c>
      <c r="G221" s="331">
        <v>303</v>
      </c>
      <c r="H221" s="331">
        <v>4888</v>
      </c>
      <c r="I221" s="330">
        <v>4585</v>
      </c>
      <c r="J221" s="330">
        <v>0</v>
      </c>
      <c r="K221" s="332">
        <v>83.38</v>
      </c>
      <c r="L221" s="332">
        <v>81.459999999999994</v>
      </c>
      <c r="M221" s="332">
        <v>7.69</v>
      </c>
      <c r="N221" s="332">
        <v>87.27</v>
      </c>
      <c r="O221" s="333">
        <v>2901</v>
      </c>
      <c r="P221" s="330">
        <v>83.89</v>
      </c>
      <c r="Q221" s="330">
        <v>74.94</v>
      </c>
      <c r="R221" s="330">
        <v>32.67</v>
      </c>
      <c r="S221" s="330">
        <v>112.89</v>
      </c>
      <c r="T221" s="330">
        <v>1221</v>
      </c>
      <c r="U221" s="330">
        <v>102.31</v>
      </c>
      <c r="V221" s="330">
        <v>309</v>
      </c>
      <c r="W221" s="330">
        <v>133.24</v>
      </c>
      <c r="X221" s="330">
        <v>31</v>
      </c>
      <c r="Y221" s="330">
        <v>0</v>
      </c>
      <c r="Z221" s="330">
        <v>1</v>
      </c>
      <c r="AA221" s="330">
        <v>20</v>
      </c>
      <c r="AB221" s="330">
        <v>17</v>
      </c>
      <c r="AC221" s="330">
        <v>2</v>
      </c>
      <c r="AD221" s="334">
        <v>3285</v>
      </c>
      <c r="AE221" s="334">
        <v>44</v>
      </c>
      <c r="AF221" s="334">
        <v>10</v>
      </c>
      <c r="AG221" s="334">
        <v>54</v>
      </c>
    </row>
    <row r="222" spans="1:33" x14ac:dyDescent="0.25">
      <c r="A222" s="329" t="s">
        <v>498</v>
      </c>
      <c r="B222" s="335" t="s">
        <v>499</v>
      </c>
      <c r="C222" s="331">
        <v>2230</v>
      </c>
      <c r="D222" s="331">
        <v>4</v>
      </c>
      <c r="E222" s="331">
        <v>49</v>
      </c>
      <c r="F222" s="331">
        <v>236</v>
      </c>
      <c r="G222" s="331">
        <v>490</v>
      </c>
      <c r="H222" s="331">
        <v>3009</v>
      </c>
      <c r="I222" s="330">
        <v>2519</v>
      </c>
      <c r="J222" s="330">
        <v>19</v>
      </c>
      <c r="K222" s="332">
        <v>99.97</v>
      </c>
      <c r="L222" s="332">
        <v>101.51</v>
      </c>
      <c r="M222" s="332">
        <v>4.42</v>
      </c>
      <c r="N222" s="332">
        <v>103.17</v>
      </c>
      <c r="O222" s="333">
        <v>2036</v>
      </c>
      <c r="P222" s="330">
        <v>84.15</v>
      </c>
      <c r="Q222" s="330">
        <v>87.19</v>
      </c>
      <c r="R222" s="330">
        <v>33.43</v>
      </c>
      <c r="S222" s="330">
        <v>115.52</v>
      </c>
      <c r="T222" s="330">
        <v>195</v>
      </c>
      <c r="U222" s="330">
        <v>114.7</v>
      </c>
      <c r="V222" s="330">
        <v>151</v>
      </c>
      <c r="W222" s="330">
        <v>190.17</v>
      </c>
      <c r="X222" s="330">
        <v>65</v>
      </c>
      <c r="Y222" s="330">
        <v>0</v>
      </c>
      <c r="Z222" s="330">
        <v>3</v>
      </c>
      <c r="AA222" s="330">
        <v>13</v>
      </c>
      <c r="AB222" s="330">
        <v>40</v>
      </c>
      <c r="AC222" s="330">
        <v>26</v>
      </c>
      <c r="AD222" s="334">
        <v>2193</v>
      </c>
      <c r="AE222" s="334">
        <v>10</v>
      </c>
      <c r="AF222" s="334">
        <v>12</v>
      </c>
      <c r="AG222" s="334">
        <v>22</v>
      </c>
    </row>
    <row r="223" spans="1:33" x14ac:dyDescent="0.25">
      <c r="A223" s="329" t="s">
        <v>500</v>
      </c>
      <c r="B223" s="335" t="s">
        <v>501</v>
      </c>
      <c r="C223" s="331">
        <v>1175</v>
      </c>
      <c r="D223" s="331">
        <v>23</v>
      </c>
      <c r="E223" s="331">
        <v>65</v>
      </c>
      <c r="F223" s="331">
        <v>285</v>
      </c>
      <c r="G223" s="331">
        <v>291</v>
      </c>
      <c r="H223" s="331">
        <v>1839</v>
      </c>
      <c r="I223" s="330">
        <v>1548</v>
      </c>
      <c r="J223" s="330">
        <v>11</v>
      </c>
      <c r="K223" s="332">
        <v>126.82</v>
      </c>
      <c r="L223" s="332">
        <v>120.77</v>
      </c>
      <c r="M223" s="332">
        <v>8.07</v>
      </c>
      <c r="N223" s="332">
        <v>133.05000000000001</v>
      </c>
      <c r="O223" s="333">
        <v>906</v>
      </c>
      <c r="P223" s="330">
        <v>115.39</v>
      </c>
      <c r="Q223" s="330">
        <v>107.72</v>
      </c>
      <c r="R223" s="330">
        <v>24.9</v>
      </c>
      <c r="S223" s="330">
        <v>139.11000000000001</v>
      </c>
      <c r="T223" s="330">
        <v>315</v>
      </c>
      <c r="U223" s="330">
        <v>193.08</v>
      </c>
      <c r="V223" s="330">
        <v>132</v>
      </c>
      <c r="W223" s="330">
        <v>142.35</v>
      </c>
      <c r="X223" s="330">
        <v>31</v>
      </c>
      <c r="Y223" s="330">
        <v>79</v>
      </c>
      <c r="Z223" s="330">
        <v>0</v>
      </c>
      <c r="AA223" s="330">
        <v>0</v>
      </c>
      <c r="AB223" s="330">
        <v>67</v>
      </c>
      <c r="AC223" s="330">
        <v>7</v>
      </c>
      <c r="AD223" s="334">
        <v>1126</v>
      </c>
      <c r="AE223" s="334">
        <v>5</v>
      </c>
      <c r="AF223" s="334">
        <v>1</v>
      </c>
      <c r="AG223" s="334">
        <v>6</v>
      </c>
    </row>
    <row r="224" spans="1:33" x14ac:dyDescent="0.25">
      <c r="A224" s="329" t="s">
        <v>502</v>
      </c>
      <c r="B224" s="335" t="s">
        <v>503</v>
      </c>
      <c r="C224" s="331">
        <v>2691</v>
      </c>
      <c r="D224" s="331">
        <v>0</v>
      </c>
      <c r="E224" s="331">
        <v>76</v>
      </c>
      <c r="F224" s="331">
        <v>1379</v>
      </c>
      <c r="G224" s="331">
        <v>261</v>
      </c>
      <c r="H224" s="331">
        <v>4407</v>
      </c>
      <c r="I224" s="330">
        <v>4146</v>
      </c>
      <c r="J224" s="330">
        <v>1</v>
      </c>
      <c r="K224" s="332">
        <v>97.93</v>
      </c>
      <c r="L224" s="332">
        <v>103.46</v>
      </c>
      <c r="M224" s="332">
        <v>4.24</v>
      </c>
      <c r="N224" s="332">
        <v>99.38</v>
      </c>
      <c r="O224" s="333">
        <v>2531</v>
      </c>
      <c r="P224" s="330">
        <v>92.83</v>
      </c>
      <c r="Q224" s="330">
        <v>92.73</v>
      </c>
      <c r="R224" s="330">
        <v>13.96</v>
      </c>
      <c r="S224" s="330">
        <v>104.54</v>
      </c>
      <c r="T224" s="330">
        <v>1422</v>
      </c>
      <c r="U224" s="330">
        <v>108.49</v>
      </c>
      <c r="V224" s="330">
        <v>114</v>
      </c>
      <c r="W224" s="330">
        <v>181.38</v>
      </c>
      <c r="X224" s="330">
        <v>3</v>
      </c>
      <c r="Y224" s="330">
        <v>0</v>
      </c>
      <c r="Z224" s="330">
        <v>2</v>
      </c>
      <c r="AA224" s="330">
        <v>1</v>
      </c>
      <c r="AB224" s="330">
        <v>9</v>
      </c>
      <c r="AC224" s="330">
        <v>18</v>
      </c>
      <c r="AD224" s="334">
        <v>2679</v>
      </c>
      <c r="AE224" s="334">
        <v>8</v>
      </c>
      <c r="AF224" s="334">
        <v>11</v>
      </c>
      <c r="AG224" s="334">
        <v>19</v>
      </c>
    </row>
    <row r="225" spans="1:33" x14ac:dyDescent="0.25">
      <c r="A225" s="329" t="s">
        <v>504</v>
      </c>
      <c r="B225" s="335" t="s">
        <v>505</v>
      </c>
      <c r="C225" s="331">
        <v>5193</v>
      </c>
      <c r="D225" s="331">
        <v>0</v>
      </c>
      <c r="E225" s="331">
        <v>181</v>
      </c>
      <c r="F225" s="331">
        <v>720</v>
      </c>
      <c r="G225" s="331">
        <v>573</v>
      </c>
      <c r="H225" s="331">
        <v>6667</v>
      </c>
      <c r="I225" s="330">
        <v>6094</v>
      </c>
      <c r="J225" s="330">
        <v>7</v>
      </c>
      <c r="K225" s="332">
        <v>113.86</v>
      </c>
      <c r="L225" s="332">
        <v>113.64</v>
      </c>
      <c r="M225" s="332">
        <v>7.93</v>
      </c>
      <c r="N225" s="332">
        <v>118.49</v>
      </c>
      <c r="O225" s="333">
        <v>4449</v>
      </c>
      <c r="P225" s="330">
        <v>92.95</v>
      </c>
      <c r="Q225" s="330">
        <v>94.37</v>
      </c>
      <c r="R225" s="330">
        <v>33.5</v>
      </c>
      <c r="S225" s="330">
        <v>125.13</v>
      </c>
      <c r="T225" s="330">
        <v>885</v>
      </c>
      <c r="U225" s="330">
        <v>145.93</v>
      </c>
      <c r="V225" s="330">
        <v>626</v>
      </c>
      <c r="W225" s="330">
        <v>123.59</v>
      </c>
      <c r="X225" s="330">
        <v>16</v>
      </c>
      <c r="Y225" s="330">
        <v>0</v>
      </c>
      <c r="Z225" s="330">
        <v>40</v>
      </c>
      <c r="AA225" s="330">
        <v>1</v>
      </c>
      <c r="AB225" s="330">
        <v>17</v>
      </c>
      <c r="AC225" s="330">
        <v>27</v>
      </c>
      <c r="AD225" s="334">
        <v>5172</v>
      </c>
      <c r="AE225" s="334">
        <v>4</v>
      </c>
      <c r="AF225" s="334">
        <v>52</v>
      </c>
      <c r="AG225" s="334">
        <v>56</v>
      </c>
    </row>
    <row r="226" spans="1:33" x14ac:dyDescent="0.25">
      <c r="A226" s="329" t="s">
        <v>506</v>
      </c>
      <c r="B226" s="335" t="s">
        <v>507</v>
      </c>
      <c r="C226" s="331">
        <v>1236</v>
      </c>
      <c r="D226" s="331">
        <v>0</v>
      </c>
      <c r="E226" s="331">
        <v>34</v>
      </c>
      <c r="F226" s="331">
        <v>563</v>
      </c>
      <c r="G226" s="331">
        <v>165</v>
      </c>
      <c r="H226" s="331">
        <v>1998</v>
      </c>
      <c r="I226" s="330">
        <v>1833</v>
      </c>
      <c r="J226" s="330">
        <v>5</v>
      </c>
      <c r="K226" s="332">
        <v>93.54</v>
      </c>
      <c r="L226" s="332">
        <v>101.92</v>
      </c>
      <c r="M226" s="332">
        <v>5.77</v>
      </c>
      <c r="N226" s="332">
        <v>95.59</v>
      </c>
      <c r="O226" s="333">
        <v>1105</v>
      </c>
      <c r="P226" s="330">
        <v>83</v>
      </c>
      <c r="Q226" s="330">
        <v>90.36</v>
      </c>
      <c r="R226" s="330">
        <v>22.3</v>
      </c>
      <c r="S226" s="330">
        <v>92.46</v>
      </c>
      <c r="T226" s="330">
        <v>495</v>
      </c>
      <c r="U226" s="330">
        <v>109.01</v>
      </c>
      <c r="V226" s="330">
        <v>96</v>
      </c>
      <c r="W226" s="330">
        <v>0</v>
      </c>
      <c r="X226" s="330">
        <v>0</v>
      </c>
      <c r="Y226" s="330">
        <v>0</v>
      </c>
      <c r="Z226" s="330">
        <v>4</v>
      </c>
      <c r="AA226" s="330">
        <v>0</v>
      </c>
      <c r="AB226" s="330">
        <v>31</v>
      </c>
      <c r="AC226" s="330">
        <v>4</v>
      </c>
      <c r="AD226" s="334">
        <v>1222</v>
      </c>
      <c r="AE226" s="334">
        <v>7</v>
      </c>
      <c r="AF226" s="334">
        <v>8</v>
      </c>
      <c r="AG226" s="334">
        <v>15</v>
      </c>
    </row>
    <row r="227" spans="1:33" x14ac:dyDescent="0.25">
      <c r="A227" s="329" t="s">
        <v>508</v>
      </c>
      <c r="B227" s="335" t="s">
        <v>509</v>
      </c>
      <c r="C227" s="331">
        <v>2052</v>
      </c>
      <c r="D227" s="331">
        <v>6</v>
      </c>
      <c r="E227" s="331">
        <v>39</v>
      </c>
      <c r="F227" s="331">
        <v>1058</v>
      </c>
      <c r="G227" s="331">
        <v>47</v>
      </c>
      <c r="H227" s="331">
        <v>3202</v>
      </c>
      <c r="I227" s="330">
        <v>3155</v>
      </c>
      <c r="J227" s="330">
        <v>11</v>
      </c>
      <c r="K227" s="332">
        <v>94.63</v>
      </c>
      <c r="L227" s="332">
        <v>90.79</v>
      </c>
      <c r="M227" s="332">
        <v>5.37</v>
      </c>
      <c r="N227" s="332">
        <v>96.11</v>
      </c>
      <c r="O227" s="333">
        <v>1540</v>
      </c>
      <c r="P227" s="330">
        <v>84.85</v>
      </c>
      <c r="Q227" s="330">
        <v>80.31</v>
      </c>
      <c r="R227" s="330">
        <v>15.02</v>
      </c>
      <c r="S227" s="330">
        <v>96.1</v>
      </c>
      <c r="T227" s="330">
        <v>773</v>
      </c>
      <c r="U227" s="330">
        <v>102.87</v>
      </c>
      <c r="V227" s="330">
        <v>453</v>
      </c>
      <c r="W227" s="330">
        <v>94.57</v>
      </c>
      <c r="X227" s="330">
        <v>308</v>
      </c>
      <c r="Y227" s="330">
        <v>0</v>
      </c>
      <c r="Z227" s="330">
        <v>5</v>
      </c>
      <c r="AA227" s="330">
        <v>8</v>
      </c>
      <c r="AB227" s="330">
        <v>0</v>
      </c>
      <c r="AC227" s="330">
        <v>0</v>
      </c>
      <c r="AD227" s="334">
        <v>2034</v>
      </c>
      <c r="AE227" s="334">
        <v>9</v>
      </c>
      <c r="AF227" s="334">
        <v>6</v>
      </c>
      <c r="AG227" s="334">
        <v>15</v>
      </c>
    </row>
    <row r="228" spans="1:33" x14ac:dyDescent="0.25">
      <c r="A228" s="329" t="s">
        <v>510</v>
      </c>
      <c r="B228" s="335" t="s">
        <v>511</v>
      </c>
      <c r="C228" s="331">
        <v>27247</v>
      </c>
      <c r="D228" s="331">
        <v>0</v>
      </c>
      <c r="E228" s="331">
        <v>1485</v>
      </c>
      <c r="F228" s="331">
        <v>1368</v>
      </c>
      <c r="G228" s="331">
        <v>245</v>
      </c>
      <c r="H228" s="331">
        <v>30345</v>
      </c>
      <c r="I228" s="330">
        <v>30100</v>
      </c>
      <c r="J228" s="330">
        <v>1493</v>
      </c>
      <c r="K228" s="332">
        <v>79.69</v>
      </c>
      <c r="L228" s="332">
        <v>80.27</v>
      </c>
      <c r="M228" s="332">
        <v>7.81</v>
      </c>
      <c r="N228" s="332">
        <v>83.2</v>
      </c>
      <c r="O228" s="333">
        <v>25759</v>
      </c>
      <c r="P228" s="330">
        <v>79.41</v>
      </c>
      <c r="Q228" s="330">
        <v>73.36</v>
      </c>
      <c r="R228" s="330">
        <v>33.5</v>
      </c>
      <c r="S228" s="330">
        <v>111.48</v>
      </c>
      <c r="T228" s="330">
        <v>2570</v>
      </c>
      <c r="U228" s="330">
        <v>106.62</v>
      </c>
      <c r="V228" s="330">
        <v>1301</v>
      </c>
      <c r="W228" s="330">
        <v>180.07</v>
      </c>
      <c r="X228" s="330">
        <v>66</v>
      </c>
      <c r="Y228" s="330">
        <v>37</v>
      </c>
      <c r="Z228" s="330">
        <v>149</v>
      </c>
      <c r="AA228" s="330">
        <v>20</v>
      </c>
      <c r="AB228" s="330">
        <v>23</v>
      </c>
      <c r="AC228" s="330">
        <v>11</v>
      </c>
      <c r="AD228" s="334">
        <v>27140</v>
      </c>
      <c r="AE228" s="334">
        <v>134</v>
      </c>
      <c r="AF228" s="334">
        <v>268</v>
      </c>
      <c r="AG228" s="334">
        <v>402</v>
      </c>
    </row>
    <row r="229" spans="1:33" x14ac:dyDescent="0.25">
      <c r="A229" s="329" t="s">
        <v>512</v>
      </c>
      <c r="B229" s="335" t="s">
        <v>513</v>
      </c>
      <c r="C229" s="331">
        <v>5537</v>
      </c>
      <c r="D229" s="331">
        <v>2</v>
      </c>
      <c r="E229" s="331">
        <v>458</v>
      </c>
      <c r="F229" s="331">
        <v>1081</v>
      </c>
      <c r="G229" s="331">
        <v>598</v>
      </c>
      <c r="H229" s="331">
        <v>7676</v>
      </c>
      <c r="I229" s="330">
        <v>7078</v>
      </c>
      <c r="J229" s="330">
        <v>22</v>
      </c>
      <c r="K229" s="332">
        <v>91.29</v>
      </c>
      <c r="L229" s="332">
        <v>90.94</v>
      </c>
      <c r="M229" s="332">
        <v>6.73</v>
      </c>
      <c r="N229" s="332">
        <v>96.48</v>
      </c>
      <c r="O229" s="333">
        <v>4496</v>
      </c>
      <c r="P229" s="330">
        <v>85.96</v>
      </c>
      <c r="Q229" s="330">
        <v>85.07</v>
      </c>
      <c r="R229" s="330">
        <v>41.95</v>
      </c>
      <c r="S229" s="330">
        <v>126.72</v>
      </c>
      <c r="T229" s="330">
        <v>1169</v>
      </c>
      <c r="U229" s="330">
        <v>130.16999999999999</v>
      </c>
      <c r="V229" s="330">
        <v>695</v>
      </c>
      <c r="W229" s="330">
        <v>159.4</v>
      </c>
      <c r="X229" s="330">
        <v>180</v>
      </c>
      <c r="Y229" s="330">
        <v>0</v>
      </c>
      <c r="Z229" s="330">
        <v>2</v>
      </c>
      <c r="AA229" s="330">
        <v>1</v>
      </c>
      <c r="AB229" s="330">
        <v>17</v>
      </c>
      <c r="AC229" s="330">
        <v>20</v>
      </c>
      <c r="AD229" s="334">
        <v>5342</v>
      </c>
      <c r="AE229" s="334">
        <v>25</v>
      </c>
      <c r="AF229" s="334">
        <v>19</v>
      </c>
      <c r="AG229" s="334">
        <v>44</v>
      </c>
    </row>
    <row r="230" spans="1:33" x14ac:dyDescent="0.25">
      <c r="A230" s="329" t="s">
        <v>514</v>
      </c>
      <c r="B230" s="335" t="s">
        <v>515</v>
      </c>
      <c r="C230" s="331">
        <v>5884</v>
      </c>
      <c r="D230" s="331">
        <v>21</v>
      </c>
      <c r="E230" s="331">
        <v>136</v>
      </c>
      <c r="F230" s="331">
        <v>600</v>
      </c>
      <c r="G230" s="331">
        <v>271</v>
      </c>
      <c r="H230" s="331">
        <v>6912</v>
      </c>
      <c r="I230" s="330">
        <v>6641</v>
      </c>
      <c r="J230" s="330">
        <v>39</v>
      </c>
      <c r="K230" s="332">
        <v>86.24</v>
      </c>
      <c r="L230" s="332">
        <v>86.19</v>
      </c>
      <c r="M230" s="332">
        <v>2.96</v>
      </c>
      <c r="N230" s="332">
        <v>87.39</v>
      </c>
      <c r="O230" s="333">
        <v>5607</v>
      </c>
      <c r="P230" s="330">
        <v>86.21</v>
      </c>
      <c r="Q230" s="330">
        <v>84</v>
      </c>
      <c r="R230" s="330">
        <v>28.03</v>
      </c>
      <c r="S230" s="330">
        <v>113.65</v>
      </c>
      <c r="T230" s="330">
        <v>610</v>
      </c>
      <c r="U230" s="330">
        <v>106.79</v>
      </c>
      <c r="V230" s="330">
        <v>289</v>
      </c>
      <c r="W230" s="330">
        <v>159.58000000000001</v>
      </c>
      <c r="X230" s="330">
        <v>64</v>
      </c>
      <c r="Y230" s="330">
        <v>0</v>
      </c>
      <c r="Z230" s="330">
        <v>14</v>
      </c>
      <c r="AA230" s="330">
        <v>1</v>
      </c>
      <c r="AB230" s="330">
        <v>17</v>
      </c>
      <c r="AC230" s="330">
        <v>3</v>
      </c>
      <c r="AD230" s="334">
        <v>5866</v>
      </c>
      <c r="AE230" s="334">
        <v>37</v>
      </c>
      <c r="AF230" s="334">
        <v>40</v>
      </c>
      <c r="AG230" s="334">
        <v>77</v>
      </c>
    </row>
    <row r="231" spans="1:33" x14ac:dyDescent="0.25">
      <c r="A231" s="329" t="s">
        <v>516</v>
      </c>
      <c r="B231" s="335" t="s">
        <v>517</v>
      </c>
      <c r="C231" s="331">
        <v>2720</v>
      </c>
      <c r="D231" s="331">
        <v>28</v>
      </c>
      <c r="E231" s="331">
        <v>245</v>
      </c>
      <c r="F231" s="331">
        <v>102</v>
      </c>
      <c r="G231" s="331">
        <v>213</v>
      </c>
      <c r="H231" s="331">
        <v>3308</v>
      </c>
      <c r="I231" s="330">
        <v>3095</v>
      </c>
      <c r="J231" s="330">
        <v>0</v>
      </c>
      <c r="K231" s="332">
        <v>94.5</v>
      </c>
      <c r="L231" s="332">
        <v>92.06</v>
      </c>
      <c r="M231" s="332">
        <v>4.13</v>
      </c>
      <c r="N231" s="332">
        <v>97.92</v>
      </c>
      <c r="O231" s="333">
        <v>1595</v>
      </c>
      <c r="P231" s="330">
        <v>74.81</v>
      </c>
      <c r="Q231" s="330">
        <v>71.459999999999994</v>
      </c>
      <c r="R231" s="330">
        <v>40.85</v>
      </c>
      <c r="S231" s="330">
        <v>113.84</v>
      </c>
      <c r="T231" s="330">
        <v>202</v>
      </c>
      <c r="U231" s="330">
        <v>113.01</v>
      </c>
      <c r="V231" s="330">
        <v>387</v>
      </c>
      <c r="W231" s="330">
        <v>0</v>
      </c>
      <c r="X231" s="330">
        <v>0</v>
      </c>
      <c r="Y231" s="330">
        <v>0</v>
      </c>
      <c r="Z231" s="330">
        <v>0</v>
      </c>
      <c r="AA231" s="330">
        <v>1</v>
      </c>
      <c r="AB231" s="330">
        <v>4</v>
      </c>
      <c r="AC231" s="330">
        <v>3</v>
      </c>
      <c r="AD231" s="334">
        <v>1910</v>
      </c>
      <c r="AE231" s="334">
        <v>26</v>
      </c>
      <c r="AF231" s="334">
        <v>1</v>
      </c>
      <c r="AG231" s="334">
        <v>27</v>
      </c>
    </row>
    <row r="232" spans="1:33" x14ac:dyDescent="0.25">
      <c r="A232" s="329" t="s">
        <v>518</v>
      </c>
      <c r="B232" s="335" t="s">
        <v>519</v>
      </c>
      <c r="C232" s="331">
        <v>15543</v>
      </c>
      <c r="D232" s="331">
        <v>0</v>
      </c>
      <c r="E232" s="331">
        <v>1531</v>
      </c>
      <c r="F232" s="331">
        <v>1589</v>
      </c>
      <c r="G232" s="331">
        <v>578</v>
      </c>
      <c r="H232" s="331">
        <v>19241</v>
      </c>
      <c r="I232" s="330">
        <v>18663</v>
      </c>
      <c r="J232" s="330">
        <v>71</v>
      </c>
      <c r="K232" s="332">
        <v>88.95</v>
      </c>
      <c r="L232" s="332">
        <v>89.02</v>
      </c>
      <c r="M232" s="332">
        <v>8.83</v>
      </c>
      <c r="N232" s="332">
        <v>92.16</v>
      </c>
      <c r="O232" s="333">
        <v>14504</v>
      </c>
      <c r="P232" s="330">
        <v>80.84</v>
      </c>
      <c r="Q232" s="330">
        <v>79.23</v>
      </c>
      <c r="R232" s="330">
        <v>31.58</v>
      </c>
      <c r="S232" s="330">
        <v>112.01</v>
      </c>
      <c r="T232" s="330">
        <v>2896</v>
      </c>
      <c r="U232" s="330">
        <v>100.43</v>
      </c>
      <c r="V232" s="330">
        <v>604</v>
      </c>
      <c r="W232" s="330">
        <v>0</v>
      </c>
      <c r="X232" s="330">
        <v>0</v>
      </c>
      <c r="Y232" s="330">
        <v>0</v>
      </c>
      <c r="Z232" s="330">
        <v>47</v>
      </c>
      <c r="AA232" s="330">
        <v>65</v>
      </c>
      <c r="AB232" s="330">
        <v>4</v>
      </c>
      <c r="AC232" s="330">
        <v>5</v>
      </c>
      <c r="AD232" s="334">
        <v>15181</v>
      </c>
      <c r="AE232" s="334">
        <v>117</v>
      </c>
      <c r="AF232" s="334">
        <v>144</v>
      </c>
      <c r="AG232" s="334">
        <v>261</v>
      </c>
    </row>
    <row r="233" spans="1:33" x14ac:dyDescent="0.25">
      <c r="A233" s="329" t="s">
        <v>520</v>
      </c>
      <c r="B233" s="335" t="s">
        <v>521</v>
      </c>
      <c r="C233" s="331">
        <v>1355</v>
      </c>
      <c r="D233" s="331">
        <v>0</v>
      </c>
      <c r="E233" s="331">
        <v>46</v>
      </c>
      <c r="F233" s="331">
        <v>193</v>
      </c>
      <c r="G233" s="331">
        <v>219</v>
      </c>
      <c r="H233" s="331">
        <v>1813</v>
      </c>
      <c r="I233" s="330">
        <v>1594</v>
      </c>
      <c r="J233" s="330">
        <v>5</v>
      </c>
      <c r="K233" s="332">
        <v>91.93</v>
      </c>
      <c r="L233" s="332">
        <v>90.33</v>
      </c>
      <c r="M233" s="332">
        <v>5.76</v>
      </c>
      <c r="N233" s="332">
        <v>95.8</v>
      </c>
      <c r="O233" s="333">
        <v>1144</v>
      </c>
      <c r="P233" s="330">
        <v>105.14</v>
      </c>
      <c r="Q233" s="330">
        <v>92.75</v>
      </c>
      <c r="R233" s="330">
        <v>49.51</v>
      </c>
      <c r="S233" s="330">
        <v>154.22</v>
      </c>
      <c r="T233" s="330">
        <v>234</v>
      </c>
      <c r="U233" s="330">
        <v>98.74</v>
      </c>
      <c r="V233" s="330">
        <v>97</v>
      </c>
      <c r="W233" s="330">
        <v>0</v>
      </c>
      <c r="X233" s="330">
        <v>0</v>
      </c>
      <c r="Y233" s="330">
        <v>0</v>
      </c>
      <c r="Z233" s="330">
        <v>1</v>
      </c>
      <c r="AA233" s="330">
        <v>2</v>
      </c>
      <c r="AB233" s="330">
        <v>15</v>
      </c>
      <c r="AC233" s="330">
        <v>2</v>
      </c>
      <c r="AD233" s="334">
        <v>1335</v>
      </c>
      <c r="AE233" s="334">
        <v>6</v>
      </c>
      <c r="AF233" s="334">
        <v>6</v>
      </c>
      <c r="AG233" s="334">
        <v>12</v>
      </c>
    </row>
    <row r="234" spans="1:33" x14ac:dyDescent="0.25">
      <c r="A234" s="329" t="s">
        <v>522</v>
      </c>
      <c r="B234" s="335" t="s">
        <v>523</v>
      </c>
      <c r="C234" s="331">
        <v>5303</v>
      </c>
      <c r="D234" s="331">
        <v>8</v>
      </c>
      <c r="E234" s="331">
        <v>89</v>
      </c>
      <c r="F234" s="331">
        <v>1125</v>
      </c>
      <c r="G234" s="331">
        <v>710</v>
      </c>
      <c r="H234" s="331">
        <v>7235</v>
      </c>
      <c r="I234" s="330">
        <v>6525</v>
      </c>
      <c r="J234" s="330">
        <v>142</v>
      </c>
      <c r="K234" s="332">
        <v>108.96</v>
      </c>
      <c r="L234" s="332">
        <v>106.8</v>
      </c>
      <c r="M234" s="332">
        <v>3.69</v>
      </c>
      <c r="N234" s="332">
        <v>111.31</v>
      </c>
      <c r="O234" s="333">
        <v>5098</v>
      </c>
      <c r="P234" s="330">
        <v>92.14</v>
      </c>
      <c r="Q234" s="330">
        <v>88.04</v>
      </c>
      <c r="R234" s="330">
        <v>21.64</v>
      </c>
      <c r="S234" s="330">
        <v>113.2</v>
      </c>
      <c r="T234" s="330">
        <v>1016</v>
      </c>
      <c r="U234" s="330">
        <v>148.52000000000001</v>
      </c>
      <c r="V234" s="330">
        <v>173</v>
      </c>
      <c r="W234" s="330">
        <v>123.97</v>
      </c>
      <c r="X234" s="330">
        <v>41</v>
      </c>
      <c r="Y234" s="330">
        <v>0</v>
      </c>
      <c r="Z234" s="330">
        <v>8</v>
      </c>
      <c r="AA234" s="330">
        <v>1</v>
      </c>
      <c r="AB234" s="330">
        <v>34</v>
      </c>
      <c r="AC234" s="330">
        <v>21</v>
      </c>
      <c r="AD234" s="334">
        <v>5288</v>
      </c>
      <c r="AE234" s="334">
        <v>6</v>
      </c>
      <c r="AF234" s="334">
        <v>6</v>
      </c>
      <c r="AG234" s="334">
        <v>12</v>
      </c>
    </row>
    <row r="235" spans="1:33" x14ac:dyDescent="0.25">
      <c r="A235" s="329" t="s">
        <v>524</v>
      </c>
      <c r="B235" s="335" t="s">
        <v>525</v>
      </c>
      <c r="C235" s="331">
        <v>15199</v>
      </c>
      <c r="D235" s="331">
        <v>57</v>
      </c>
      <c r="E235" s="331">
        <v>1131</v>
      </c>
      <c r="F235" s="331">
        <v>1250</v>
      </c>
      <c r="G235" s="331">
        <v>420</v>
      </c>
      <c r="H235" s="331">
        <v>18057</v>
      </c>
      <c r="I235" s="330">
        <v>17637</v>
      </c>
      <c r="J235" s="330">
        <v>3</v>
      </c>
      <c r="K235" s="332">
        <v>81.44</v>
      </c>
      <c r="L235" s="332">
        <v>80.84</v>
      </c>
      <c r="M235" s="332">
        <v>8.19</v>
      </c>
      <c r="N235" s="332">
        <v>84.04</v>
      </c>
      <c r="O235" s="333">
        <v>13589</v>
      </c>
      <c r="P235" s="330">
        <v>85.03</v>
      </c>
      <c r="Q235" s="330">
        <v>79.2</v>
      </c>
      <c r="R235" s="330">
        <v>47.1</v>
      </c>
      <c r="S235" s="330">
        <v>127.34</v>
      </c>
      <c r="T235" s="330">
        <v>2163</v>
      </c>
      <c r="U235" s="330">
        <v>96.83</v>
      </c>
      <c r="V235" s="330">
        <v>1381</v>
      </c>
      <c r="W235" s="330">
        <v>0</v>
      </c>
      <c r="X235" s="330">
        <v>0</v>
      </c>
      <c r="Y235" s="330">
        <v>5</v>
      </c>
      <c r="Z235" s="330">
        <v>71</v>
      </c>
      <c r="AA235" s="330">
        <v>53</v>
      </c>
      <c r="AB235" s="330">
        <v>23</v>
      </c>
      <c r="AC235" s="330">
        <v>6</v>
      </c>
      <c r="AD235" s="334">
        <v>15085</v>
      </c>
      <c r="AE235" s="334">
        <v>76</v>
      </c>
      <c r="AF235" s="334">
        <v>50</v>
      </c>
      <c r="AG235" s="334">
        <v>126</v>
      </c>
    </row>
    <row r="236" spans="1:33" x14ac:dyDescent="0.25">
      <c r="A236" s="329" t="s">
        <v>526</v>
      </c>
      <c r="B236" s="335" t="s">
        <v>527</v>
      </c>
      <c r="C236" s="331">
        <v>11463</v>
      </c>
      <c r="D236" s="331">
        <v>24</v>
      </c>
      <c r="E236" s="331">
        <v>216</v>
      </c>
      <c r="F236" s="331">
        <v>2138</v>
      </c>
      <c r="G236" s="331">
        <v>590</v>
      </c>
      <c r="H236" s="331">
        <v>14431</v>
      </c>
      <c r="I236" s="330">
        <v>13841</v>
      </c>
      <c r="J236" s="330">
        <v>9</v>
      </c>
      <c r="K236" s="332">
        <v>90.55</v>
      </c>
      <c r="L236" s="332">
        <v>90.2</v>
      </c>
      <c r="M236" s="332">
        <v>3.19</v>
      </c>
      <c r="N236" s="332">
        <v>92.24</v>
      </c>
      <c r="O236" s="333">
        <v>9951</v>
      </c>
      <c r="P236" s="330">
        <v>84.86</v>
      </c>
      <c r="Q236" s="330">
        <v>82.15</v>
      </c>
      <c r="R236" s="330">
        <v>17.23</v>
      </c>
      <c r="S236" s="330">
        <v>97.75</v>
      </c>
      <c r="T236" s="330">
        <v>2247</v>
      </c>
      <c r="U236" s="330">
        <v>108.11</v>
      </c>
      <c r="V236" s="330">
        <v>946</v>
      </c>
      <c r="W236" s="330">
        <v>111.15</v>
      </c>
      <c r="X236" s="330">
        <v>11</v>
      </c>
      <c r="Y236" s="330">
        <v>0</v>
      </c>
      <c r="Z236" s="330">
        <v>29</v>
      </c>
      <c r="AA236" s="330">
        <v>13</v>
      </c>
      <c r="AB236" s="330">
        <v>19</v>
      </c>
      <c r="AC236" s="330">
        <v>16</v>
      </c>
      <c r="AD236" s="334">
        <v>11016</v>
      </c>
      <c r="AE236" s="334">
        <v>46</v>
      </c>
      <c r="AF236" s="334">
        <v>99</v>
      </c>
      <c r="AG236" s="334">
        <v>145</v>
      </c>
    </row>
    <row r="237" spans="1:33" x14ac:dyDescent="0.25">
      <c r="A237" s="329" t="s">
        <v>528</v>
      </c>
      <c r="B237" s="335" t="s">
        <v>529</v>
      </c>
      <c r="C237" s="331">
        <v>3509</v>
      </c>
      <c r="D237" s="331">
        <v>30</v>
      </c>
      <c r="E237" s="331">
        <v>370</v>
      </c>
      <c r="F237" s="331">
        <v>228</v>
      </c>
      <c r="G237" s="331">
        <v>525</v>
      </c>
      <c r="H237" s="331">
        <v>4662</v>
      </c>
      <c r="I237" s="330">
        <v>4137</v>
      </c>
      <c r="J237" s="330">
        <v>12</v>
      </c>
      <c r="K237" s="332">
        <v>123.44</v>
      </c>
      <c r="L237" s="332">
        <v>121.98</v>
      </c>
      <c r="M237" s="332">
        <v>7.47</v>
      </c>
      <c r="N237" s="332">
        <v>129.96</v>
      </c>
      <c r="O237" s="333">
        <v>3131</v>
      </c>
      <c r="P237" s="330">
        <v>102.36</v>
      </c>
      <c r="Q237" s="330">
        <v>97.81</v>
      </c>
      <c r="R237" s="330">
        <v>38.83</v>
      </c>
      <c r="S237" s="330">
        <v>139.52000000000001</v>
      </c>
      <c r="T237" s="330">
        <v>511</v>
      </c>
      <c r="U237" s="330">
        <v>146.21</v>
      </c>
      <c r="V237" s="330">
        <v>142</v>
      </c>
      <c r="W237" s="330">
        <v>0</v>
      </c>
      <c r="X237" s="330">
        <v>0</v>
      </c>
      <c r="Y237" s="330">
        <v>11</v>
      </c>
      <c r="Z237" s="330">
        <v>9</v>
      </c>
      <c r="AA237" s="330">
        <v>0</v>
      </c>
      <c r="AB237" s="330">
        <v>55</v>
      </c>
      <c r="AC237" s="330">
        <v>16</v>
      </c>
      <c r="AD237" s="334">
        <v>3334</v>
      </c>
      <c r="AE237" s="334">
        <v>9</v>
      </c>
      <c r="AF237" s="334">
        <v>5</v>
      </c>
      <c r="AG237" s="334">
        <v>14</v>
      </c>
    </row>
    <row r="238" spans="1:33" x14ac:dyDescent="0.25">
      <c r="A238" s="329" t="s">
        <v>530</v>
      </c>
      <c r="B238" s="335" t="s">
        <v>531</v>
      </c>
      <c r="C238" s="331">
        <v>2158</v>
      </c>
      <c r="D238" s="331">
        <v>0</v>
      </c>
      <c r="E238" s="331">
        <v>228</v>
      </c>
      <c r="F238" s="331">
        <v>510</v>
      </c>
      <c r="G238" s="331">
        <v>510</v>
      </c>
      <c r="H238" s="331">
        <v>3406</v>
      </c>
      <c r="I238" s="330">
        <v>2896</v>
      </c>
      <c r="J238" s="330">
        <v>2</v>
      </c>
      <c r="K238" s="332">
        <v>102.87</v>
      </c>
      <c r="L238" s="332">
        <v>101.94</v>
      </c>
      <c r="M238" s="332">
        <v>4.9800000000000004</v>
      </c>
      <c r="N238" s="332">
        <v>106.62</v>
      </c>
      <c r="O238" s="333">
        <v>1738</v>
      </c>
      <c r="P238" s="330">
        <v>90.32</v>
      </c>
      <c r="Q238" s="330">
        <v>87.84</v>
      </c>
      <c r="R238" s="330">
        <v>53.2</v>
      </c>
      <c r="S238" s="330">
        <v>132.55000000000001</v>
      </c>
      <c r="T238" s="330">
        <v>514</v>
      </c>
      <c r="U238" s="330">
        <v>111.19</v>
      </c>
      <c r="V238" s="330">
        <v>384</v>
      </c>
      <c r="W238" s="330">
        <v>189.5</v>
      </c>
      <c r="X238" s="330">
        <v>33</v>
      </c>
      <c r="Y238" s="330">
        <v>0</v>
      </c>
      <c r="Z238" s="330">
        <v>2</v>
      </c>
      <c r="AA238" s="330">
        <v>0</v>
      </c>
      <c r="AB238" s="330">
        <v>48</v>
      </c>
      <c r="AC238" s="330">
        <v>18</v>
      </c>
      <c r="AD238" s="334">
        <v>2140</v>
      </c>
      <c r="AE238" s="334">
        <v>9</v>
      </c>
      <c r="AF238" s="334">
        <v>4</v>
      </c>
      <c r="AG238" s="334">
        <v>13</v>
      </c>
    </row>
    <row r="239" spans="1:33" x14ac:dyDescent="0.25">
      <c r="A239" s="329" t="s">
        <v>532</v>
      </c>
      <c r="B239" s="335" t="s">
        <v>533</v>
      </c>
      <c r="C239" s="331">
        <v>3891</v>
      </c>
      <c r="D239" s="331">
        <v>8</v>
      </c>
      <c r="E239" s="331">
        <v>389</v>
      </c>
      <c r="F239" s="331">
        <v>810</v>
      </c>
      <c r="G239" s="331">
        <v>386</v>
      </c>
      <c r="H239" s="331">
        <v>5484</v>
      </c>
      <c r="I239" s="330">
        <v>5098</v>
      </c>
      <c r="J239" s="330">
        <v>0</v>
      </c>
      <c r="K239" s="332">
        <v>98.53</v>
      </c>
      <c r="L239" s="332">
        <v>97.15</v>
      </c>
      <c r="M239" s="332">
        <v>3.99</v>
      </c>
      <c r="N239" s="332">
        <v>101.66</v>
      </c>
      <c r="O239" s="333">
        <v>3241</v>
      </c>
      <c r="P239" s="330">
        <v>88.82</v>
      </c>
      <c r="Q239" s="330">
        <v>87.66</v>
      </c>
      <c r="R239" s="330">
        <v>30.8</v>
      </c>
      <c r="S239" s="330">
        <v>118.82</v>
      </c>
      <c r="T239" s="330">
        <v>1036</v>
      </c>
      <c r="U239" s="330">
        <v>120.01</v>
      </c>
      <c r="V239" s="330">
        <v>266</v>
      </c>
      <c r="W239" s="330">
        <v>94.25</v>
      </c>
      <c r="X239" s="330">
        <v>1</v>
      </c>
      <c r="Y239" s="330">
        <v>0</v>
      </c>
      <c r="Z239" s="330">
        <v>4</v>
      </c>
      <c r="AA239" s="330">
        <v>6</v>
      </c>
      <c r="AB239" s="330">
        <v>46</v>
      </c>
      <c r="AC239" s="330">
        <v>3</v>
      </c>
      <c r="AD239" s="334">
        <v>3545</v>
      </c>
      <c r="AE239" s="334">
        <v>23</v>
      </c>
      <c r="AF239" s="334">
        <v>24</v>
      </c>
      <c r="AG239" s="334">
        <v>47</v>
      </c>
    </row>
    <row r="240" spans="1:33" x14ac:dyDescent="0.25">
      <c r="A240" s="329" t="s">
        <v>534</v>
      </c>
      <c r="B240" s="335" t="s">
        <v>535</v>
      </c>
      <c r="C240" s="331">
        <v>2990</v>
      </c>
      <c r="D240" s="331">
        <v>0</v>
      </c>
      <c r="E240" s="331">
        <v>291</v>
      </c>
      <c r="F240" s="331">
        <v>198</v>
      </c>
      <c r="G240" s="331">
        <v>1176</v>
      </c>
      <c r="H240" s="331">
        <v>4655</v>
      </c>
      <c r="I240" s="330">
        <v>3479</v>
      </c>
      <c r="J240" s="330">
        <v>7</v>
      </c>
      <c r="K240" s="332">
        <v>113.81</v>
      </c>
      <c r="L240" s="332">
        <v>114.75</v>
      </c>
      <c r="M240" s="332">
        <v>3.15</v>
      </c>
      <c r="N240" s="332">
        <v>116.21</v>
      </c>
      <c r="O240" s="333">
        <v>2192</v>
      </c>
      <c r="P240" s="330">
        <v>97.42</v>
      </c>
      <c r="Q240" s="330">
        <v>98.21</v>
      </c>
      <c r="R240" s="330">
        <v>58.51</v>
      </c>
      <c r="S240" s="330">
        <v>154.94</v>
      </c>
      <c r="T240" s="330">
        <v>238</v>
      </c>
      <c r="U240" s="330">
        <v>149.47999999999999</v>
      </c>
      <c r="V240" s="330">
        <v>365</v>
      </c>
      <c r="W240" s="330">
        <v>172.02</v>
      </c>
      <c r="X240" s="330">
        <v>30</v>
      </c>
      <c r="Y240" s="330">
        <v>0</v>
      </c>
      <c r="Z240" s="330">
        <v>1</v>
      </c>
      <c r="AA240" s="330">
        <v>1</v>
      </c>
      <c r="AB240" s="330">
        <v>47</v>
      </c>
      <c r="AC240" s="330">
        <v>34</v>
      </c>
      <c r="AD240" s="334">
        <v>2715</v>
      </c>
      <c r="AE240" s="334">
        <v>6</v>
      </c>
      <c r="AF240" s="334">
        <v>0</v>
      </c>
      <c r="AG240" s="334">
        <v>6</v>
      </c>
    </row>
    <row r="241" spans="1:33" x14ac:dyDescent="0.25">
      <c r="A241" s="329" t="s">
        <v>536</v>
      </c>
      <c r="B241" s="335" t="s">
        <v>537</v>
      </c>
      <c r="C241" s="331">
        <v>906</v>
      </c>
      <c r="D241" s="331">
        <v>0</v>
      </c>
      <c r="E241" s="331">
        <v>116</v>
      </c>
      <c r="F241" s="331">
        <v>37</v>
      </c>
      <c r="G241" s="331">
        <v>161</v>
      </c>
      <c r="H241" s="331">
        <v>1220</v>
      </c>
      <c r="I241" s="330">
        <v>1059</v>
      </c>
      <c r="J241" s="330">
        <v>0</v>
      </c>
      <c r="K241" s="332">
        <v>95.5</v>
      </c>
      <c r="L241" s="332">
        <v>94.9</v>
      </c>
      <c r="M241" s="332">
        <v>4.24</v>
      </c>
      <c r="N241" s="332">
        <v>98.42</v>
      </c>
      <c r="O241" s="333">
        <v>835</v>
      </c>
      <c r="P241" s="330">
        <v>100.31</v>
      </c>
      <c r="Q241" s="330">
        <v>85.06</v>
      </c>
      <c r="R241" s="330">
        <v>55.67</v>
      </c>
      <c r="S241" s="330">
        <v>152.58000000000001</v>
      </c>
      <c r="T241" s="330">
        <v>131</v>
      </c>
      <c r="U241" s="330">
        <v>100.73</v>
      </c>
      <c r="V241" s="330">
        <v>118</v>
      </c>
      <c r="W241" s="330">
        <v>192.26</v>
      </c>
      <c r="X241" s="330">
        <v>18</v>
      </c>
      <c r="Y241" s="330">
        <v>0</v>
      </c>
      <c r="Z241" s="330">
        <v>2</v>
      </c>
      <c r="AA241" s="330">
        <v>0</v>
      </c>
      <c r="AB241" s="330">
        <v>18</v>
      </c>
      <c r="AC241" s="330">
        <v>5</v>
      </c>
      <c r="AD241" s="334">
        <v>897</v>
      </c>
      <c r="AE241" s="334">
        <v>27</v>
      </c>
      <c r="AF241" s="334">
        <v>4</v>
      </c>
      <c r="AG241" s="334">
        <v>31</v>
      </c>
    </row>
    <row r="242" spans="1:33" x14ac:dyDescent="0.25">
      <c r="A242" s="329" t="s">
        <v>538</v>
      </c>
      <c r="B242" s="335" t="s">
        <v>539</v>
      </c>
      <c r="C242" s="331">
        <v>9897</v>
      </c>
      <c r="D242" s="331">
        <v>0</v>
      </c>
      <c r="E242" s="331">
        <v>283</v>
      </c>
      <c r="F242" s="331">
        <v>1840</v>
      </c>
      <c r="G242" s="331">
        <v>541</v>
      </c>
      <c r="H242" s="331">
        <v>12561</v>
      </c>
      <c r="I242" s="330">
        <v>12020</v>
      </c>
      <c r="J242" s="330">
        <v>2</v>
      </c>
      <c r="K242" s="332">
        <v>98.7</v>
      </c>
      <c r="L242" s="332">
        <v>100.43</v>
      </c>
      <c r="M242" s="332">
        <v>4.2</v>
      </c>
      <c r="N242" s="332">
        <v>100.92</v>
      </c>
      <c r="O242" s="333">
        <v>9166</v>
      </c>
      <c r="P242" s="330">
        <v>86.38</v>
      </c>
      <c r="Q242" s="330">
        <v>84.74</v>
      </c>
      <c r="R242" s="330">
        <v>19.21</v>
      </c>
      <c r="S242" s="330">
        <v>104.52</v>
      </c>
      <c r="T242" s="330">
        <v>1948</v>
      </c>
      <c r="U242" s="330">
        <v>127.46</v>
      </c>
      <c r="V242" s="330">
        <v>332</v>
      </c>
      <c r="W242" s="330">
        <v>187.97</v>
      </c>
      <c r="X242" s="330">
        <v>81</v>
      </c>
      <c r="Y242" s="330">
        <v>39</v>
      </c>
      <c r="Z242" s="330">
        <v>28</v>
      </c>
      <c r="AA242" s="330">
        <v>2</v>
      </c>
      <c r="AB242" s="330">
        <v>83</v>
      </c>
      <c r="AC242" s="330">
        <v>7</v>
      </c>
      <c r="AD242" s="334">
        <v>9564</v>
      </c>
      <c r="AE242" s="334">
        <v>74</v>
      </c>
      <c r="AF242" s="334">
        <v>58</v>
      </c>
      <c r="AG242" s="334">
        <v>132</v>
      </c>
    </row>
    <row r="243" spans="1:33" x14ac:dyDescent="0.25">
      <c r="A243" s="329" t="s">
        <v>540</v>
      </c>
      <c r="B243" s="335" t="s">
        <v>541</v>
      </c>
      <c r="C243" s="331">
        <v>3499</v>
      </c>
      <c r="D243" s="331">
        <v>0</v>
      </c>
      <c r="E243" s="331">
        <v>67</v>
      </c>
      <c r="F243" s="331">
        <v>826</v>
      </c>
      <c r="G243" s="331">
        <v>414</v>
      </c>
      <c r="H243" s="331">
        <v>4806</v>
      </c>
      <c r="I243" s="330">
        <v>4392</v>
      </c>
      <c r="J243" s="330">
        <v>3</v>
      </c>
      <c r="K243" s="332">
        <v>96.39</v>
      </c>
      <c r="L243" s="332">
        <v>93.42</v>
      </c>
      <c r="M243" s="332">
        <v>2.37</v>
      </c>
      <c r="N243" s="332">
        <v>98.66</v>
      </c>
      <c r="O243" s="333">
        <v>3119</v>
      </c>
      <c r="P243" s="330">
        <v>83.11</v>
      </c>
      <c r="Q243" s="330">
        <v>77.569999999999993</v>
      </c>
      <c r="R243" s="330">
        <v>23.83</v>
      </c>
      <c r="S243" s="330">
        <v>106.51</v>
      </c>
      <c r="T243" s="330">
        <v>779</v>
      </c>
      <c r="U243" s="330">
        <v>122.92</v>
      </c>
      <c r="V243" s="330">
        <v>179</v>
      </c>
      <c r="W243" s="330">
        <v>99.13</v>
      </c>
      <c r="X243" s="330">
        <v>4</v>
      </c>
      <c r="Y243" s="330">
        <v>6</v>
      </c>
      <c r="Z243" s="330">
        <v>6</v>
      </c>
      <c r="AA243" s="330">
        <v>4</v>
      </c>
      <c r="AB243" s="330">
        <v>22</v>
      </c>
      <c r="AC243" s="330">
        <v>11</v>
      </c>
      <c r="AD243" s="334">
        <v>3305</v>
      </c>
      <c r="AE243" s="334">
        <v>2</v>
      </c>
      <c r="AF243" s="334">
        <v>15</v>
      </c>
      <c r="AG243" s="334">
        <v>17</v>
      </c>
    </row>
    <row r="244" spans="1:33" x14ac:dyDescent="0.25">
      <c r="A244" s="329" t="s">
        <v>542</v>
      </c>
      <c r="B244" s="335" t="s">
        <v>543</v>
      </c>
      <c r="C244" s="331">
        <v>935</v>
      </c>
      <c r="D244" s="331">
        <v>0</v>
      </c>
      <c r="E244" s="331">
        <v>83</v>
      </c>
      <c r="F244" s="331">
        <v>0</v>
      </c>
      <c r="G244" s="331">
        <v>203</v>
      </c>
      <c r="H244" s="331">
        <v>1221</v>
      </c>
      <c r="I244" s="330">
        <v>1018</v>
      </c>
      <c r="J244" s="330">
        <v>0</v>
      </c>
      <c r="K244" s="332">
        <v>87.4</v>
      </c>
      <c r="L244" s="332">
        <v>88.67</v>
      </c>
      <c r="M244" s="332">
        <v>3.98</v>
      </c>
      <c r="N244" s="332">
        <v>90.58</v>
      </c>
      <c r="O244" s="333">
        <v>755</v>
      </c>
      <c r="P244" s="330">
        <v>110.97</v>
      </c>
      <c r="Q244" s="330">
        <v>60.76</v>
      </c>
      <c r="R244" s="330">
        <v>25.28</v>
      </c>
      <c r="S244" s="330">
        <v>136.25</v>
      </c>
      <c r="T244" s="330">
        <v>35</v>
      </c>
      <c r="U244" s="330">
        <v>108.66</v>
      </c>
      <c r="V244" s="330">
        <v>95</v>
      </c>
      <c r="W244" s="330">
        <v>0</v>
      </c>
      <c r="X244" s="330">
        <v>0</v>
      </c>
      <c r="Y244" s="330">
        <v>29</v>
      </c>
      <c r="Z244" s="330">
        <v>0</v>
      </c>
      <c r="AA244" s="330">
        <v>1</v>
      </c>
      <c r="AB244" s="330">
        <v>7</v>
      </c>
      <c r="AC244" s="330">
        <v>5</v>
      </c>
      <c r="AD244" s="334">
        <v>870</v>
      </c>
      <c r="AE244" s="334">
        <v>0</v>
      </c>
      <c r="AF244" s="334">
        <v>37</v>
      </c>
      <c r="AG244" s="334">
        <v>37</v>
      </c>
    </row>
    <row r="245" spans="1:33" x14ac:dyDescent="0.25">
      <c r="A245" s="329" t="s">
        <v>544</v>
      </c>
      <c r="B245" s="335" t="s">
        <v>545</v>
      </c>
      <c r="C245" s="331">
        <v>1557</v>
      </c>
      <c r="D245" s="331">
        <v>0</v>
      </c>
      <c r="E245" s="331">
        <v>186</v>
      </c>
      <c r="F245" s="331">
        <v>352</v>
      </c>
      <c r="G245" s="331">
        <v>440</v>
      </c>
      <c r="H245" s="331">
        <v>2535</v>
      </c>
      <c r="I245" s="330">
        <v>2095</v>
      </c>
      <c r="J245" s="330">
        <v>14</v>
      </c>
      <c r="K245" s="332">
        <v>90.16</v>
      </c>
      <c r="L245" s="332">
        <v>90.17</v>
      </c>
      <c r="M245" s="332">
        <v>5.2</v>
      </c>
      <c r="N245" s="332">
        <v>94.57</v>
      </c>
      <c r="O245" s="333">
        <v>1247</v>
      </c>
      <c r="P245" s="330">
        <v>95.32</v>
      </c>
      <c r="Q245" s="330">
        <v>74.05</v>
      </c>
      <c r="R245" s="330">
        <v>43.63</v>
      </c>
      <c r="S245" s="330">
        <v>133.63999999999999</v>
      </c>
      <c r="T245" s="330">
        <v>387</v>
      </c>
      <c r="U245" s="330">
        <v>103.62</v>
      </c>
      <c r="V245" s="330">
        <v>106</v>
      </c>
      <c r="W245" s="330">
        <v>113.13</v>
      </c>
      <c r="X245" s="330">
        <v>21</v>
      </c>
      <c r="Y245" s="330">
        <v>0</v>
      </c>
      <c r="Z245" s="330">
        <v>0</v>
      </c>
      <c r="AA245" s="330">
        <v>2</v>
      </c>
      <c r="AB245" s="330">
        <v>25</v>
      </c>
      <c r="AC245" s="330">
        <v>10</v>
      </c>
      <c r="AD245" s="334">
        <v>1502</v>
      </c>
      <c r="AE245" s="334">
        <v>3</v>
      </c>
      <c r="AF245" s="334">
        <v>1</v>
      </c>
      <c r="AG245" s="334">
        <v>4</v>
      </c>
    </row>
    <row r="246" spans="1:33" x14ac:dyDescent="0.25">
      <c r="A246" s="329" t="s">
        <v>546</v>
      </c>
      <c r="B246" s="335" t="s">
        <v>547</v>
      </c>
      <c r="C246" s="331">
        <v>3791</v>
      </c>
      <c r="D246" s="331">
        <v>66</v>
      </c>
      <c r="E246" s="331">
        <v>195</v>
      </c>
      <c r="F246" s="331">
        <v>613</v>
      </c>
      <c r="G246" s="331">
        <v>109</v>
      </c>
      <c r="H246" s="331">
        <v>4774</v>
      </c>
      <c r="I246" s="330">
        <v>4665</v>
      </c>
      <c r="J246" s="330">
        <v>124</v>
      </c>
      <c r="K246" s="332">
        <v>93.81</v>
      </c>
      <c r="L246" s="332">
        <v>94.86</v>
      </c>
      <c r="M246" s="332">
        <v>4.7699999999999996</v>
      </c>
      <c r="N246" s="332">
        <v>95</v>
      </c>
      <c r="O246" s="333">
        <v>3594</v>
      </c>
      <c r="P246" s="330">
        <v>79.92</v>
      </c>
      <c r="Q246" s="330">
        <v>83.35</v>
      </c>
      <c r="R246" s="330">
        <v>38.549999999999997</v>
      </c>
      <c r="S246" s="330">
        <v>116.59</v>
      </c>
      <c r="T246" s="330">
        <v>696</v>
      </c>
      <c r="U246" s="330">
        <v>115.77</v>
      </c>
      <c r="V246" s="330">
        <v>226</v>
      </c>
      <c r="W246" s="330">
        <v>204.66</v>
      </c>
      <c r="X246" s="330">
        <v>8</v>
      </c>
      <c r="Y246" s="330">
        <v>0</v>
      </c>
      <c r="Z246" s="330">
        <v>40</v>
      </c>
      <c r="AA246" s="330">
        <v>13</v>
      </c>
      <c r="AB246" s="330">
        <v>0</v>
      </c>
      <c r="AC246" s="330">
        <v>1</v>
      </c>
      <c r="AD246" s="334">
        <v>3756</v>
      </c>
      <c r="AE246" s="334">
        <v>21</v>
      </c>
      <c r="AF246" s="334">
        <v>6</v>
      </c>
      <c r="AG246" s="334">
        <v>27</v>
      </c>
    </row>
    <row r="247" spans="1:33" x14ac:dyDescent="0.25">
      <c r="A247" s="329" t="s">
        <v>548</v>
      </c>
      <c r="B247" s="335" t="s">
        <v>549</v>
      </c>
      <c r="C247" s="331">
        <v>5703</v>
      </c>
      <c r="D247" s="331">
        <v>0</v>
      </c>
      <c r="E247" s="331">
        <v>209</v>
      </c>
      <c r="F247" s="331">
        <v>926</v>
      </c>
      <c r="G247" s="331">
        <v>494</v>
      </c>
      <c r="H247" s="331">
        <v>7332</v>
      </c>
      <c r="I247" s="330">
        <v>6838</v>
      </c>
      <c r="J247" s="330">
        <v>9</v>
      </c>
      <c r="K247" s="332">
        <v>90.3</v>
      </c>
      <c r="L247" s="332">
        <v>92.13</v>
      </c>
      <c r="M247" s="332">
        <v>4.6399999999999997</v>
      </c>
      <c r="N247" s="332">
        <v>91.39</v>
      </c>
      <c r="O247" s="333">
        <v>4741</v>
      </c>
      <c r="P247" s="330">
        <v>87.46</v>
      </c>
      <c r="Q247" s="330">
        <v>82.38</v>
      </c>
      <c r="R247" s="330">
        <v>28.76</v>
      </c>
      <c r="S247" s="330">
        <v>116.22</v>
      </c>
      <c r="T247" s="330">
        <v>1104</v>
      </c>
      <c r="U247" s="330">
        <v>113.54</v>
      </c>
      <c r="V247" s="330">
        <v>873</v>
      </c>
      <c r="W247" s="330">
        <v>0</v>
      </c>
      <c r="X247" s="330">
        <v>0</v>
      </c>
      <c r="Y247" s="330">
        <v>0</v>
      </c>
      <c r="Z247" s="330">
        <v>10</v>
      </c>
      <c r="AA247" s="330">
        <v>5</v>
      </c>
      <c r="AB247" s="330">
        <v>2</v>
      </c>
      <c r="AC247" s="330">
        <v>16</v>
      </c>
      <c r="AD247" s="334">
        <v>5703</v>
      </c>
      <c r="AE247" s="334">
        <v>15</v>
      </c>
      <c r="AF247" s="334">
        <v>21</v>
      </c>
      <c r="AG247" s="334">
        <v>36</v>
      </c>
    </row>
    <row r="248" spans="1:33" x14ac:dyDescent="0.25">
      <c r="A248" s="329" t="s">
        <v>550</v>
      </c>
      <c r="B248" s="335" t="s">
        <v>551</v>
      </c>
      <c r="C248" s="331">
        <v>5615</v>
      </c>
      <c r="D248" s="331">
        <v>0</v>
      </c>
      <c r="E248" s="331">
        <v>183</v>
      </c>
      <c r="F248" s="331">
        <v>914</v>
      </c>
      <c r="G248" s="331">
        <v>565</v>
      </c>
      <c r="H248" s="331">
        <v>7277</v>
      </c>
      <c r="I248" s="330">
        <v>6712</v>
      </c>
      <c r="J248" s="330">
        <v>0</v>
      </c>
      <c r="K248" s="332">
        <v>113.36</v>
      </c>
      <c r="L248" s="332">
        <v>113.03</v>
      </c>
      <c r="M248" s="332">
        <v>4.26</v>
      </c>
      <c r="N248" s="332">
        <v>114.71</v>
      </c>
      <c r="O248" s="333">
        <v>5217</v>
      </c>
      <c r="P248" s="330">
        <v>94.11</v>
      </c>
      <c r="Q248" s="330">
        <v>90.8</v>
      </c>
      <c r="R248" s="330">
        <v>20.059999999999999</v>
      </c>
      <c r="S248" s="330">
        <v>111.67</v>
      </c>
      <c r="T248" s="330">
        <v>932</v>
      </c>
      <c r="U248" s="330">
        <v>159.19999999999999</v>
      </c>
      <c r="V248" s="330">
        <v>245</v>
      </c>
      <c r="W248" s="330">
        <v>165.4</v>
      </c>
      <c r="X248" s="330">
        <v>38</v>
      </c>
      <c r="Y248" s="330">
        <v>0</v>
      </c>
      <c r="Z248" s="330">
        <v>4</v>
      </c>
      <c r="AA248" s="330">
        <v>10</v>
      </c>
      <c r="AB248" s="330">
        <v>60</v>
      </c>
      <c r="AC248" s="330">
        <v>19</v>
      </c>
      <c r="AD248" s="334">
        <v>5500</v>
      </c>
      <c r="AE248" s="334">
        <v>26</v>
      </c>
      <c r="AF248" s="334">
        <v>17</v>
      </c>
      <c r="AG248" s="334">
        <v>43</v>
      </c>
    </row>
    <row r="249" spans="1:33" x14ac:dyDescent="0.25">
      <c r="A249" s="329" t="s">
        <v>552</v>
      </c>
      <c r="B249" s="335" t="s">
        <v>553</v>
      </c>
      <c r="C249" s="331">
        <v>3798</v>
      </c>
      <c r="D249" s="331">
        <v>6</v>
      </c>
      <c r="E249" s="331">
        <v>195</v>
      </c>
      <c r="F249" s="331">
        <v>1123</v>
      </c>
      <c r="G249" s="331">
        <v>256</v>
      </c>
      <c r="H249" s="331">
        <v>5378</v>
      </c>
      <c r="I249" s="330">
        <v>5122</v>
      </c>
      <c r="J249" s="330">
        <v>85</v>
      </c>
      <c r="K249" s="332">
        <v>89.5</v>
      </c>
      <c r="L249" s="332">
        <v>89.94</v>
      </c>
      <c r="M249" s="332">
        <v>2.72</v>
      </c>
      <c r="N249" s="332">
        <v>92.12</v>
      </c>
      <c r="O249" s="333">
        <v>3550</v>
      </c>
      <c r="P249" s="330">
        <v>87.74</v>
      </c>
      <c r="Q249" s="330">
        <v>81.31</v>
      </c>
      <c r="R249" s="330">
        <v>23.35</v>
      </c>
      <c r="S249" s="330">
        <v>111.03</v>
      </c>
      <c r="T249" s="330">
        <v>1291</v>
      </c>
      <c r="U249" s="330">
        <v>102.58</v>
      </c>
      <c r="V249" s="330">
        <v>243</v>
      </c>
      <c r="W249" s="330">
        <v>76</v>
      </c>
      <c r="X249" s="330">
        <v>1</v>
      </c>
      <c r="Y249" s="330">
        <v>0</v>
      </c>
      <c r="Z249" s="330">
        <v>4</v>
      </c>
      <c r="AA249" s="330">
        <v>1</v>
      </c>
      <c r="AB249" s="330">
        <v>11</v>
      </c>
      <c r="AC249" s="330">
        <v>4</v>
      </c>
      <c r="AD249" s="334">
        <v>3798</v>
      </c>
      <c r="AE249" s="334">
        <v>21</v>
      </c>
      <c r="AF249" s="334">
        <v>4</v>
      </c>
      <c r="AG249" s="334">
        <v>25</v>
      </c>
    </row>
    <row r="250" spans="1:33" x14ac:dyDescent="0.25">
      <c r="A250" s="329" t="s">
        <v>554</v>
      </c>
      <c r="B250" s="335" t="s">
        <v>555</v>
      </c>
      <c r="C250" s="331">
        <v>9029</v>
      </c>
      <c r="D250" s="331">
        <v>22</v>
      </c>
      <c r="E250" s="331">
        <v>331</v>
      </c>
      <c r="F250" s="331">
        <v>1702</v>
      </c>
      <c r="G250" s="331">
        <v>588</v>
      </c>
      <c r="H250" s="331">
        <v>11672</v>
      </c>
      <c r="I250" s="330">
        <v>11084</v>
      </c>
      <c r="J250" s="330">
        <v>1</v>
      </c>
      <c r="K250" s="332">
        <v>94.56</v>
      </c>
      <c r="L250" s="332">
        <v>90.6</v>
      </c>
      <c r="M250" s="332">
        <v>4.33</v>
      </c>
      <c r="N250" s="332">
        <v>95.86</v>
      </c>
      <c r="O250" s="333">
        <v>8300</v>
      </c>
      <c r="P250" s="330">
        <v>85.93</v>
      </c>
      <c r="Q250" s="330">
        <v>78.7</v>
      </c>
      <c r="R250" s="330">
        <v>28.36</v>
      </c>
      <c r="S250" s="330">
        <v>113.91</v>
      </c>
      <c r="T250" s="330">
        <v>2009</v>
      </c>
      <c r="U250" s="330">
        <v>114.13</v>
      </c>
      <c r="V250" s="330">
        <v>435</v>
      </c>
      <c r="W250" s="330">
        <v>111.03</v>
      </c>
      <c r="X250" s="330">
        <v>15</v>
      </c>
      <c r="Y250" s="330">
        <v>1</v>
      </c>
      <c r="Z250" s="330">
        <v>23</v>
      </c>
      <c r="AA250" s="330">
        <v>25</v>
      </c>
      <c r="AB250" s="330">
        <v>27</v>
      </c>
      <c r="AC250" s="330">
        <v>12</v>
      </c>
      <c r="AD250" s="334">
        <v>8930</v>
      </c>
      <c r="AE250" s="334">
        <v>40</v>
      </c>
      <c r="AF250" s="334">
        <v>33</v>
      </c>
      <c r="AG250" s="334">
        <v>73</v>
      </c>
    </row>
    <row r="251" spans="1:33" x14ac:dyDescent="0.25">
      <c r="A251" s="329" t="s">
        <v>556</v>
      </c>
      <c r="B251" s="335" t="s">
        <v>557</v>
      </c>
      <c r="C251" s="331">
        <v>4354</v>
      </c>
      <c r="D251" s="331">
        <v>0</v>
      </c>
      <c r="E251" s="331">
        <v>798</v>
      </c>
      <c r="F251" s="331">
        <v>1373</v>
      </c>
      <c r="G251" s="331">
        <v>209</v>
      </c>
      <c r="H251" s="331">
        <v>6734</v>
      </c>
      <c r="I251" s="330">
        <v>6525</v>
      </c>
      <c r="J251" s="330">
        <v>4</v>
      </c>
      <c r="K251" s="332">
        <v>90.74</v>
      </c>
      <c r="L251" s="332">
        <v>89.95</v>
      </c>
      <c r="M251" s="332">
        <v>2.5099999999999998</v>
      </c>
      <c r="N251" s="332">
        <v>91.57</v>
      </c>
      <c r="O251" s="333">
        <v>4292</v>
      </c>
      <c r="P251" s="330">
        <v>85.86</v>
      </c>
      <c r="Q251" s="330">
        <v>85.44</v>
      </c>
      <c r="R251" s="330">
        <v>22.44</v>
      </c>
      <c r="S251" s="330">
        <v>94.76</v>
      </c>
      <c r="T251" s="330">
        <v>2055</v>
      </c>
      <c r="U251" s="330">
        <v>108.21</v>
      </c>
      <c r="V251" s="330">
        <v>47</v>
      </c>
      <c r="W251" s="330">
        <v>152.59</v>
      </c>
      <c r="X251" s="330">
        <v>108</v>
      </c>
      <c r="Y251" s="330">
        <v>0</v>
      </c>
      <c r="Z251" s="330">
        <v>24</v>
      </c>
      <c r="AA251" s="330">
        <v>4</v>
      </c>
      <c r="AB251" s="330">
        <v>12</v>
      </c>
      <c r="AC251" s="330">
        <v>0</v>
      </c>
      <c r="AD251" s="334">
        <v>4354</v>
      </c>
      <c r="AE251" s="334">
        <v>16</v>
      </c>
      <c r="AF251" s="334">
        <v>6</v>
      </c>
      <c r="AG251" s="334">
        <v>22</v>
      </c>
    </row>
    <row r="252" spans="1:33" x14ac:dyDescent="0.25">
      <c r="A252" s="329" t="s">
        <v>558</v>
      </c>
      <c r="B252" s="335" t="s">
        <v>559</v>
      </c>
      <c r="C252" s="331">
        <v>3617</v>
      </c>
      <c r="D252" s="331">
        <v>6</v>
      </c>
      <c r="E252" s="331">
        <v>378</v>
      </c>
      <c r="F252" s="331">
        <v>754</v>
      </c>
      <c r="G252" s="331">
        <v>238</v>
      </c>
      <c r="H252" s="331">
        <v>4993</v>
      </c>
      <c r="I252" s="330">
        <v>4755</v>
      </c>
      <c r="J252" s="330">
        <v>79</v>
      </c>
      <c r="K252" s="332">
        <v>81.53</v>
      </c>
      <c r="L252" s="332">
        <v>82.9</v>
      </c>
      <c r="M252" s="332">
        <v>3.62</v>
      </c>
      <c r="N252" s="332">
        <v>83.99</v>
      </c>
      <c r="O252" s="333">
        <v>3179</v>
      </c>
      <c r="P252" s="330">
        <v>83.23</v>
      </c>
      <c r="Q252" s="330">
        <v>77.09</v>
      </c>
      <c r="R252" s="330">
        <v>45.34</v>
      </c>
      <c r="S252" s="330">
        <v>127.45</v>
      </c>
      <c r="T252" s="330">
        <v>973</v>
      </c>
      <c r="U252" s="330">
        <v>96.91</v>
      </c>
      <c r="V252" s="330">
        <v>352</v>
      </c>
      <c r="W252" s="330">
        <v>107.9</v>
      </c>
      <c r="X252" s="330">
        <v>84</v>
      </c>
      <c r="Y252" s="330">
        <v>0</v>
      </c>
      <c r="Z252" s="330">
        <v>3</v>
      </c>
      <c r="AA252" s="330">
        <v>5</v>
      </c>
      <c r="AB252" s="330">
        <v>0</v>
      </c>
      <c r="AC252" s="330">
        <v>3</v>
      </c>
      <c r="AD252" s="334">
        <v>3513</v>
      </c>
      <c r="AE252" s="334">
        <v>58</v>
      </c>
      <c r="AF252" s="334">
        <v>20</v>
      </c>
      <c r="AG252" s="334">
        <v>78</v>
      </c>
    </row>
    <row r="253" spans="1:33" x14ac:dyDescent="0.25">
      <c r="A253" s="329" t="s">
        <v>560</v>
      </c>
      <c r="B253" s="335" t="s">
        <v>561</v>
      </c>
      <c r="C253" s="331">
        <v>5653</v>
      </c>
      <c r="D253" s="331">
        <v>31</v>
      </c>
      <c r="E253" s="331">
        <v>942</v>
      </c>
      <c r="F253" s="331">
        <v>1022</v>
      </c>
      <c r="G253" s="331">
        <v>970</v>
      </c>
      <c r="H253" s="331">
        <v>8618</v>
      </c>
      <c r="I253" s="330">
        <v>7648</v>
      </c>
      <c r="J253" s="330">
        <v>3</v>
      </c>
      <c r="K253" s="332">
        <v>108.04</v>
      </c>
      <c r="L253" s="332">
        <v>107.5</v>
      </c>
      <c r="M253" s="332">
        <v>6.34</v>
      </c>
      <c r="N253" s="332">
        <v>113.72</v>
      </c>
      <c r="O253" s="333">
        <v>4534</v>
      </c>
      <c r="P253" s="330">
        <v>93.19</v>
      </c>
      <c r="Q253" s="330">
        <v>89.24</v>
      </c>
      <c r="R253" s="330">
        <v>35.31</v>
      </c>
      <c r="S253" s="330">
        <v>126.3</v>
      </c>
      <c r="T253" s="330">
        <v>1729</v>
      </c>
      <c r="U253" s="330">
        <v>143.22</v>
      </c>
      <c r="V253" s="330">
        <v>668</v>
      </c>
      <c r="W253" s="330">
        <v>0</v>
      </c>
      <c r="X253" s="330">
        <v>0</v>
      </c>
      <c r="Y253" s="330">
        <v>92</v>
      </c>
      <c r="Z253" s="330">
        <v>62</v>
      </c>
      <c r="AA253" s="330">
        <v>45</v>
      </c>
      <c r="AB253" s="330">
        <v>63</v>
      </c>
      <c r="AC253" s="330">
        <v>54</v>
      </c>
      <c r="AD253" s="334">
        <v>5534</v>
      </c>
      <c r="AE253" s="334">
        <v>43</v>
      </c>
      <c r="AF253" s="334">
        <v>37</v>
      </c>
      <c r="AG253" s="334">
        <v>80</v>
      </c>
    </row>
    <row r="254" spans="1:33" x14ac:dyDescent="0.25">
      <c r="A254" s="329" t="s">
        <v>562</v>
      </c>
      <c r="B254" s="335" t="s">
        <v>563</v>
      </c>
      <c r="C254" s="331">
        <v>2699</v>
      </c>
      <c r="D254" s="331">
        <v>0</v>
      </c>
      <c r="E254" s="331">
        <v>408</v>
      </c>
      <c r="F254" s="331">
        <v>325</v>
      </c>
      <c r="G254" s="331">
        <v>268</v>
      </c>
      <c r="H254" s="331">
        <v>3700</v>
      </c>
      <c r="I254" s="330">
        <v>3432</v>
      </c>
      <c r="J254" s="330">
        <v>2</v>
      </c>
      <c r="K254" s="332">
        <v>99.6</v>
      </c>
      <c r="L254" s="332">
        <v>97.98</v>
      </c>
      <c r="M254" s="332">
        <v>11.04</v>
      </c>
      <c r="N254" s="332">
        <v>108.55</v>
      </c>
      <c r="O254" s="333">
        <v>2471</v>
      </c>
      <c r="P254" s="330">
        <v>90.56</v>
      </c>
      <c r="Q254" s="330">
        <v>88.69</v>
      </c>
      <c r="R254" s="330">
        <v>55.68</v>
      </c>
      <c r="S254" s="330">
        <v>144.68</v>
      </c>
      <c r="T254" s="330">
        <v>502</v>
      </c>
      <c r="U254" s="330">
        <v>153.13999999999999</v>
      </c>
      <c r="V254" s="330">
        <v>212</v>
      </c>
      <c r="W254" s="330">
        <v>0</v>
      </c>
      <c r="X254" s="330">
        <v>0</v>
      </c>
      <c r="Y254" s="330">
        <v>11</v>
      </c>
      <c r="Z254" s="330">
        <v>1</v>
      </c>
      <c r="AA254" s="330">
        <v>17</v>
      </c>
      <c r="AB254" s="330">
        <v>2</v>
      </c>
      <c r="AC254" s="330">
        <v>9</v>
      </c>
      <c r="AD254" s="334">
        <v>2699</v>
      </c>
      <c r="AE254" s="334">
        <v>14</v>
      </c>
      <c r="AF254" s="334">
        <v>3</v>
      </c>
      <c r="AG254" s="334">
        <v>17</v>
      </c>
    </row>
    <row r="255" spans="1:33" x14ac:dyDescent="0.25">
      <c r="A255" s="329" t="s">
        <v>564</v>
      </c>
      <c r="B255" s="335" t="s">
        <v>565</v>
      </c>
      <c r="C255" s="331">
        <v>14447</v>
      </c>
      <c r="D255" s="331">
        <v>106</v>
      </c>
      <c r="E255" s="331">
        <v>1606</v>
      </c>
      <c r="F255" s="331">
        <v>597</v>
      </c>
      <c r="G255" s="331">
        <v>2556</v>
      </c>
      <c r="H255" s="331">
        <v>19312</v>
      </c>
      <c r="I255" s="330">
        <v>16756</v>
      </c>
      <c r="J255" s="330">
        <v>30</v>
      </c>
      <c r="K255" s="332">
        <v>123.58</v>
      </c>
      <c r="L255" s="332">
        <v>127.69</v>
      </c>
      <c r="M255" s="332">
        <v>10.93</v>
      </c>
      <c r="N255" s="332">
        <v>132.07</v>
      </c>
      <c r="O255" s="333">
        <v>11849</v>
      </c>
      <c r="P255" s="330">
        <v>106.38</v>
      </c>
      <c r="Q255" s="330">
        <v>105.72</v>
      </c>
      <c r="R255" s="330">
        <v>49.83</v>
      </c>
      <c r="S255" s="330">
        <v>151.93</v>
      </c>
      <c r="T255" s="330">
        <v>2024</v>
      </c>
      <c r="U255" s="330">
        <v>205.19</v>
      </c>
      <c r="V255" s="330">
        <v>790</v>
      </c>
      <c r="W255" s="330">
        <v>203.1</v>
      </c>
      <c r="X255" s="330">
        <v>22</v>
      </c>
      <c r="Y255" s="330">
        <v>5</v>
      </c>
      <c r="Z255" s="330">
        <v>26</v>
      </c>
      <c r="AA255" s="330">
        <v>19</v>
      </c>
      <c r="AB255" s="330">
        <v>291</v>
      </c>
      <c r="AC255" s="330">
        <v>93</v>
      </c>
      <c r="AD255" s="334">
        <v>13576</v>
      </c>
      <c r="AE255" s="334">
        <v>75</v>
      </c>
      <c r="AF255" s="334">
        <v>56</v>
      </c>
      <c r="AG255" s="334">
        <v>131</v>
      </c>
    </row>
    <row r="256" spans="1:33" x14ac:dyDescent="0.25">
      <c r="A256" s="329" t="s">
        <v>566</v>
      </c>
      <c r="B256" s="335" t="s">
        <v>567</v>
      </c>
      <c r="C256" s="330">
        <v>4908</v>
      </c>
      <c r="D256" s="330">
        <v>0</v>
      </c>
      <c r="E256" s="330">
        <v>115</v>
      </c>
      <c r="F256" s="330">
        <v>313</v>
      </c>
      <c r="G256" s="330">
        <v>428</v>
      </c>
      <c r="H256" s="330">
        <v>5764</v>
      </c>
      <c r="I256" s="330">
        <v>5336</v>
      </c>
      <c r="J256" s="330">
        <v>25</v>
      </c>
      <c r="K256" s="330">
        <v>119.25</v>
      </c>
      <c r="L256" s="332">
        <v>114.59</v>
      </c>
      <c r="M256" s="332">
        <v>5.45</v>
      </c>
      <c r="N256" s="332">
        <v>123.84</v>
      </c>
      <c r="O256" s="333">
        <v>4820</v>
      </c>
      <c r="P256" s="330">
        <v>109.39</v>
      </c>
      <c r="Q256" s="330">
        <v>103.64</v>
      </c>
      <c r="R256" s="330">
        <v>70</v>
      </c>
      <c r="S256" s="330">
        <v>176.44</v>
      </c>
      <c r="T256" s="330">
        <v>357</v>
      </c>
      <c r="U256" s="330">
        <v>218.62</v>
      </c>
      <c r="V256" s="330">
        <v>77</v>
      </c>
      <c r="W256" s="330">
        <v>135.83000000000001</v>
      </c>
      <c r="X256" s="330">
        <v>6</v>
      </c>
      <c r="Y256" s="330">
        <v>1</v>
      </c>
      <c r="Z256" s="330">
        <v>2</v>
      </c>
      <c r="AA256" s="330">
        <v>0</v>
      </c>
      <c r="AB256" s="330">
        <v>52</v>
      </c>
      <c r="AC256" s="330">
        <v>18</v>
      </c>
      <c r="AD256" s="330">
        <v>4899</v>
      </c>
      <c r="AE256" s="330">
        <v>7</v>
      </c>
      <c r="AF256" s="330">
        <v>19</v>
      </c>
      <c r="AG256" s="330">
        <v>26</v>
      </c>
    </row>
    <row r="257" spans="1:33" x14ac:dyDescent="0.25">
      <c r="A257" s="329" t="s">
        <v>568</v>
      </c>
      <c r="B257" s="335" t="s">
        <v>569</v>
      </c>
      <c r="C257" s="330">
        <v>1944</v>
      </c>
      <c r="D257" s="330">
        <v>8</v>
      </c>
      <c r="E257" s="330">
        <v>228</v>
      </c>
      <c r="F257" s="330">
        <v>192</v>
      </c>
      <c r="G257" s="330">
        <v>200</v>
      </c>
      <c r="H257" s="330">
        <v>2572</v>
      </c>
      <c r="I257" s="330">
        <v>2372</v>
      </c>
      <c r="J257" s="330">
        <v>3</v>
      </c>
      <c r="K257" s="330">
        <v>123.85</v>
      </c>
      <c r="L257" s="332">
        <v>119.7</v>
      </c>
      <c r="M257" s="332">
        <v>6.62</v>
      </c>
      <c r="N257" s="332">
        <v>129.69</v>
      </c>
      <c r="O257" s="333">
        <v>1593</v>
      </c>
      <c r="P257" s="330">
        <v>103.64</v>
      </c>
      <c r="Q257" s="330">
        <v>100.46</v>
      </c>
      <c r="R257" s="330">
        <v>34.799999999999997</v>
      </c>
      <c r="S257" s="330">
        <v>136.01</v>
      </c>
      <c r="T257" s="330">
        <v>344</v>
      </c>
      <c r="U257" s="330">
        <v>187.8</v>
      </c>
      <c r="V257" s="330">
        <v>141</v>
      </c>
      <c r="W257" s="330">
        <v>192.71</v>
      </c>
      <c r="X257" s="330">
        <v>39</v>
      </c>
      <c r="Y257" s="330">
        <v>0</v>
      </c>
      <c r="Z257" s="330">
        <v>0</v>
      </c>
      <c r="AA257" s="330">
        <v>6</v>
      </c>
      <c r="AB257" s="330">
        <v>4</v>
      </c>
      <c r="AC257" s="330">
        <v>23</v>
      </c>
      <c r="AD257" s="330">
        <v>1939</v>
      </c>
      <c r="AE257" s="330">
        <v>29</v>
      </c>
      <c r="AF257" s="330">
        <v>5</v>
      </c>
      <c r="AG257" s="330">
        <v>34</v>
      </c>
    </row>
    <row r="258" spans="1:33" x14ac:dyDescent="0.25">
      <c r="A258" s="329" t="s">
        <v>570</v>
      </c>
      <c r="B258" s="335" t="s">
        <v>571</v>
      </c>
      <c r="C258" s="330">
        <v>14683</v>
      </c>
      <c r="D258" s="330">
        <v>2</v>
      </c>
      <c r="E258" s="330">
        <v>643</v>
      </c>
      <c r="F258" s="330">
        <v>2074</v>
      </c>
      <c r="G258" s="330">
        <v>483</v>
      </c>
      <c r="H258" s="330">
        <v>17885</v>
      </c>
      <c r="I258" s="330">
        <v>17402</v>
      </c>
      <c r="J258" s="330">
        <v>3</v>
      </c>
      <c r="K258" s="330">
        <v>90.88</v>
      </c>
      <c r="L258" s="332">
        <v>88.06</v>
      </c>
      <c r="M258" s="332">
        <v>1.76</v>
      </c>
      <c r="N258" s="332">
        <v>92.46</v>
      </c>
      <c r="O258" s="333">
        <v>13799</v>
      </c>
      <c r="P258" s="330">
        <v>87.93</v>
      </c>
      <c r="Q258" s="330">
        <v>83.05</v>
      </c>
      <c r="R258" s="330">
        <v>28.38</v>
      </c>
      <c r="S258" s="330">
        <v>115.41</v>
      </c>
      <c r="T258" s="330">
        <v>2447</v>
      </c>
      <c r="U258" s="330">
        <v>102.86</v>
      </c>
      <c r="V258" s="330">
        <v>811</v>
      </c>
      <c r="W258" s="330">
        <v>106.14</v>
      </c>
      <c r="X258" s="330">
        <v>2</v>
      </c>
      <c r="Y258" s="330">
        <v>0</v>
      </c>
      <c r="Z258" s="330">
        <v>62</v>
      </c>
      <c r="AA258" s="330">
        <v>38</v>
      </c>
      <c r="AB258" s="330">
        <v>23</v>
      </c>
      <c r="AC258" s="330">
        <v>5</v>
      </c>
      <c r="AD258" s="330">
        <v>14638</v>
      </c>
      <c r="AE258" s="330">
        <v>157</v>
      </c>
      <c r="AF258" s="330">
        <v>117</v>
      </c>
      <c r="AG258" s="330">
        <v>274</v>
      </c>
    </row>
    <row r="259" spans="1:33" x14ac:dyDescent="0.25">
      <c r="A259" s="329" t="s">
        <v>572</v>
      </c>
      <c r="B259" s="335" t="s">
        <v>573</v>
      </c>
      <c r="C259" s="331">
        <v>5780</v>
      </c>
      <c r="D259" s="331">
        <v>0</v>
      </c>
      <c r="E259" s="331">
        <v>247</v>
      </c>
      <c r="F259" s="331">
        <v>1629</v>
      </c>
      <c r="G259" s="331">
        <v>253</v>
      </c>
      <c r="H259" s="331">
        <v>7909</v>
      </c>
      <c r="I259" s="330">
        <v>7656</v>
      </c>
      <c r="J259" s="330">
        <v>0</v>
      </c>
      <c r="K259" s="332">
        <v>84.77</v>
      </c>
      <c r="L259" s="332">
        <v>85.59</v>
      </c>
      <c r="M259" s="332">
        <v>3.81</v>
      </c>
      <c r="N259" s="332">
        <v>86.8</v>
      </c>
      <c r="O259" s="333">
        <v>5455</v>
      </c>
      <c r="P259" s="330">
        <v>75.72</v>
      </c>
      <c r="Q259" s="330">
        <v>76.14</v>
      </c>
      <c r="R259" s="330">
        <v>15.71</v>
      </c>
      <c r="S259" s="330">
        <v>90.3</v>
      </c>
      <c r="T259" s="330">
        <v>1705</v>
      </c>
      <c r="U259" s="330">
        <v>106.86</v>
      </c>
      <c r="V259" s="330">
        <v>318</v>
      </c>
      <c r="W259" s="330">
        <v>161.28</v>
      </c>
      <c r="X259" s="330">
        <v>126</v>
      </c>
      <c r="Y259" s="330">
        <v>67</v>
      </c>
      <c r="Z259" s="330">
        <v>6</v>
      </c>
      <c r="AA259" s="330">
        <v>3</v>
      </c>
      <c r="AB259" s="330">
        <v>29</v>
      </c>
      <c r="AC259" s="330">
        <v>9</v>
      </c>
      <c r="AD259" s="334">
        <v>5780</v>
      </c>
      <c r="AE259" s="334">
        <v>21</v>
      </c>
      <c r="AF259" s="334">
        <v>6</v>
      </c>
      <c r="AG259" s="334">
        <v>27</v>
      </c>
    </row>
    <row r="260" spans="1:33" x14ac:dyDescent="0.25">
      <c r="A260" s="329" t="s">
        <v>574</v>
      </c>
      <c r="B260" s="335" t="s">
        <v>575</v>
      </c>
      <c r="C260" s="331">
        <v>2589</v>
      </c>
      <c r="D260" s="331">
        <v>0</v>
      </c>
      <c r="E260" s="331">
        <v>123</v>
      </c>
      <c r="F260" s="331">
        <v>931</v>
      </c>
      <c r="G260" s="331">
        <v>69</v>
      </c>
      <c r="H260" s="331">
        <v>3712</v>
      </c>
      <c r="I260" s="330">
        <v>3643</v>
      </c>
      <c r="J260" s="330">
        <v>10</v>
      </c>
      <c r="K260" s="332">
        <v>88.05</v>
      </c>
      <c r="L260" s="332">
        <v>89.12</v>
      </c>
      <c r="M260" s="332">
        <v>5</v>
      </c>
      <c r="N260" s="332">
        <v>89.1</v>
      </c>
      <c r="O260" s="333">
        <v>2344</v>
      </c>
      <c r="P260" s="330">
        <v>82.9</v>
      </c>
      <c r="Q260" s="330">
        <v>83.28</v>
      </c>
      <c r="R260" s="330">
        <v>17.22</v>
      </c>
      <c r="S260" s="330">
        <v>99.56</v>
      </c>
      <c r="T260" s="330">
        <v>939</v>
      </c>
      <c r="U260" s="330">
        <v>96.36</v>
      </c>
      <c r="V260" s="330">
        <v>181</v>
      </c>
      <c r="W260" s="330">
        <v>137.30000000000001</v>
      </c>
      <c r="X260" s="330">
        <v>63</v>
      </c>
      <c r="Y260" s="330">
        <v>0</v>
      </c>
      <c r="Z260" s="330">
        <v>8</v>
      </c>
      <c r="AA260" s="330">
        <v>2</v>
      </c>
      <c r="AB260" s="330">
        <v>4</v>
      </c>
      <c r="AC260" s="330">
        <v>0</v>
      </c>
      <c r="AD260" s="334">
        <v>2430</v>
      </c>
      <c r="AE260" s="334">
        <v>22</v>
      </c>
      <c r="AF260" s="334">
        <v>6</v>
      </c>
      <c r="AG260" s="334">
        <v>28</v>
      </c>
    </row>
    <row r="261" spans="1:33" x14ac:dyDescent="0.25">
      <c r="A261" s="329" t="s">
        <v>576</v>
      </c>
      <c r="B261" s="335" t="s">
        <v>577</v>
      </c>
      <c r="C261" s="331">
        <v>1656</v>
      </c>
      <c r="D261" s="331">
        <v>0</v>
      </c>
      <c r="E261" s="331">
        <v>144</v>
      </c>
      <c r="F261" s="331">
        <v>311</v>
      </c>
      <c r="G261" s="331">
        <v>315</v>
      </c>
      <c r="H261" s="331">
        <v>2426</v>
      </c>
      <c r="I261" s="330">
        <v>2111</v>
      </c>
      <c r="J261" s="330">
        <v>11</v>
      </c>
      <c r="K261" s="332">
        <v>116.07</v>
      </c>
      <c r="L261" s="332">
        <v>117.46</v>
      </c>
      <c r="M261" s="332">
        <v>6.97</v>
      </c>
      <c r="N261" s="332">
        <v>122.09</v>
      </c>
      <c r="O261" s="333">
        <v>1397</v>
      </c>
      <c r="P261" s="330">
        <v>94.71</v>
      </c>
      <c r="Q261" s="330">
        <v>90.73</v>
      </c>
      <c r="R261" s="330">
        <v>33.29</v>
      </c>
      <c r="S261" s="330">
        <v>128</v>
      </c>
      <c r="T261" s="330">
        <v>384</v>
      </c>
      <c r="U261" s="330">
        <v>131.93</v>
      </c>
      <c r="V261" s="330">
        <v>108</v>
      </c>
      <c r="W261" s="330">
        <v>0</v>
      </c>
      <c r="X261" s="330">
        <v>0</v>
      </c>
      <c r="Y261" s="330">
        <v>0</v>
      </c>
      <c r="Z261" s="330">
        <v>0</v>
      </c>
      <c r="AA261" s="330">
        <v>0</v>
      </c>
      <c r="AB261" s="330">
        <v>8</v>
      </c>
      <c r="AC261" s="330">
        <v>10</v>
      </c>
      <c r="AD261" s="334">
        <v>1526</v>
      </c>
      <c r="AE261" s="334">
        <v>12</v>
      </c>
      <c r="AF261" s="334">
        <v>2</v>
      </c>
      <c r="AG261" s="334">
        <v>14</v>
      </c>
    </row>
    <row r="262" spans="1:33" x14ac:dyDescent="0.25">
      <c r="A262" s="329" t="s">
        <v>578</v>
      </c>
      <c r="B262" s="335" t="s">
        <v>579</v>
      </c>
      <c r="C262" s="331">
        <v>4281</v>
      </c>
      <c r="D262" s="331">
        <v>4</v>
      </c>
      <c r="E262" s="331">
        <v>421</v>
      </c>
      <c r="F262" s="331">
        <v>1450</v>
      </c>
      <c r="G262" s="331">
        <v>962</v>
      </c>
      <c r="H262" s="331">
        <v>7118</v>
      </c>
      <c r="I262" s="330">
        <v>6156</v>
      </c>
      <c r="J262" s="330">
        <v>5</v>
      </c>
      <c r="K262" s="332">
        <v>84.91</v>
      </c>
      <c r="L262" s="332">
        <v>85.53</v>
      </c>
      <c r="M262" s="332">
        <v>6.79</v>
      </c>
      <c r="N262" s="332">
        <v>88.64</v>
      </c>
      <c r="O262" s="333">
        <v>3664</v>
      </c>
      <c r="P262" s="330">
        <v>84.36</v>
      </c>
      <c r="Q262" s="330">
        <v>79.569999999999993</v>
      </c>
      <c r="R262" s="330">
        <v>26.23</v>
      </c>
      <c r="S262" s="330">
        <v>109.77</v>
      </c>
      <c r="T262" s="330">
        <v>1779</v>
      </c>
      <c r="U262" s="330">
        <v>111.33</v>
      </c>
      <c r="V262" s="330">
        <v>413</v>
      </c>
      <c r="W262" s="330">
        <v>145.82</v>
      </c>
      <c r="X262" s="330">
        <v>59</v>
      </c>
      <c r="Y262" s="330">
        <v>0</v>
      </c>
      <c r="Z262" s="330">
        <v>9</v>
      </c>
      <c r="AA262" s="330">
        <v>10</v>
      </c>
      <c r="AB262" s="330">
        <v>34</v>
      </c>
      <c r="AC262" s="330">
        <v>10</v>
      </c>
      <c r="AD262" s="334">
        <v>4016</v>
      </c>
      <c r="AE262" s="334">
        <v>27</v>
      </c>
      <c r="AF262" s="334">
        <v>8</v>
      </c>
      <c r="AG262" s="334">
        <v>35</v>
      </c>
    </row>
    <row r="263" spans="1:33" x14ac:dyDescent="0.25">
      <c r="A263" s="329" t="s">
        <v>580</v>
      </c>
      <c r="B263" s="335" t="s">
        <v>581</v>
      </c>
      <c r="C263" s="331">
        <v>12791</v>
      </c>
      <c r="D263" s="331">
        <v>4</v>
      </c>
      <c r="E263" s="331">
        <v>243</v>
      </c>
      <c r="F263" s="331">
        <v>839</v>
      </c>
      <c r="G263" s="331">
        <v>162</v>
      </c>
      <c r="H263" s="331">
        <v>14039</v>
      </c>
      <c r="I263" s="330">
        <v>13877</v>
      </c>
      <c r="J263" s="330">
        <v>18</v>
      </c>
      <c r="K263" s="332">
        <v>82.7</v>
      </c>
      <c r="L263" s="332">
        <v>88.65</v>
      </c>
      <c r="M263" s="332">
        <v>7.22</v>
      </c>
      <c r="N263" s="332">
        <v>84.69</v>
      </c>
      <c r="O263" s="333">
        <v>11320</v>
      </c>
      <c r="P263" s="330">
        <v>84.02</v>
      </c>
      <c r="Q263" s="330">
        <v>79.010000000000005</v>
      </c>
      <c r="R263" s="330">
        <v>39.33</v>
      </c>
      <c r="S263" s="330">
        <v>123.16</v>
      </c>
      <c r="T263" s="330">
        <v>1023</v>
      </c>
      <c r="U263" s="330">
        <v>98.23</v>
      </c>
      <c r="V263" s="330">
        <v>1413</v>
      </c>
      <c r="W263" s="330">
        <v>216.88</v>
      </c>
      <c r="X263" s="330">
        <v>32</v>
      </c>
      <c r="Y263" s="330">
        <v>0</v>
      </c>
      <c r="Z263" s="330">
        <v>45</v>
      </c>
      <c r="AA263" s="330">
        <v>2</v>
      </c>
      <c r="AB263" s="330">
        <v>15</v>
      </c>
      <c r="AC263" s="330">
        <v>1</v>
      </c>
      <c r="AD263" s="334">
        <v>12791</v>
      </c>
      <c r="AE263" s="334">
        <v>215</v>
      </c>
      <c r="AF263" s="334">
        <v>136</v>
      </c>
      <c r="AG263" s="334">
        <v>351</v>
      </c>
    </row>
    <row r="264" spans="1:33" x14ac:dyDescent="0.25">
      <c r="A264" s="329" t="s">
        <v>582</v>
      </c>
      <c r="B264" s="335" t="s">
        <v>583</v>
      </c>
      <c r="C264" s="331">
        <v>5936</v>
      </c>
      <c r="D264" s="331">
        <v>0</v>
      </c>
      <c r="E264" s="331">
        <v>720</v>
      </c>
      <c r="F264" s="331">
        <v>1094</v>
      </c>
      <c r="G264" s="331">
        <v>279</v>
      </c>
      <c r="H264" s="331">
        <v>8029</v>
      </c>
      <c r="I264" s="330">
        <v>7750</v>
      </c>
      <c r="J264" s="330">
        <v>16</v>
      </c>
      <c r="K264" s="332">
        <v>78.06</v>
      </c>
      <c r="L264" s="332">
        <v>78.75</v>
      </c>
      <c r="M264" s="332">
        <v>4.09</v>
      </c>
      <c r="N264" s="332">
        <v>80.77</v>
      </c>
      <c r="O264" s="333">
        <v>4991</v>
      </c>
      <c r="P264" s="330">
        <v>89.07</v>
      </c>
      <c r="Q264" s="330">
        <v>88.04</v>
      </c>
      <c r="R264" s="330">
        <v>51.76</v>
      </c>
      <c r="S264" s="330">
        <v>140.12</v>
      </c>
      <c r="T264" s="330">
        <v>1399</v>
      </c>
      <c r="U264" s="330">
        <v>94.06</v>
      </c>
      <c r="V264" s="330">
        <v>414</v>
      </c>
      <c r="W264" s="330">
        <v>168.46</v>
      </c>
      <c r="X264" s="330">
        <v>120</v>
      </c>
      <c r="Y264" s="330">
        <v>10</v>
      </c>
      <c r="Z264" s="330">
        <v>2</v>
      </c>
      <c r="AA264" s="330">
        <v>12</v>
      </c>
      <c r="AB264" s="330">
        <v>0</v>
      </c>
      <c r="AC264" s="330">
        <v>8</v>
      </c>
      <c r="AD264" s="334">
        <v>5382</v>
      </c>
      <c r="AE264" s="334">
        <v>51</v>
      </c>
      <c r="AF264" s="334">
        <v>11</v>
      </c>
      <c r="AG264" s="334">
        <v>62</v>
      </c>
    </row>
    <row r="265" spans="1:33" x14ac:dyDescent="0.25">
      <c r="A265" s="329" t="s">
        <v>584</v>
      </c>
      <c r="B265" s="335" t="s">
        <v>585</v>
      </c>
      <c r="C265" s="331">
        <v>6459</v>
      </c>
      <c r="D265" s="331">
        <v>2</v>
      </c>
      <c r="E265" s="331">
        <v>63</v>
      </c>
      <c r="F265" s="331">
        <v>660</v>
      </c>
      <c r="G265" s="331">
        <v>526</v>
      </c>
      <c r="H265" s="331">
        <v>7710</v>
      </c>
      <c r="I265" s="330">
        <v>7184</v>
      </c>
      <c r="J265" s="330">
        <v>7</v>
      </c>
      <c r="K265" s="332">
        <v>106.32</v>
      </c>
      <c r="L265" s="332">
        <v>103.22</v>
      </c>
      <c r="M265" s="332">
        <v>4.47</v>
      </c>
      <c r="N265" s="332">
        <v>107.72</v>
      </c>
      <c r="O265" s="333">
        <v>5908</v>
      </c>
      <c r="P265" s="330">
        <v>83.8</v>
      </c>
      <c r="Q265" s="330">
        <v>87.64</v>
      </c>
      <c r="R265" s="330">
        <v>30.44</v>
      </c>
      <c r="S265" s="330">
        <v>113.93</v>
      </c>
      <c r="T265" s="330">
        <v>675</v>
      </c>
      <c r="U265" s="330">
        <v>133.27000000000001</v>
      </c>
      <c r="V265" s="330">
        <v>205</v>
      </c>
      <c r="W265" s="330">
        <v>0</v>
      </c>
      <c r="X265" s="330">
        <v>0</v>
      </c>
      <c r="Y265" s="330">
        <v>0</v>
      </c>
      <c r="Z265" s="330">
        <v>9</v>
      </c>
      <c r="AA265" s="330">
        <v>23</v>
      </c>
      <c r="AB265" s="330">
        <v>50</v>
      </c>
      <c r="AC265" s="330">
        <v>8</v>
      </c>
      <c r="AD265" s="334">
        <v>6082</v>
      </c>
      <c r="AE265" s="334">
        <v>29</v>
      </c>
      <c r="AF265" s="334">
        <v>79</v>
      </c>
      <c r="AG265" s="334">
        <v>108</v>
      </c>
    </row>
    <row r="266" spans="1:33" x14ac:dyDescent="0.25">
      <c r="A266" s="329" t="s">
        <v>586</v>
      </c>
      <c r="B266" s="335" t="s">
        <v>587</v>
      </c>
      <c r="C266" s="331">
        <v>1301</v>
      </c>
      <c r="D266" s="331">
        <v>0</v>
      </c>
      <c r="E266" s="331">
        <v>123</v>
      </c>
      <c r="F266" s="331">
        <v>153</v>
      </c>
      <c r="G266" s="331">
        <v>308</v>
      </c>
      <c r="H266" s="331">
        <v>1885</v>
      </c>
      <c r="I266" s="330">
        <v>1577</v>
      </c>
      <c r="J266" s="330">
        <v>0</v>
      </c>
      <c r="K266" s="332">
        <v>101.07</v>
      </c>
      <c r="L266" s="332">
        <v>99.2</v>
      </c>
      <c r="M266" s="332">
        <v>4.63</v>
      </c>
      <c r="N266" s="332">
        <v>104.54</v>
      </c>
      <c r="O266" s="333">
        <v>1022</v>
      </c>
      <c r="P266" s="330">
        <v>87</v>
      </c>
      <c r="Q266" s="330">
        <v>80.87</v>
      </c>
      <c r="R266" s="330">
        <v>31.5</v>
      </c>
      <c r="S266" s="330">
        <v>112.53</v>
      </c>
      <c r="T266" s="330">
        <v>232</v>
      </c>
      <c r="U266" s="330">
        <v>121.79</v>
      </c>
      <c r="V266" s="330">
        <v>204</v>
      </c>
      <c r="W266" s="330">
        <v>0</v>
      </c>
      <c r="X266" s="330">
        <v>0</v>
      </c>
      <c r="Y266" s="330">
        <v>0</v>
      </c>
      <c r="Z266" s="330">
        <v>1</v>
      </c>
      <c r="AA266" s="330">
        <v>1</v>
      </c>
      <c r="AB266" s="330">
        <v>2</v>
      </c>
      <c r="AC266" s="330">
        <v>7</v>
      </c>
      <c r="AD266" s="334">
        <v>1235</v>
      </c>
      <c r="AE266" s="334">
        <v>9</v>
      </c>
      <c r="AF266" s="334">
        <v>2</v>
      </c>
      <c r="AG266" s="334">
        <v>11</v>
      </c>
    </row>
    <row r="267" spans="1:33" x14ac:dyDescent="0.25">
      <c r="A267" s="329" t="s">
        <v>588</v>
      </c>
      <c r="B267" s="335" t="s">
        <v>589</v>
      </c>
      <c r="C267" s="331">
        <v>31721</v>
      </c>
      <c r="D267" s="331">
        <v>38</v>
      </c>
      <c r="E267" s="331">
        <v>601</v>
      </c>
      <c r="F267" s="331">
        <v>1877</v>
      </c>
      <c r="G267" s="331">
        <v>346</v>
      </c>
      <c r="H267" s="331">
        <v>34583</v>
      </c>
      <c r="I267" s="330">
        <v>34237</v>
      </c>
      <c r="J267" s="330">
        <v>31</v>
      </c>
      <c r="K267" s="332">
        <v>81.13</v>
      </c>
      <c r="L267" s="332">
        <v>81.180000000000007</v>
      </c>
      <c r="M267" s="332">
        <v>5.89</v>
      </c>
      <c r="N267" s="332">
        <v>82.21</v>
      </c>
      <c r="O267" s="333">
        <v>30034</v>
      </c>
      <c r="P267" s="330">
        <v>78.36</v>
      </c>
      <c r="Q267" s="330">
        <v>74.63</v>
      </c>
      <c r="R267" s="330">
        <v>30.1</v>
      </c>
      <c r="S267" s="330">
        <v>107.17</v>
      </c>
      <c r="T267" s="330">
        <v>2034</v>
      </c>
      <c r="U267" s="330">
        <v>101.81</v>
      </c>
      <c r="V267" s="330">
        <v>1253</v>
      </c>
      <c r="W267" s="330">
        <v>159</v>
      </c>
      <c r="X267" s="330">
        <v>350</v>
      </c>
      <c r="Y267" s="330">
        <v>0</v>
      </c>
      <c r="Z267" s="330">
        <v>90</v>
      </c>
      <c r="AA267" s="330">
        <v>0</v>
      </c>
      <c r="AB267" s="330">
        <v>35</v>
      </c>
      <c r="AC267" s="330">
        <v>30</v>
      </c>
      <c r="AD267" s="334">
        <v>31279</v>
      </c>
      <c r="AE267" s="334">
        <v>332</v>
      </c>
      <c r="AF267" s="334">
        <v>104</v>
      </c>
      <c r="AG267" s="334">
        <v>436</v>
      </c>
    </row>
    <row r="268" spans="1:33" x14ac:dyDescent="0.25">
      <c r="A268" s="329" t="s">
        <v>590</v>
      </c>
      <c r="B268" s="335" t="s">
        <v>591</v>
      </c>
      <c r="C268" s="331">
        <v>2902</v>
      </c>
      <c r="D268" s="331">
        <v>0</v>
      </c>
      <c r="E268" s="331">
        <v>130</v>
      </c>
      <c r="F268" s="331">
        <v>321</v>
      </c>
      <c r="G268" s="331">
        <v>247</v>
      </c>
      <c r="H268" s="331">
        <v>3600</v>
      </c>
      <c r="I268" s="330">
        <v>3353</v>
      </c>
      <c r="J268" s="330">
        <v>176</v>
      </c>
      <c r="K268" s="332">
        <v>114.22</v>
      </c>
      <c r="L268" s="332">
        <v>116.37</v>
      </c>
      <c r="M268" s="332">
        <v>5.95</v>
      </c>
      <c r="N268" s="332">
        <v>116.46</v>
      </c>
      <c r="O268" s="333">
        <v>2887</v>
      </c>
      <c r="P268" s="330">
        <v>96.3</v>
      </c>
      <c r="Q268" s="330">
        <v>97.03</v>
      </c>
      <c r="R268" s="330">
        <v>21.58</v>
      </c>
      <c r="S268" s="330">
        <v>117.54</v>
      </c>
      <c r="T268" s="330">
        <v>383</v>
      </c>
      <c r="U268" s="330">
        <v>175.47</v>
      </c>
      <c r="V268" s="330">
        <v>2</v>
      </c>
      <c r="W268" s="330">
        <v>0</v>
      </c>
      <c r="X268" s="330">
        <v>0</v>
      </c>
      <c r="Y268" s="330">
        <v>14</v>
      </c>
      <c r="Z268" s="330">
        <v>2</v>
      </c>
      <c r="AA268" s="330">
        <v>2</v>
      </c>
      <c r="AB268" s="330">
        <v>0</v>
      </c>
      <c r="AC268" s="330">
        <v>12</v>
      </c>
      <c r="AD268" s="334">
        <v>2902</v>
      </c>
      <c r="AE268" s="334">
        <v>4</v>
      </c>
      <c r="AF268" s="334">
        <v>0</v>
      </c>
      <c r="AG268" s="334">
        <v>4</v>
      </c>
    </row>
    <row r="269" spans="1:33" x14ac:dyDescent="0.25">
      <c r="A269" s="329" t="s">
        <v>592</v>
      </c>
      <c r="B269" s="335" t="s">
        <v>593</v>
      </c>
      <c r="C269" s="331">
        <v>4589</v>
      </c>
      <c r="D269" s="331">
        <v>8</v>
      </c>
      <c r="E269" s="331">
        <v>327</v>
      </c>
      <c r="F269" s="331">
        <v>904</v>
      </c>
      <c r="G269" s="331">
        <v>594</v>
      </c>
      <c r="H269" s="331">
        <v>6422</v>
      </c>
      <c r="I269" s="330">
        <v>5828</v>
      </c>
      <c r="J269" s="330">
        <v>5</v>
      </c>
      <c r="K269" s="332">
        <v>119.89</v>
      </c>
      <c r="L269" s="332">
        <v>121.55</v>
      </c>
      <c r="M269" s="332">
        <v>7.48</v>
      </c>
      <c r="N269" s="332">
        <v>126.92</v>
      </c>
      <c r="O269" s="333">
        <v>4029</v>
      </c>
      <c r="P269" s="330">
        <v>110.13</v>
      </c>
      <c r="Q269" s="330">
        <v>104.03</v>
      </c>
      <c r="R269" s="330">
        <v>42.66</v>
      </c>
      <c r="S269" s="330">
        <v>150.71</v>
      </c>
      <c r="T269" s="330">
        <v>741</v>
      </c>
      <c r="U269" s="330">
        <v>177.21</v>
      </c>
      <c r="V269" s="330">
        <v>317</v>
      </c>
      <c r="W269" s="330">
        <v>218.87</v>
      </c>
      <c r="X269" s="330">
        <v>79</v>
      </c>
      <c r="Y269" s="330">
        <v>0</v>
      </c>
      <c r="Z269" s="330">
        <v>10</v>
      </c>
      <c r="AA269" s="330">
        <v>9</v>
      </c>
      <c r="AB269" s="330">
        <v>15</v>
      </c>
      <c r="AC269" s="330">
        <v>52</v>
      </c>
      <c r="AD269" s="334">
        <v>4397</v>
      </c>
      <c r="AE269" s="334">
        <v>19</v>
      </c>
      <c r="AF269" s="334">
        <v>12</v>
      </c>
      <c r="AG269" s="334">
        <v>31</v>
      </c>
    </row>
    <row r="270" spans="1:33" x14ac:dyDescent="0.25">
      <c r="A270" s="329" t="s">
        <v>594</v>
      </c>
      <c r="B270" s="335" t="s">
        <v>595</v>
      </c>
      <c r="C270" s="331">
        <v>7571</v>
      </c>
      <c r="D270" s="331">
        <v>0</v>
      </c>
      <c r="E270" s="331">
        <v>230</v>
      </c>
      <c r="F270" s="331">
        <v>439</v>
      </c>
      <c r="G270" s="331">
        <v>542</v>
      </c>
      <c r="H270" s="331">
        <v>8782</v>
      </c>
      <c r="I270" s="330">
        <v>8240</v>
      </c>
      <c r="J270" s="330">
        <v>0</v>
      </c>
      <c r="K270" s="332">
        <v>100.24</v>
      </c>
      <c r="L270" s="332">
        <v>100.04</v>
      </c>
      <c r="M270" s="332">
        <v>5.16</v>
      </c>
      <c r="N270" s="332">
        <v>102.6</v>
      </c>
      <c r="O270" s="333">
        <v>6627</v>
      </c>
      <c r="P270" s="330">
        <v>87.61</v>
      </c>
      <c r="Q270" s="330">
        <v>87.16</v>
      </c>
      <c r="R270" s="330">
        <v>43.99</v>
      </c>
      <c r="S270" s="330">
        <v>131.07</v>
      </c>
      <c r="T270" s="330">
        <v>584</v>
      </c>
      <c r="U270" s="330">
        <v>125.21</v>
      </c>
      <c r="V270" s="330">
        <v>828</v>
      </c>
      <c r="W270" s="330">
        <v>201.91</v>
      </c>
      <c r="X270" s="330">
        <v>1</v>
      </c>
      <c r="Y270" s="330">
        <v>23</v>
      </c>
      <c r="Z270" s="330">
        <v>9</v>
      </c>
      <c r="AA270" s="330">
        <v>8</v>
      </c>
      <c r="AB270" s="330">
        <v>34</v>
      </c>
      <c r="AC270" s="330">
        <v>21</v>
      </c>
      <c r="AD270" s="334">
        <v>7504</v>
      </c>
      <c r="AE270" s="334">
        <v>22</v>
      </c>
      <c r="AF270" s="334">
        <v>101</v>
      </c>
      <c r="AG270" s="334">
        <v>123</v>
      </c>
    </row>
    <row r="271" spans="1:33" x14ac:dyDescent="0.25">
      <c r="A271" s="329" t="s">
        <v>596</v>
      </c>
      <c r="B271" s="335" t="s">
        <v>597</v>
      </c>
      <c r="C271" s="331">
        <v>3418</v>
      </c>
      <c r="D271" s="331">
        <v>0</v>
      </c>
      <c r="E271" s="331">
        <v>530</v>
      </c>
      <c r="F271" s="331">
        <v>1037</v>
      </c>
      <c r="G271" s="331">
        <v>869</v>
      </c>
      <c r="H271" s="331">
        <v>5854</v>
      </c>
      <c r="I271" s="330">
        <v>4985</v>
      </c>
      <c r="J271" s="330">
        <v>1</v>
      </c>
      <c r="K271" s="332">
        <v>100.31</v>
      </c>
      <c r="L271" s="332">
        <v>98.95</v>
      </c>
      <c r="M271" s="332">
        <v>5.93</v>
      </c>
      <c r="N271" s="332">
        <v>104.58</v>
      </c>
      <c r="O271" s="333">
        <v>2890</v>
      </c>
      <c r="P271" s="330">
        <v>83.41</v>
      </c>
      <c r="Q271" s="330">
        <v>82.38</v>
      </c>
      <c r="R271" s="330">
        <v>39.71</v>
      </c>
      <c r="S271" s="330">
        <v>121.85</v>
      </c>
      <c r="T271" s="330">
        <v>1443</v>
      </c>
      <c r="U271" s="330">
        <v>125.21</v>
      </c>
      <c r="V271" s="330">
        <v>268</v>
      </c>
      <c r="W271" s="330">
        <v>172.97</v>
      </c>
      <c r="X271" s="330">
        <v>75</v>
      </c>
      <c r="Y271" s="330">
        <v>0</v>
      </c>
      <c r="Z271" s="330">
        <v>2</v>
      </c>
      <c r="AA271" s="330">
        <v>1</v>
      </c>
      <c r="AB271" s="330">
        <v>13</v>
      </c>
      <c r="AC271" s="330">
        <v>33</v>
      </c>
      <c r="AD271" s="334">
        <v>3286</v>
      </c>
      <c r="AE271" s="334">
        <v>10</v>
      </c>
      <c r="AF271" s="334">
        <v>3</v>
      </c>
      <c r="AG271" s="334">
        <v>13</v>
      </c>
    </row>
    <row r="272" spans="1:33" x14ac:dyDescent="0.25">
      <c r="A272" s="329" t="s">
        <v>598</v>
      </c>
      <c r="B272" s="335" t="s">
        <v>599</v>
      </c>
      <c r="C272" s="331">
        <v>19864</v>
      </c>
      <c r="D272" s="331">
        <v>0</v>
      </c>
      <c r="E272" s="331">
        <v>494</v>
      </c>
      <c r="F272" s="331">
        <v>1912</v>
      </c>
      <c r="G272" s="331">
        <v>179</v>
      </c>
      <c r="H272" s="331">
        <v>22449</v>
      </c>
      <c r="I272" s="330">
        <v>22270</v>
      </c>
      <c r="J272" s="330">
        <v>15</v>
      </c>
      <c r="K272" s="332">
        <v>84.5</v>
      </c>
      <c r="L272" s="332">
        <v>81.680000000000007</v>
      </c>
      <c r="M272" s="332">
        <v>3.52</v>
      </c>
      <c r="N272" s="332">
        <v>87.11</v>
      </c>
      <c r="O272" s="333">
        <v>17349</v>
      </c>
      <c r="P272" s="330">
        <v>81.67</v>
      </c>
      <c r="Q272" s="330">
        <v>74.75</v>
      </c>
      <c r="R272" s="330">
        <v>31.75</v>
      </c>
      <c r="S272" s="330">
        <v>108.74</v>
      </c>
      <c r="T272" s="330">
        <v>2294</v>
      </c>
      <c r="U272" s="330">
        <v>105.81</v>
      </c>
      <c r="V272" s="330">
        <v>1454</v>
      </c>
      <c r="W272" s="330">
        <v>0</v>
      </c>
      <c r="X272" s="330">
        <v>0</v>
      </c>
      <c r="Y272" s="330">
        <v>0</v>
      </c>
      <c r="Z272" s="330">
        <v>51</v>
      </c>
      <c r="AA272" s="330">
        <v>7</v>
      </c>
      <c r="AB272" s="330">
        <v>0</v>
      </c>
      <c r="AC272" s="330">
        <v>7</v>
      </c>
      <c r="AD272" s="334">
        <v>18841</v>
      </c>
      <c r="AE272" s="334">
        <v>47</v>
      </c>
      <c r="AF272" s="334">
        <v>105</v>
      </c>
      <c r="AG272" s="334">
        <v>152</v>
      </c>
    </row>
    <row r="273" spans="1:33" x14ac:dyDescent="0.25">
      <c r="A273" s="329" t="s">
        <v>600</v>
      </c>
      <c r="B273" s="335" t="s">
        <v>601</v>
      </c>
      <c r="C273" s="331">
        <v>1403</v>
      </c>
      <c r="D273" s="331">
        <v>0</v>
      </c>
      <c r="E273" s="331">
        <v>138</v>
      </c>
      <c r="F273" s="331">
        <v>109</v>
      </c>
      <c r="G273" s="331">
        <v>125</v>
      </c>
      <c r="H273" s="331">
        <v>1775</v>
      </c>
      <c r="I273" s="330">
        <v>1650</v>
      </c>
      <c r="J273" s="330">
        <v>36</v>
      </c>
      <c r="K273" s="332">
        <v>90.22</v>
      </c>
      <c r="L273" s="332">
        <v>90.86</v>
      </c>
      <c r="M273" s="332">
        <v>4.87</v>
      </c>
      <c r="N273" s="332">
        <v>94.02</v>
      </c>
      <c r="O273" s="333">
        <v>1243</v>
      </c>
      <c r="P273" s="330">
        <v>82.66</v>
      </c>
      <c r="Q273" s="330">
        <v>80.84</v>
      </c>
      <c r="R273" s="330">
        <v>31.33</v>
      </c>
      <c r="S273" s="330">
        <v>109.45</v>
      </c>
      <c r="T273" s="330">
        <v>214</v>
      </c>
      <c r="U273" s="330">
        <v>105.78</v>
      </c>
      <c r="V273" s="330">
        <v>134</v>
      </c>
      <c r="W273" s="330">
        <v>0</v>
      </c>
      <c r="X273" s="330">
        <v>0</v>
      </c>
      <c r="Y273" s="330">
        <v>0</v>
      </c>
      <c r="Z273" s="330">
        <v>0</v>
      </c>
      <c r="AA273" s="330">
        <v>1</v>
      </c>
      <c r="AB273" s="330">
        <v>0</v>
      </c>
      <c r="AC273" s="330">
        <v>7</v>
      </c>
      <c r="AD273" s="334">
        <v>1403</v>
      </c>
      <c r="AE273" s="334">
        <v>6</v>
      </c>
      <c r="AF273" s="334">
        <v>1</v>
      </c>
      <c r="AG273" s="334">
        <v>7</v>
      </c>
    </row>
    <row r="274" spans="1:33" x14ac:dyDescent="0.25">
      <c r="A274" s="329" t="s">
        <v>602</v>
      </c>
      <c r="B274" s="335" t="s">
        <v>603</v>
      </c>
      <c r="C274" s="331">
        <v>955</v>
      </c>
      <c r="D274" s="331">
        <v>0</v>
      </c>
      <c r="E274" s="331">
        <v>143</v>
      </c>
      <c r="F274" s="331">
        <v>70</v>
      </c>
      <c r="G274" s="331">
        <v>214</v>
      </c>
      <c r="H274" s="331">
        <v>1382</v>
      </c>
      <c r="I274" s="330">
        <v>1168</v>
      </c>
      <c r="J274" s="330">
        <v>0</v>
      </c>
      <c r="K274" s="332">
        <v>126.79</v>
      </c>
      <c r="L274" s="332">
        <v>126.81</v>
      </c>
      <c r="M274" s="332">
        <v>6.46</v>
      </c>
      <c r="N274" s="332">
        <v>132.99</v>
      </c>
      <c r="O274" s="333">
        <v>667</v>
      </c>
      <c r="P274" s="330">
        <v>108.48</v>
      </c>
      <c r="Q274" s="330">
        <v>104.37</v>
      </c>
      <c r="R274" s="330">
        <v>42.51</v>
      </c>
      <c r="S274" s="330">
        <v>145.36000000000001</v>
      </c>
      <c r="T274" s="330">
        <v>68</v>
      </c>
      <c r="U274" s="330">
        <v>169.46</v>
      </c>
      <c r="V274" s="330">
        <v>168</v>
      </c>
      <c r="W274" s="330">
        <v>158.5</v>
      </c>
      <c r="X274" s="330">
        <v>28</v>
      </c>
      <c r="Y274" s="330">
        <v>0</v>
      </c>
      <c r="Z274" s="330">
        <v>1</v>
      </c>
      <c r="AA274" s="330">
        <v>0</v>
      </c>
      <c r="AB274" s="330">
        <v>3</v>
      </c>
      <c r="AC274" s="330">
        <v>9</v>
      </c>
      <c r="AD274" s="334">
        <v>892</v>
      </c>
      <c r="AE274" s="334">
        <v>3</v>
      </c>
      <c r="AF274" s="334">
        <v>2</v>
      </c>
      <c r="AG274" s="334">
        <v>5</v>
      </c>
    </row>
    <row r="275" spans="1:33" x14ac:dyDescent="0.25">
      <c r="A275" s="329" t="s">
        <v>604</v>
      </c>
      <c r="B275" s="335" t="s">
        <v>605</v>
      </c>
      <c r="C275" s="331">
        <v>3936</v>
      </c>
      <c r="D275" s="331">
        <v>0</v>
      </c>
      <c r="E275" s="331">
        <v>129</v>
      </c>
      <c r="F275" s="331">
        <v>1440</v>
      </c>
      <c r="G275" s="331">
        <v>548</v>
      </c>
      <c r="H275" s="331">
        <v>6053</v>
      </c>
      <c r="I275" s="330">
        <v>5505</v>
      </c>
      <c r="J275" s="330">
        <v>13</v>
      </c>
      <c r="K275" s="332">
        <v>89.76</v>
      </c>
      <c r="L275" s="332">
        <v>89.13</v>
      </c>
      <c r="M275" s="332">
        <v>3.59</v>
      </c>
      <c r="N275" s="332">
        <v>93.18</v>
      </c>
      <c r="O275" s="333">
        <v>3432</v>
      </c>
      <c r="P275" s="330">
        <v>87.07</v>
      </c>
      <c r="Q275" s="330">
        <v>82.27</v>
      </c>
      <c r="R275" s="330">
        <v>18.09</v>
      </c>
      <c r="S275" s="330">
        <v>104.67</v>
      </c>
      <c r="T275" s="330">
        <v>1284</v>
      </c>
      <c r="U275" s="330">
        <v>128.35</v>
      </c>
      <c r="V275" s="330">
        <v>466</v>
      </c>
      <c r="W275" s="330">
        <v>99.39</v>
      </c>
      <c r="X275" s="330">
        <v>10</v>
      </c>
      <c r="Y275" s="330">
        <v>0</v>
      </c>
      <c r="Z275" s="330">
        <v>19</v>
      </c>
      <c r="AA275" s="330">
        <v>9</v>
      </c>
      <c r="AB275" s="330">
        <v>27</v>
      </c>
      <c r="AC275" s="330">
        <v>9</v>
      </c>
      <c r="AD275" s="334">
        <v>3910</v>
      </c>
      <c r="AE275" s="334">
        <v>7</v>
      </c>
      <c r="AF275" s="334">
        <v>9</v>
      </c>
      <c r="AG275" s="334">
        <v>16</v>
      </c>
    </row>
    <row r="276" spans="1:33" x14ac:dyDescent="0.25">
      <c r="A276" s="329" t="s">
        <v>606</v>
      </c>
      <c r="B276" s="335" t="s">
        <v>607</v>
      </c>
      <c r="C276" s="331">
        <v>11259</v>
      </c>
      <c r="D276" s="331">
        <v>0</v>
      </c>
      <c r="E276" s="331">
        <v>285</v>
      </c>
      <c r="F276" s="331">
        <v>1824</v>
      </c>
      <c r="G276" s="331">
        <v>376</v>
      </c>
      <c r="H276" s="331">
        <v>13744</v>
      </c>
      <c r="I276" s="330">
        <v>13368</v>
      </c>
      <c r="J276" s="330">
        <v>16</v>
      </c>
      <c r="K276" s="332">
        <v>92.19</v>
      </c>
      <c r="L276" s="332">
        <v>92.56</v>
      </c>
      <c r="M276" s="332">
        <v>5.58</v>
      </c>
      <c r="N276" s="332">
        <v>94.21</v>
      </c>
      <c r="O276" s="333">
        <v>10420</v>
      </c>
      <c r="P276" s="330">
        <v>85.18</v>
      </c>
      <c r="Q276" s="330">
        <v>84.95</v>
      </c>
      <c r="R276" s="330">
        <v>36.94</v>
      </c>
      <c r="S276" s="330">
        <v>119.98</v>
      </c>
      <c r="T276" s="330">
        <v>1844</v>
      </c>
      <c r="U276" s="330">
        <v>110.49</v>
      </c>
      <c r="V276" s="330">
        <v>642</v>
      </c>
      <c r="W276" s="330">
        <v>170.52</v>
      </c>
      <c r="X276" s="330">
        <v>145</v>
      </c>
      <c r="Y276" s="330">
        <v>0</v>
      </c>
      <c r="Z276" s="330">
        <v>64</v>
      </c>
      <c r="AA276" s="330">
        <v>223</v>
      </c>
      <c r="AB276" s="330">
        <v>28</v>
      </c>
      <c r="AC276" s="330">
        <v>18</v>
      </c>
      <c r="AD276" s="334">
        <v>11219</v>
      </c>
      <c r="AE276" s="334">
        <v>30</v>
      </c>
      <c r="AF276" s="334">
        <v>233</v>
      </c>
      <c r="AG276" s="334">
        <v>263</v>
      </c>
    </row>
    <row r="277" spans="1:33" x14ac:dyDescent="0.25">
      <c r="A277" s="329" t="s">
        <v>608</v>
      </c>
      <c r="B277" s="335" t="s">
        <v>609</v>
      </c>
      <c r="C277" s="331">
        <v>1889</v>
      </c>
      <c r="D277" s="331">
        <v>0</v>
      </c>
      <c r="E277" s="331">
        <v>244</v>
      </c>
      <c r="F277" s="331">
        <v>553</v>
      </c>
      <c r="G277" s="331">
        <v>75</v>
      </c>
      <c r="H277" s="331">
        <v>2761</v>
      </c>
      <c r="I277" s="330">
        <v>2686</v>
      </c>
      <c r="J277" s="330">
        <v>0</v>
      </c>
      <c r="K277" s="332">
        <v>101.82</v>
      </c>
      <c r="L277" s="332">
        <v>99.48</v>
      </c>
      <c r="M277" s="332">
        <v>3.99</v>
      </c>
      <c r="N277" s="332">
        <v>104.89</v>
      </c>
      <c r="O277" s="333">
        <v>1690</v>
      </c>
      <c r="P277" s="330">
        <v>87.51</v>
      </c>
      <c r="Q277" s="330">
        <v>83.57</v>
      </c>
      <c r="R277" s="330">
        <v>34.24</v>
      </c>
      <c r="S277" s="330">
        <v>121.15</v>
      </c>
      <c r="T277" s="330">
        <v>742</v>
      </c>
      <c r="U277" s="330">
        <v>124.54</v>
      </c>
      <c r="V277" s="330">
        <v>138</v>
      </c>
      <c r="W277" s="330">
        <v>0</v>
      </c>
      <c r="X277" s="330">
        <v>0</v>
      </c>
      <c r="Y277" s="330">
        <v>0</v>
      </c>
      <c r="Z277" s="330">
        <v>0</v>
      </c>
      <c r="AA277" s="330">
        <v>2</v>
      </c>
      <c r="AB277" s="330">
        <v>0</v>
      </c>
      <c r="AC277" s="330">
        <v>0</v>
      </c>
      <c r="AD277" s="334">
        <v>1877</v>
      </c>
      <c r="AE277" s="334">
        <v>7</v>
      </c>
      <c r="AF277" s="334">
        <v>4</v>
      </c>
      <c r="AG277" s="334">
        <v>11</v>
      </c>
    </row>
    <row r="278" spans="1:33" x14ac:dyDescent="0.25">
      <c r="A278" s="329" t="s">
        <v>610</v>
      </c>
      <c r="B278" s="335" t="s">
        <v>611</v>
      </c>
      <c r="C278" s="331">
        <v>6937</v>
      </c>
      <c r="D278" s="331">
        <v>0</v>
      </c>
      <c r="E278" s="331">
        <v>291</v>
      </c>
      <c r="F278" s="331">
        <v>414</v>
      </c>
      <c r="G278" s="331">
        <v>609</v>
      </c>
      <c r="H278" s="331">
        <v>8251</v>
      </c>
      <c r="I278" s="330">
        <v>7642</v>
      </c>
      <c r="J278" s="330">
        <v>0</v>
      </c>
      <c r="K278" s="332">
        <v>109.07</v>
      </c>
      <c r="L278" s="332">
        <v>110</v>
      </c>
      <c r="M278" s="332">
        <v>3.04</v>
      </c>
      <c r="N278" s="332">
        <v>111.54</v>
      </c>
      <c r="O278" s="333">
        <v>6161</v>
      </c>
      <c r="P278" s="330">
        <v>93.27</v>
      </c>
      <c r="Q278" s="330">
        <v>91.86</v>
      </c>
      <c r="R278" s="330">
        <v>32.979999999999997</v>
      </c>
      <c r="S278" s="330">
        <v>126.13</v>
      </c>
      <c r="T278" s="330">
        <v>555</v>
      </c>
      <c r="U278" s="330">
        <v>140.37</v>
      </c>
      <c r="V278" s="330">
        <v>528</v>
      </c>
      <c r="W278" s="330">
        <v>144.66</v>
      </c>
      <c r="X278" s="330">
        <v>1</v>
      </c>
      <c r="Y278" s="330">
        <v>9</v>
      </c>
      <c r="Z278" s="330">
        <v>9</v>
      </c>
      <c r="AA278" s="330">
        <v>5</v>
      </c>
      <c r="AB278" s="330">
        <v>106</v>
      </c>
      <c r="AC278" s="330">
        <v>20</v>
      </c>
      <c r="AD278" s="334">
        <v>6772</v>
      </c>
      <c r="AE278" s="334">
        <v>24</v>
      </c>
      <c r="AF278" s="334">
        <v>17</v>
      </c>
      <c r="AG278" s="334">
        <v>41</v>
      </c>
    </row>
    <row r="279" spans="1:33" x14ac:dyDescent="0.25">
      <c r="A279" s="329" t="s">
        <v>612</v>
      </c>
      <c r="B279" s="335" t="s">
        <v>613</v>
      </c>
      <c r="C279" s="331">
        <v>4141</v>
      </c>
      <c r="D279" s="331">
        <v>0</v>
      </c>
      <c r="E279" s="331">
        <v>68</v>
      </c>
      <c r="F279" s="331">
        <v>557</v>
      </c>
      <c r="G279" s="331">
        <v>470</v>
      </c>
      <c r="H279" s="331">
        <v>5236</v>
      </c>
      <c r="I279" s="330">
        <v>4766</v>
      </c>
      <c r="J279" s="330">
        <v>0</v>
      </c>
      <c r="K279" s="332">
        <v>97.13</v>
      </c>
      <c r="L279" s="332">
        <v>97.33</v>
      </c>
      <c r="M279" s="332">
        <v>3.01</v>
      </c>
      <c r="N279" s="332">
        <v>99.03</v>
      </c>
      <c r="O279" s="333">
        <v>3866</v>
      </c>
      <c r="P279" s="330">
        <v>87.23</v>
      </c>
      <c r="Q279" s="330">
        <v>84.48</v>
      </c>
      <c r="R279" s="330">
        <v>31.99</v>
      </c>
      <c r="S279" s="330">
        <v>118.9</v>
      </c>
      <c r="T279" s="330">
        <v>618</v>
      </c>
      <c r="U279" s="330">
        <v>129.97999999999999</v>
      </c>
      <c r="V279" s="330">
        <v>274</v>
      </c>
      <c r="W279" s="330">
        <v>119.04</v>
      </c>
      <c r="X279" s="330">
        <v>4</v>
      </c>
      <c r="Y279" s="330">
        <v>0</v>
      </c>
      <c r="Z279" s="330">
        <v>5</v>
      </c>
      <c r="AA279" s="330">
        <v>5</v>
      </c>
      <c r="AB279" s="330">
        <v>63</v>
      </c>
      <c r="AC279" s="330">
        <v>2</v>
      </c>
      <c r="AD279" s="334">
        <v>4135</v>
      </c>
      <c r="AE279" s="334">
        <v>35</v>
      </c>
      <c r="AF279" s="334">
        <v>21</v>
      </c>
      <c r="AG279" s="334">
        <v>56</v>
      </c>
    </row>
    <row r="280" spans="1:33" x14ac:dyDescent="0.25">
      <c r="A280" s="329" t="s">
        <v>614</v>
      </c>
      <c r="B280" s="335" t="s">
        <v>615</v>
      </c>
      <c r="C280" s="331">
        <v>3994</v>
      </c>
      <c r="D280" s="331">
        <v>0</v>
      </c>
      <c r="E280" s="331">
        <v>111</v>
      </c>
      <c r="F280" s="331">
        <v>641</v>
      </c>
      <c r="G280" s="331">
        <v>130</v>
      </c>
      <c r="H280" s="331">
        <v>4876</v>
      </c>
      <c r="I280" s="330">
        <v>4746</v>
      </c>
      <c r="J280" s="330">
        <v>0</v>
      </c>
      <c r="K280" s="332">
        <v>93.8</v>
      </c>
      <c r="L280" s="332">
        <v>91.84</v>
      </c>
      <c r="M280" s="332">
        <v>6.63</v>
      </c>
      <c r="N280" s="332">
        <v>98.51</v>
      </c>
      <c r="O280" s="333">
        <v>3731</v>
      </c>
      <c r="P280" s="330">
        <v>83.4</v>
      </c>
      <c r="Q280" s="330">
        <v>80.489999999999995</v>
      </c>
      <c r="R280" s="330">
        <v>35.22</v>
      </c>
      <c r="S280" s="330">
        <v>117.7</v>
      </c>
      <c r="T280" s="330">
        <v>733</v>
      </c>
      <c r="U280" s="330">
        <v>119.54</v>
      </c>
      <c r="V280" s="330">
        <v>219</v>
      </c>
      <c r="W280" s="330">
        <v>0</v>
      </c>
      <c r="X280" s="330">
        <v>0</v>
      </c>
      <c r="Y280" s="330">
        <v>120</v>
      </c>
      <c r="Z280" s="330">
        <v>7</v>
      </c>
      <c r="AA280" s="330">
        <v>19</v>
      </c>
      <c r="AB280" s="330">
        <v>12</v>
      </c>
      <c r="AC280" s="330">
        <v>2</v>
      </c>
      <c r="AD280" s="334">
        <v>3994</v>
      </c>
      <c r="AE280" s="334">
        <v>23</v>
      </c>
      <c r="AF280" s="334">
        <v>48</v>
      </c>
      <c r="AG280" s="334">
        <v>71</v>
      </c>
    </row>
    <row r="281" spans="1:33" x14ac:dyDescent="0.25">
      <c r="A281" s="329" t="s">
        <v>616</v>
      </c>
      <c r="B281" s="335" t="s">
        <v>617</v>
      </c>
      <c r="C281" s="331">
        <v>4565</v>
      </c>
      <c r="D281" s="331">
        <v>24</v>
      </c>
      <c r="E281" s="331">
        <v>89</v>
      </c>
      <c r="F281" s="331">
        <v>898</v>
      </c>
      <c r="G281" s="331">
        <v>196</v>
      </c>
      <c r="H281" s="331">
        <v>5772</v>
      </c>
      <c r="I281" s="330">
        <v>5576</v>
      </c>
      <c r="J281" s="330">
        <v>25</v>
      </c>
      <c r="K281" s="332">
        <v>116.25</v>
      </c>
      <c r="L281" s="332">
        <v>120.2</v>
      </c>
      <c r="M281" s="332">
        <v>5.07</v>
      </c>
      <c r="N281" s="332">
        <v>118.43</v>
      </c>
      <c r="O281" s="333">
        <v>4406</v>
      </c>
      <c r="P281" s="330">
        <v>100.02</v>
      </c>
      <c r="Q281" s="330">
        <v>99.04</v>
      </c>
      <c r="R281" s="330">
        <v>17.239999999999998</v>
      </c>
      <c r="S281" s="330">
        <v>115.96</v>
      </c>
      <c r="T281" s="330">
        <v>928</v>
      </c>
      <c r="U281" s="330">
        <v>166.55</v>
      </c>
      <c r="V281" s="330">
        <v>135</v>
      </c>
      <c r="W281" s="330">
        <v>0</v>
      </c>
      <c r="X281" s="330">
        <v>0</v>
      </c>
      <c r="Y281" s="330">
        <v>0</v>
      </c>
      <c r="Z281" s="330">
        <v>9</v>
      </c>
      <c r="AA281" s="330">
        <v>2</v>
      </c>
      <c r="AB281" s="330">
        <v>15</v>
      </c>
      <c r="AC281" s="330">
        <v>7</v>
      </c>
      <c r="AD281" s="334">
        <v>4555</v>
      </c>
      <c r="AE281" s="334">
        <v>18</v>
      </c>
      <c r="AF281" s="334">
        <v>18</v>
      </c>
      <c r="AG281" s="334">
        <v>36</v>
      </c>
    </row>
    <row r="282" spans="1:33" x14ac:dyDescent="0.25">
      <c r="A282" s="329" t="s">
        <v>618</v>
      </c>
      <c r="B282" s="335" t="s">
        <v>619</v>
      </c>
      <c r="C282" s="331">
        <v>1622</v>
      </c>
      <c r="D282" s="331">
        <v>0</v>
      </c>
      <c r="E282" s="331">
        <v>76</v>
      </c>
      <c r="F282" s="331">
        <v>91</v>
      </c>
      <c r="G282" s="331">
        <v>275</v>
      </c>
      <c r="H282" s="331">
        <v>2064</v>
      </c>
      <c r="I282" s="330">
        <v>1789</v>
      </c>
      <c r="J282" s="330">
        <v>0</v>
      </c>
      <c r="K282" s="332">
        <v>107.25</v>
      </c>
      <c r="L282" s="332">
        <v>106.62</v>
      </c>
      <c r="M282" s="332">
        <v>6.98</v>
      </c>
      <c r="N282" s="332">
        <v>111.84</v>
      </c>
      <c r="O282" s="333">
        <v>1276</v>
      </c>
      <c r="P282" s="330">
        <v>110.66</v>
      </c>
      <c r="Q282" s="330">
        <v>109.1</v>
      </c>
      <c r="R282" s="330">
        <v>56.98</v>
      </c>
      <c r="S282" s="330">
        <v>160.75</v>
      </c>
      <c r="T282" s="330">
        <v>124</v>
      </c>
      <c r="U282" s="330">
        <v>149.13999999999999</v>
      </c>
      <c r="V282" s="330">
        <v>276</v>
      </c>
      <c r="W282" s="330">
        <v>0</v>
      </c>
      <c r="X282" s="330">
        <v>0</v>
      </c>
      <c r="Y282" s="330">
        <v>1</v>
      </c>
      <c r="Z282" s="330">
        <v>7</v>
      </c>
      <c r="AA282" s="330">
        <v>0</v>
      </c>
      <c r="AB282" s="330">
        <v>22</v>
      </c>
      <c r="AC282" s="330">
        <v>15</v>
      </c>
      <c r="AD282" s="334">
        <v>1605</v>
      </c>
      <c r="AE282" s="334">
        <v>26</v>
      </c>
      <c r="AF282" s="334">
        <v>2</v>
      </c>
      <c r="AG282" s="334">
        <v>28</v>
      </c>
    </row>
    <row r="283" spans="1:33" x14ac:dyDescent="0.25">
      <c r="A283" s="329" t="s">
        <v>620</v>
      </c>
      <c r="B283" s="335" t="s">
        <v>621</v>
      </c>
      <c r="C283" s="331">
        <v>7430</v>
      </c>
      <c r="D283" s="331">
        <v>0</v>
      </c>
      <c r="E283" s="331">
        <v>44</v>
      </c>
      <c r="F283" s="331">
        <v>631</v>
      </c>
      <c r="G283" s="331">
        <v>849</v>
      </c>
      <c r="H283" s="331">
        <v>8954</v>
      </c>
      <c r="I283" s="330">
        <v>8105</v>
      </c>
      <c r="J283" s="330">
        <v>0</v>
      </c>
      <c r="K283" s="332">
        <v>116.33</v>
      </c>
      <c r="L283" s="332">
        <v>112.99</v>
      </c>
      <c r="M283" s="332">
        <v>5.94</v>
      </c>
      <c r="N283" s="332">
        <v>117.22</v>
      </c>
      <c r="O283" s="333">
        <v>6356</v>
      </c>
      <c r="P283" s="330">
        <v>96.62</v>
      </c>
      <c r="Q283" s="330">
        <v>92.81</v>
      </c>
      <c r="R283" s="330">
        <v>23.62</v>
      </c>
      <c r="S283" s="330">
        <v>114.53</v>
      </c>
      <c r="T283" s="330">
        <v>632</v>
      </c>
      <c r="U283" s="330">
        <v>141.35</v>
      </c>
      <c r="V283" s="330">
        <v>960</v>
      </c>
      <c r="W283" s="330">
        <v>0</v>
      </c>
      <c r="X283" s="330">
        <v>0</v>
      </c>
      <c r="Y283" s="330">
        <v>0</v>
      </c>
      <c r="Z283" s="330">
        <v>11</v>
      </c>
      <c r="AA283" s="330">
        <v>4</v>
      </c>
      <c r="AB283" s="330">
        <v>49</v>
      </c>
      <c r="AC283" s="330">
        <v>24</v>
      </c>
      <c r="AD283" s="334">
        <v>7422</v>
      </c>
      <c r="AE283" s="334">
        <v>16</v>
      </c>
      <c r="AF283" s="334">
        <v>24</v>
      </c>
      <c r="AG283" s="334">
        <v>40</v>
      </c>
    </row>
    <row r="284" spans="1:33" x14ac:dyDescent="0.25">
      <c r="A284" s="329" t="s">
        <v>622</v>
      </c>
      <c r="B284" s="335" t="s">
        <v>623</v>
      </c>
      <c r="C284" s="331">
        <v>4119</v>
      </c>
      <c r="D284" s="331">
        <v>54</v>
      </c>
      <c r="E284" s="331">
        <v>247</v>
      </c>
      <c r="F284" s="331">
        <v>975</v>
      </c>
      <c r="G284" s="331">
        <v>517</v>
      </c>
      <c r="H284" s="331">
        <v>5912</v>
      </c>
      <c r="I284" s="330">
        <v>5395</v>
      </c>
      <c r="J284" s="330">
        <v>24</v>
      </c>
      <c r="K284" s="332">
        <v>90.13</v>
      </c>
      <c r="L284" s="332">
        <v>88.82</v>
      </c>
      <c r="M284" s="332">
        <v>7.66</v>
      </c>
      <c r="N284" s="332">
        <v>96.58</v>
      </c>
      <c r="O284" s="333">
        <v>3748</v>
      </c>
      <c r="P284" s="330">
        <v>83.86</v>
      </c>
      <c r="Q284" s="330">
        <v>80.78</v>
      </c>
      <c r="R284" s="330">
        <v>38.57</v>
      </c>
      <c r="S284" s="330">
        <v>120.86</v>
      </c>
      <c r="T284" s="330">
        <v>890</v>
      </c>
      <c r="U284" s="330">
        <v>115.9</v>
      </c>
      <c r="V284" s="330">
        <v>411</v>
      </c>
      <c r="W284" s="330">
        <v>147.56</v>
      </c>
      <c r="X284" s="330">
        <v>2</v>
      </c>
      <c r="Y284" s="330">
        <v>14</v>
      </c>
      <c r="Z284" s="330">
        <v>13</v>
      </c>
      <c r="AA284" s="330">
        <v>50</v>
      </c>
      <c r="AB284" s="330">
        <v>23</v>
      </c>
      <c r="AC284" s="330">
        <v>5</v>
      </c>
      <c r="AD284" s="334">
        <v>4119</v>
      </c>
      <c r="AE284" s="334">
        <v>17</v>
      </c>
      <c r="AF284" s="334">
        <v>12</v>
      </c>
      <c r="AG284" s="334">
        <v>29</v>
      </c>
    </row>
    <row r="285" spans="1:33" x14ac:dyDescent="0.25">
      <c r="A285" s="329" t="s">
        <v>624</v>
      </c>
      <c r="B285" s="335" t="s">
        <v>625</v>
      </c>
      <c r="C285" s="331">
        <v>1907</v>
      </c>
      <c r="D285" s="331">
        <v>0</v>
      </c>
      <c r="E285" s="331">
        <v>13</v>
      </c>
      <c r="F285" s="331">
        <v>833</v>
      </c>
      <c r="G285" s="331">
        <v>183</v>
      </c>
      <c r="H285" s="331">
        <v>2936</v>
      </c>
      <c r="I285" s="330">
        <v>2753</v>
      </c>
      <c r="J285" s="330">
        <v>0</v>
      </c>
      <c r="K285" s="332">
        <v>87.06</v>
      </c>
      <c r="L285" s="332">
        <v>84.53</v>
      </c>
      <c r="M285" s="332">
        <v>3.55</v>
      </c>
      <c r="N285" s="332">
        <v>88.85</v>
      </c>
      <c r="O285" s="333">
        <v>1809</v>
      </c>
      <c r="P285" s="330">
        <v>73.64</v>
      </c>
      <c r="Q285" s="330">
        <v>71.209999999999994</v>
      </c>
      <c r="R285" s="330">
        <v>18.37</v>
      </c>
      <c r="S285" s="330">
        <v>84.47</v>
      </c>
      <c r="T285" s="330">
        <v>784</v>
      </c>
      <c r="U285" s="330">
        <v>110.04</v>
      </c>
      <c r="V285" s="330">
        <v>91</v>
      </c>
      <c r="W285" s="330">
        <v>144.84</v>
      </c>
      <c r="X285" s="330">
        <v>41</v>
      </c>
      <c r="Y285" s="330">
        <v>0</v>
      </c>
      <c r="Z285" s="330">
        <v>3</v>
      </c>
      <c r="AA285" s="330">
        <v>0</v>
      </c>
      <c r="AB285" s="330">
        <v>8</v>
      </c>
      <c r="AC285" s="330">
        <v>4</v>
      </c>
      <c r="AD285" s="334">
        <v>1899</v>
      </c>
      <c r="AE285" s="334">
        <v>6</v>
      </c>
      <c r="AF285" s="334">
        <v>7</v>
      </c>
      <c r="AG285" s="334">
        <v>13</v>
      </c>
    </row>
    <row r="286" spans="1:33" x14ac:dyDescent="0.25">
      <c r="A286" s="329" t="s">
        <v>626</v>
      </c>
      <c r="B286" s="335" t="s">
        <v>627</v>
      </c>
      <c r="C286" s="331">
        <v>28921</v>
      </c>
      <c r="D286" s="331">
        <v>80</v>
      </c>
      <c r="E286" s="331">
        <v>1540</v>
      </c>
      <c r="F286" s="331">
        <v>906</v>
      </c>
      <c r="G286" s="331">
        <v>2920</v>
      </c>
      <c r="H286" s="331">
        <v>34367</v>
      </c>
      <c r="I286" s="330">
        <v>31447</v>
      </c>
      <c r="J286" s="330">
        <v>25</v>
      </c>
      <c r="K286" s="332">
        <v>126.31</v>
      </c>
      <c r="L286" s="332">
        <v>131.75</v>
      </c>
      <c r="M286" s="332">
        <v>13.52</v>
      </c>
      <c r="N286" s="332">
        <v>138.91999999999999</v>
      </c>
      <c r="O286" s="333">
        <v>25854</v>
      </c>
      <c r="P286" s="330">
        <v>108.81</v>
      </c>
      <c r="Q286" s="330">
        <v>110.21</v>
      </c>
      <c r="R286" s="330">
        <v>44.86</v>
      </c>
      <c r="S286" s="330">
        <v>151.38999999999999</v>
      </c>
      <c r="T286" s="330">
        <v>2086</v>
      </c>
      <c r="U286" s="330">
        <v>204.91</v>
      </c>
      <c r="V286" s="330">
        <v>1310</v>
      </c>
      <c r="W286" s="330">
        <v>184.56</v>
      </c>
      <c r="X286" s="330">
        <v>87</v>
      </c>
      <c r="Y286" s="330">
        <v>0</v>
      </c>
      <c r="Z286" s="330">
        <v>114</v>
      </c>
      <c r="AA286" s="330">
        <v>42</v>
      </c>
      <c r="AB286" s="330">
        <v>159</v>
      </c>
      <c r="AC286" s="330">
        <v>194</v>
      </c>
      <c r="AD286" s="334">
        <v>27654</v>
      </c>
      <c r="AE286" s="334">
        <v>124</v>
      </c>
      <c r="AF286" s="334">
        <v>313</v>
      </c>
      <c r="AG286" s="334">
        <v>437</v>
      </c>
    </row>
    <row r="287" spans="1:33" x14ac:dyDescent="0.25">
      <c r="A287" s="329" t="s">
        <v>628</v>
      </c>
      <c r="B287" s="335" t="s">
        <v>629</v>
      </c>
      <c r="C287" s="331">
        <v>11747</v>
      </c>
      <c r="D287" s="331">
        <v>4</v>
      </c>
      <c r="E287" s="331">
        <v>412</v>
      </c>
      <c r="F287" s="331">
        <v>3327</v>
      </c>
      <c r="G287" s="331">
        <v>621</v>
      </c>
      <c r="H287" s="331">
        <v>16111</v>
      </c>
      <c r="I287" s="330">
        <v>15490</v>
      </c>
      <c r="J287" s="330">
        <v>8</v>
      </c>
      <c r="K287" s="332">
        <v>90.05</v>
      </c>
      <c r="L287" s="332">
        <v>95.71</v>
      </c>
      <c r="M287" s="332">
        <v>4.83</v>
      </c>
      <c r="N287" s="332">
        <v>93.11</v>
      </c>
      <c r="O287" s="333">
        <v>10091</v>
      </c>
      <c r="P287" s="330">
        <v>86.4</v>
      </c>
      <c r="Q287" s="330">
        <v>92.34</v>
      </c>
      <c r="R287" s="330">
        <v>19.12</v>
      </c>
      <c r="S287" s="330">
        <v>105.49</v>
      </c>
      <c r="T287" s="330">
        <v>3585</v>
      </c>
      <c r="U287" s="330">
        <v>122.22</v>
      </c>
      <c r="V287" s="330">
        <v>1520</v>
      </c>
      <c r="W287" s="330">
        <v>174.5</v>
      </c>
      <c r="X287" s="330">
        <v>70</v>
      </c>
      <c r="Y287" s="330">
        <v>0</v>
      </c>
      <c r="Z287" s="330">
        <v>51</v>
      </c>
      <c r="AA287" s="330">
        <v>99</v>
      </c>
      <c r="AB287" s="330">
        <v>30</v>
      </c>
      <c r="AC287" s="330">
        <v>30</v>
      </c>
      <c r="AD287" s="334">
        <v>11654</v>
      </c>
      <c r="AE287" s="334">
        <v>86</v>
      </c>
      <c r="AF287" s="334">
        <v>12</v>
      </c>
      <c r="AG287" s="334">
        <v>98</v>
      </c>
    </row>
    <row r="288" spans="1:33" x14ac:dyDescent="0.25">
      <c r="A288" s="329" t="s">
        <v>630</v>
      </c>
      <c r="B288" s="335" t="s">
        <v>631</v>
      </c>
      <c r="C288" s="331">
        <v>6191</v>
      </c>
      <c r="D288" s="331">
        <v>0</v>
      </c>
      <c r="E288" s="331">
        <v>194</v>
      </c>
      <c r="F288" s="331">
        <v>808</v>
      </c>
      <c r="G288" s="331">
        <v>362</v>
      </c>
      <c r="H288" s="331">
        <v>7555</v>
      </c>
      <c r="I288" s="330">
        <v>7193</v>
      </c>
      <c r="J288" s="330">
        <v>0</v>
      </c>
      <c r="K288" s="332">
        <v>113.01</v>
      </c>
      <c r="L288" s="332">
        <v>113.2</v>
      </c>
      <c r="M288" s="332">
        <v>3.22</v>
      </c>
      <c r="N288" s="332">
        <v>115.61</v>
      </c>
      <c r="O288" s="333">
        <v>5559</v>
      </c>
      <c r="P288" s="330">
        <v>92.16</v>
      </c>
      <c r="Q288" s="330">
        <v>90.87</v>
      </c>
      <c r="R288" s="330">
        <v>20.25</v>
      </c>
      <c r="S288" s="330">
        <v>111.52</v>
      </c>
      <c r="T288" s="330">
        <v>684</v>
      </c>
      <c r="U288" s="330">
        <v>156.52000000000001</v>
      </c>
      <c r="V288" s="330">
        <v>458</v>
      </c>
      <c r="W288" s="330">
        <v>131.13999999999999</v>
      </c>
      <c r="X288" s="330">
        <v>106</v>
      </c>
      <c r="Y288" s="330">
        <v>0</v>
      </c>
      <c r="Z288" s="330">
        <v>6</v>
      </c>
      <c r="AA288" s="330">
        <v>2</v>
      </c>
      <c r="AB288" s="330">
        <v>34</v>
      </c>
      <c r="AC288" s="330">
        <v>8</v>
      </c>
      <c r="AD288" s="334">
        <v>6038</v>
      </c>
      <c r="AE288" s="334">
        <v>20</v>
      </c>
      <c r="AF288" s="334">
        <v>30</v>
      </c>
      <c r="AG288" s="334">
        <v>50</v>
      </c>
    </row>
    <row r="289" spans="1:33" x14ac:dyDescent="0.25">
      <c r="A289" s="329" t="s">
        <v>632</v>
      </c>
      <c r="B289" s="335" t="s">
        <v>633</v>
      </c>
      <c r="C289" s="331">
        <v>1335</v>
      </c>
      <c r="D289" s="331">
        <v>2</v>
      </c>
      <c r="E289" s="331">
        <v>53</v>
      </c>
      <c r="F289" s="331">
        <v>214</v>
      </c>
      <c r="G289" s="331">
        <v>340</v>
      </c>
      <c r="H289" s="331">
        <v>1944</v>
      </c>
      <c r="I289" s="330">
        <v>1604</v>
      </c>
      <c r="J289" s="330">
        <v>7</v>
      </c>
      <c r="K289" s="332">
        <v>110.38</v>
      </c>
      <c r="L289" s="332">
        <v>108.83</v>
      </c>
      <c r="M289" s="332">
        <v>6.1</v>
      </c>
      <c r="N289" s="332">
        <v>114.3</v>
      </c>
      <c r="O289" s="333">
        <v>1031</v>
      </c>
      <c r="P289" s="330">
        <v>98.33</v>
      </c>
      <c r="Q289" s="330">
        <v>93.76</v>
      </c>
      <c r="R289" s="330">
        <v>55.1</v>
      </c>
      <c r="S289" s="330">
        <v>153.43</v>
      </c>
      <c r="T289" s="330">
        <v>236</v>
      </c>
      <c r="U289" s="330">
        <v>151.9</v>
      </c>
      <c r="V289" s="330">
        <v>275</v>
      </c>
      <c r="W289" s="330">
        <v>0</v>
      </c>
      <c r="X289" s="330">
        <v>0</v>
      </c>
      <c r="Y289" s="330">
        <v>0</v>
      </c>
      <c r="Z289" s="330">
        <v>1</v>
      </c>
      <c r="AA289" s="330">
        <v>2</v>
      </c>
      <c r="AB289" s="330">
        <v>17</v>
      </c>
      <c r="AC289" s="330">
        <v>11</v>
      </c>
      <c r="AD289" s="334">
        <v>1326</v>
      </c>
      <c r="AE289" s="334">
        <v>11</v>
      </c>
      <c r="AF289" s="334">
        <v>6</v>
      </c>
      <c r="AG289" s="334">
        <v>17</v>
      </c>
    </row>
    <row r="290" spans="1:33" x14ac:dyDescent="0.25">
      <c r="A290" s="329" t="s">
        <v>634</v>
      </c>
      <c r="B290" s="335" t="s">
        <v>635</v>
      </c>
      <c r="C290" s="331">
        <v>5854</v>
      </c>
      <c r="D290" s="331">
        <v>19</v>
      </c>
      <c r="E290" s="331">
        <v>135</v>
      </c>
      <c r="F290" s="331">
        <v>1009</v>
      </c>
      <c r="G290" s="331">
        <v>557</v>
      </c>
      <c r="H290" s="331">
        <v>7574</v>
      </c>
      <c r="I290" s="330">
        <v>7017</v>
      </c>
      <c r="J290" s="330">
        <v>7</v>
      </c>
      <c r="K290" s="332">
        <v>110.96</v>
      </c>
      <c r="L290" s="332">
        <v>113.27</v>
      </c>
      <c r="M290" s="332">
        <v>5.34</v>
      </c>
      <c r="N290" s="332">
        <v>111.77</v>
      </c>
      <c r="O290" s="333">
        <v>5025</v>
      </c>
      <c r="P290" s="330">
        <v>98.63</v>
      </c>
      <c r="Q290" s="330">
        <v>98.78</v>
      </c>
      <c r="R290" s="330">
        <v>27.58</v>
      </c>
      <c r="S290" s="330">
        <v>113.28</v>
      </c>
      <c r="T290" s="330">
        <v>1122</v>
      </c>
      <c r="U290" s="330">
        <v>158.37</v>
      </c>
      <c r="V290" s="330">
        <v>774</v>
      </c>
      <c r="W290" s="330">
        <v>219.88</v>
      </c>
      <c r="X290" s="330">
        <v>3</v>
      </c>
      <c r="Y290" s="330">
        <v>0</v>
      </c>
      <c r="Z290" s="330">
        <v>2</v>
      </c>
      <c r="AA290" s="330">
        <v>0</v>
      </c>
      <c r="AB290" s="330">
        <v>75</v>
      </c>
      <c r="AC290" s="330">
        <v>14</v>
      </c>
      <c r="AD290" s="334">
        <v>5796</v>
      </c>
      <c r="AE290" s="334">
        <v>14</v>
      </c>
      <c r="AF290" s="334">
        <v>36</v>
      </c>
      <c r="AG290" s="334">
        <v>50</v>
      </c>
    </row>
    <row r="291" spans="1:33" x14ac:dyDescent="0.25">
      <c r="A291" s="329" t="s">
        <v>636</v>
      </c>
      <c r="B291" s="335" t="s">
        <v>637</v>
      </c>
      <c r="C291" s="331">
        <v>32376</v>
      </c>
      <c r="D291" s="331">
        <v>0</v>
      </c>
      <c r="E291" s="331">
        <v>571</v>
      </c>
      <c r="F291" s="331">
        <v>2532</v>
      </c>
      <c r="G291" s="331">
        <v>519</v>
      </c>
      <c r="H291" s="331">
        <v>35998</v>
      </c>
      <c r="I291" s="330">
        <v>35479</v>
      </c>
      <c r="J291" s="330">
        <v>13</v>
      </c>
      <c r="K291" s="332">
        <v>84.66</v>
      </c>
      <c r="L291" s="332">
        <v>85.24</v>
      </c>
      <c r="M291" s="332">
        <v>5.97</v>
      </c>
      <c r="N291" s="332">
        <v>85.39</v>
      </c>
      <c r="O291" s="333">
        <v>30432</v>
      </c>
      <c r="P291" s="330">
        <v>81.17</v>
      </c>
      <c r="Q291" s="330">
        <v>80.75</v>
      </c>
      <c r="R291" s="330">
        <v>33.76</v>
      </c>
      <c r="S291" s="330">
        <v>112.31</v>
      </c>
      <c r="T291" s="330">
        <v>2946</v>
      </c>
      <c r="U291" s="330">
        <v>99.42</v>
      </c>
      <c r="V291" s="330">
        <v>1621</v>
      </c>
      <c r="W291" s="330">
        <v>95.6</v>
      </c>
      <c r="X291" s="330">
        <v>6</v>
      </c>
      <c r="Y291" s="330">
        <v>0</v>
      </c>
      <c r="Z291" s="330">
        <v>174</v>
      </c>
      <c r="AA291" s="330">
        <v>30</v>
      </c>
      <c r="AB291" s="330">
        <v>30</v>
      </c>
      <c r="AC291" s="330">
        <v>4</v>
      </c>
      <c r="AD291" s="334">
        <v>32336</v>
      </c>
      <c r="AE291" s="334">
        <v>75</v>
      </c>
      <c r="AF291" s="334">
        <v>129</v>
      </c>
      <c r="AG291" s="334">
        <v>204</v>
      </c>
    </row>
    <row r="292" spans="1:33" x14ac:dyDescent="0.25">
      <c r="A292" s="329" t="s">
        <v>638</v>
      </c>
      <c r="B292" s="335" t="s">
        <v>639</v>
      </c>
      <c r="C292" s="331">
        <v>26900</v>
      </c>
      <c r="D292" s="331">
        <v>10</v>
      </c>
      <c r="E292" s="331">
        <v>251</v>
      </c>
      <c r="F292" s="331">
        <v>786</v>
      </c>
      <c r="G292" s="331">
        <v>580</v>
      </c>
      <c r="H292" s="331">
        <v>28527</v>
      </c>
      <c r="I292" s="330">
        <v>27947</v>
      </c>
      <c r="J292" s="330">
        <v>16</v>
      </c>
      <c r="K292" s="332">
        <v>87.29</v>
      </c>
      <c r="L292" s="332">
        <v>87.44</v>
      </c>
      <c r="M292" s="332">
        <v>8.33</v>
      </c>
      <c r="N292" s="332">
        <v>91.38</v>
      </c>
      <c r="O292" s="333">
        <v>25198</v>
      </c>
      <c r="P292" s="330">
        <v>106.04</v>
      </c>
      <c r="Q292" s="330">
        <v>104.14</v>
      </c>
      <c r="R292" s="330">
        <v>41.57</v>
      </c>
      <c r="S292" s="330">
        <v>143.69</v>
      </c>
      <c r="T292" s="330">
        <v>922</v>
      </c>
      <c r="U292" s="330">
        <v>108.69</v>
      </c>
      <c r="V292" s="330">
        <v>1390</v>
      </c>
      <c r="W292" s="330">
        <v>128.32</v>
      </c>
      <c r="X292" s="330">
        <v>62</v>
      </c>
      <c r="Y292" s="330">
        <v>40</v>
      </c>
      <c r="Z292" s="330">
        <v>89</v>
      </c>
      <c r="AA292" s="330">
        <v>37</v>
      </c>
      <c r="AB292" s="330">
        <v>4</v>
      </c>
      <c r="AC292" s="330">
        <v>16</v>
      </c>
      <c r="AD292" s="334">
        <v>26838</v>
      </c>
      <c r="AE292" s="334">
        <v>178</v>
      </c>
      <c r="AF292" s="334">
        <v>51</v>
      </c>
      <c r="AG292" s="334">
        <v>229</v>
      </c>
    </row>
    <row r="293" spans="1:33" x14ac:dyDescent="0.25">
      <c r="A293" s="329" t="s">
        <v>640</v>
      </c>
      <c r="B293" s="335" t="s">
        <v>641</v>
      </c>
      <c r="C293" s="331">
        <v>10486</v>
      </c>
      <c r="D293" s="331">
        <v>0</v>
      </c>
      <c r="E293" s="331">
        <v>1041</v>
      </c>
      <c r="F293" s="331">
        <v>883</v>
      </c>
      <c r="G293" s="331">
        <v>1156</v>
      </c>
      <c r="H293" s="331">
        <v>13566</v>
      </c>
      <c r="I293" s="330">
        <v>12410</v>
      </c>
      <c r="J293" s="330">
        <v>2</v>
      </c>
      <c r="K293" s="332">
        <v>122.91</v>
      </c>
      <c r="L293" s="332">
        <v>118.89</v>
      </c>
      <c r="M293" s="332">
        <v>8.82</v>
      </c>
      <c r="N293" s="332">
        <v>127.3</v>
      </c>
      <c r="O293" s="333">
        <v>8831</v>
      </c>
      <c r="P293" s="330">
        <v>100.83</v>
      </c>
      <c r="Q293" s="330">
        <v>98.45</v>
      </c>
      <c r="R293" s="330">
        <v>31.22</v>
      </c>
      <c r="S293" s="330">
        <v>128.38</v>
      </c>
      <c r="T293" s="330">
        <v>1338</v>
      </c>
      <c r="U293" s="330">
        <v>174.29</v>
      </c>
      <c r="V293" s="330">
        <v>1122</v>
      </c>
      <c r="W293" s="330">
        <v>163.84</v>
      </c>
      <c r="X293" s="330">
        <v>53</v>
      </c>
      <c r="Y293" s="330">
        <v>17</v>
      </c>
      <c r="Z293" s="330">
        <v>19</v>
      </c>
      <c r="AA293" s="330">
        <v>40</v>
      </c>
      <c r="AB293" s="330">
        <v>99</v>
      </c>
      <c r="AC293" s="330">
        <v>29</v>
      </c>
      <c r="AD293" s="334">
        <v>10114</v>
      </c>
      <c r="AE293" s="334">
        <v>42</v>
      </c>
      <c r="AF293" s="334">
        <v>18</v>
      </c>
      <c r="AG293" s="334">
        <v>60</v>
      </c>
    </row>
    <row r="294" spans="1:33" x14ac:dyDescent="0.25">
      <c r="A294" s="329" t="s">
        <v>642</v>
      </c>
      <c r="B294" s="335" t="s">
        <v>643</v>
      </c>
      <c r="C294" s="331">
        <v>8449</v>
      </c>
      <c r="D294" s="331">
        <v>11</v>
      </c>
      <c r="E294" s="331">
        <v>1088</v>
      </c>
      <c r="F294" s="331">
        <v>1076</v>
      </c>
      <c r="G294" s="331">
        <v>1997</v>
      </c>
      <c r="H294" s="331">
        <v>12621</v>
      </c>
      <c r="I294" s="330">
        <v>10624</v>
      </c>
      <c r="J294" s="330">
        <v>40</v>
      </c>
      <c r="K294" s="332">
        <v>134.56</v>
      </c>
      <c r="L294" s="332">
        <v>140.34</v>
      </c>
      <c r="M294" s="332">
        <v>6.18</v>
      </c>
      <c r="N294" s="332">
        <v>138.16</v>
      </c>
      <c r="O294" s="333">
        <v>7589</v>
      </c>
      <c r="P294" s="330">
        <v>120.59</v>
      </c>
      <c r="Q294" s="330">
        <v>120.3</v>
      </c>
      <c r="R294" s="330">
        <v>32.54</v>
      </c>
      <c r="S294" s="330">
        <v>148.83000000000001</v>
      </c>
      <c r="T294" s="330">
        <v>2072</v>
      </c>
      <c r="U294" s="330">
        <v>200.64</v>
      </c>
      <c r="V294" s="330">
        <v>407</v>
      </c>
      <c r="W294" s="330">
        <v>188.48</v>
      </c>
      <c r="X294" s="330">
        <v>2</v>
      </c>
      <c r="Y294" s="330">
        <v>7</v>
      </c>
      <c r="Z294" s="330">
        <v>2</v>
      </c>
      <c r="AA294" s="330">
        <v>14</v>
      </c>
      <c r="AB294" s="330">
        <v>307</v>
      </c>
      <c r="AC294" s="330">
        <v>88</v>
      </c>
      <c r="AD294" s="334">
        <v>8157</v>
      </c>
      <c r="AE294" s="334">
        <v>15</v>
      </c>
      <c r="AF294" s="334">
        <v>20</v>
      </c>
      <c r="AG294" s="334">
        <v>35</v>
      </c>
    </row>
    <row r="295" spans="1:33" x14ac:dyDescent="0.25">
      <c r="A295" s="329" t="s">
        <v>644</v>
      </c>
      <c r="B295" s="335" t="s">
        <v>645</v>
      </c>
      <c r="C295" s="331">
        <v>11815</v>
      </c>
      <c r="D295" s="331">
        <v>0</v>
      </c>
      <c r="E295" s="331">
        <v>497</v>
      </c>
      <c r="F295" s="331">
        <v>2222</v>
      </c>
      <c r="G295" s="331">
        <v>632</v>
      </c>
      <c r="H295" s="331">
        <v>15166</v>
      </c>
      <c r="I295" s="330">
        <v>14534</v>
      </c>
      <c r="J295" s="330">
        <v>2</v>
      </c>
      <c r="K295" s="332">
        <v>85.71</v>
      </c>
      <c r="L295" s="332">
        <v>85.99</v>
      </c>
      <c r="M295" s="332">
        <v>4.7699999999999996</v>
      </c>
      <c r="N295" s="332">
        <v>87.17</v>
      </c>
      <c r="O295" s="333">
        <v>11213</v>
      </c>
      <c r="P295" s="330">
        <v>81.02</v>
      </c>
      <c r="Q295" s="330">
        <v>79.75</v>
      </c>
      <c r="R295" s="330">
        <v>32.130000000000003</v>
      </c>
      <c r="S295" s="330">
        <v>96.45</v>
      </c>
      <c r="T295" s="330">
        <v>2674</v>
      </c>
      <c r="U295" s="330">
        <v>105.29</v>
      </c>
      <c r="V295" s="330">
        <v>532</v>
      </c>
      <c r="W295" s="330">
        <v>104.45</v>
      </c>
      <c r="X295" s="330">
        <v>4</v>
      </c>
      <c r="Y295" s="330">
        <v>0</v>
      </c>
      <c r="Z295" s="330">
        <v>67</v>
      </c>
      <c r="AA295" s="330">
        <v>0</v>
      </c>
      <c r="AB295" s="330">
        <v>28</v>
      </c>
      <c r="AC295" s="330">
        <v>13</v>
      </c>
      <c r="AD295" s="334">
        <v>11815</v>
      </c>
      <c r="AE295" s="334">
        <v>46</v>
      </c>
      <c r="AF295" s="334">
        <v>63</v>
      </c>
      <c r="AG295" s="334">
        <v>109</v>
      </c>
    </row>
    <row r="296" spans="1:33" x14ac:dyDescent="0.25">
      <c r="A296" s="329" t="s">
        <v>646</v>
      </c>
      <c r="B296" s="335" t="s">
        <v>647</v>
      </c>
      <c r="C296" s="331">
        <v>2177</v>
      </c>
      <c r="D296" s="331">
        <v>4</v>
      </c>
      <c r="E296" s="331">
        <v>176</v>
      </c>
      <c r="F296" s="331">
        <v>594</v>
      </c>
      <c r="G296" s="331">
        <v>509</v>
      </c>
      <c r="H296" s="331">
        <v>3460</v>
      </c>
      <c r="I296" s="330">
        <v>2951</v>
      </c>
      <c r="J296" s="330">
        <v>15</v>
      </c>
      <c r="K296" s="332">
        <v>104.18</v>
      </c>
      <c r="L296" s="332">
        <v>102.41</v>
      </c>
      <c r="M296" s="332">
        <v>6.53</v>
      </c>
      <c r="N296" s="332">
        <v>109.65</v>
      </c>
      <c r="O296" s="333">
        <v>1806</v>
      </c>
      <c r="P296" s="330">
        <v>98</v>
      </c>
      <c r="Q296" s="330">
        <v>90.22</v>
      </c>
      <c r="R296" s="330">
        <v>38.06</v>
      </c>
      <c r="S296" s="330">
        <v>135.01</v>
      </c>
      <c r="T296" s="330">
        <v>653</v>
      </c>
      <c r="U296" s="330">
        <v>130.43</v>
      </c>
      <c r="V296" s="330">
        <v>266</v>
      </c>
      <c r="W296" s="330">
        <v>197.88</v>
      </c>
      <c r="X296" s="330">
        <v>21</v>
      </c>
      <c r="Y296" s="330">
        <v>0</v>
      </c>
      <c r="Z296" s="330">
        <v>0</v>
      </c>
      <c r="AA296" s="330">
        <v>4</v>
      </c>
      <c r="AB296" s="330">
        <v>60</v>
      </c>
      <c r="AC296" s="330">
        <v>20</v>
      </c>
      <c r="AD296" s="334">
        <v>2076</v>
      </c>
      <c r="AE296" s="334">
        <v>9</v>
      </c>
      <c r="AF296" s="334">
        <v>11</v>
      </c>
      <c r="AG296" s="334">
        <v>20</v>
      </c>
    </row>
    <row r="297" spans="1:33" x14ac:dyDescent="0.25">
      <c r="A297" s="329" t="s">
        <v>648</v>
      </c>
      <c r="B297" s="335" t="s">
        <v>649</v>
      </c>
      <c r="C297" s="331">
        <v>5458</v>
      </c>
      <c r="D297" s="331">
        <v>18</v>
      </c>
      <c r="E297" s="331">
        <v>341</v>
      </c>
      <c r="F297" s="331">
        <v>602</v>
      </c>
      <c r="G297" s="331">
        <v>348</v>
      </c>
      <c r="H297" s="331">
        <v>6767</v>
      </c>
      <c r="I297" s="330">
        <v>6419</v>
      </c>
      <c r="J297" s="330">
        <v>134</v>
      </c>
      <c r="K297" s="332">
        <v>118.04</v>
      </c>
      <c r="L297" s="332">
        <v>123.6</v>
      </c>
      <c r="M297" s="332">
        <v>6.69</v>
      </c>
      <c r="N297" s="332">
        <v>121.21</v>
      </c>
      <c r="O297" s="333">
        <v>5016</v>
      </c>
      <c r="P297" s="330">
        <v>91.49</v>
      </c>
      <c r="Q297" s="330">
        <v>93.16</v>
      </c>
      <c r="R297" s="330">
        <v>26.02</v>
      </c>
      <c r="S297" s="330">
        <v>117.44</v>
      </c>
      <c r="T297" s="330">
        <v>734</v>
      </c>
      <c r="U297" s="330">
        <v>172.51</v>
      </c>
      <c r="V297" s="330">
        <v>258</v>
      </c>
      <c r="W297" s="330">
        <v>0</v>
      </c>
      <c r="X297" s="330">
        <v>0</v>
      </c>
      <c r="Y297" s="330">
        <v>0</v>
      </c>
      <c r="Z297" s="330">
        <v>21</v>
      </c>
      <c r="AA297" s="330">
        <v>2</v>
      </c>
      <c r="AB297" s="330">
        <v>1</v>
      </c>
      <c r="AC297" s="330">
        <v>16</v>
      </c>
      <c r="AD297" s="334">
        <v>5458</v>
      </c>
      <c r="AE297" s="334">
        <v>26</v>
      </c>
      <c r="AF297" s="334">
        <v>13</v>
      </c>
      <c r="AG297" s="334">
        <v>39</v>
      </c>
    </row>
    <row r="298" spans="1:33" x14ac:dyDescent="0.25">
      <c r="A298" s="329" t="s">
        <v>650</v>
      </c>
      <c r="B298" s="335" t="s">
        <v>651</v>
      </c>
      <c r="C298" s="331">
        <v>1101</v>
      </c>
      <c r="D298" s="331">
        <v>0</v>
      </c>
      <c r="E298" s="331">
        <v>132</v>
      </c>
      <c r="F298" s="331">
        <v>163</v>
      </c>
      <c r="G298" s="331">
        <v>358</v>
      </c>
      <c r="H298" s="331">
        <v>1754</v>
      </c>
      <c r="I298" s="330">
        <v>1396</v>
      </c>
      <c r="J298" s="330">
        <v>0</v>
      </c>
      <c r="K298" s="332">
        <v>120.65</v>
      </c>
      <c r="L298" s="332">
        <v>120.95</v>
      </c>
      <c r="M298" s="332">
        <v>5.0199999999999996</v>
      </c>
      <c r="N298" s="332">
        <v>125.37</v>
      </c>
      <c r="O298" s="333">
        <v>887</v>
      </c>
      <c r="P298" s="330">
        <v>103.02</v>
      </c>
      <c r="Q298" s="330">
        <v>101.02</v>
      </c>
      <c r="R298" s="330">
        <v>35.79</v>
      </c>
      <c r="S298" s="330">
        <v>135.79</v>
      </c>
      <c r="T298" s="330">
        <v>142</v>
      </c>
      <c r="U298" s="330">
        <v>179.56</v>
      </c>
      <c r="V298" s="330">
        <v>138</v>
      </c>
      <c r="W298" s="330">
        <v>121.1</v>
      </c>
      <c r="X298" s="330">
        <v>3</v>
      </c>
      <c r="Y298" s="330">
        <v>1</v>
      </c>
      <c r="Z298" s="330">
        <v>1</v>
      </c>
      <c r="AA298" s="330">
        <v>2</v>
      </c>
      <c r="AB298" s="330">
        <v>22</v>
      </c>
      <c r="AC298" s="330">
        <v>12</v>
      </c>
      <c r="AD298" s="334">
        <v>1025</v>
      </c>
      <c r="AE298" s="334">
        <v>3</v>
      </c>
      <c r="AF298" s="334">
        <v>2</v>
      </c>
      <c r="AG298" s="334">
        <v>5</v>
      </c>
    </row>
    <row r="299" spans="1:33" x14ac:dyDescent="0.25">
      <c r="A299" s="329" t="s">
        <v>652</v>
      </c>
      <c r="B299" s="335" t="s">
        <v>653</v>
      </c>
      <c r="C299" s="331">
        <v>2046</v>
      </c>
      <c r="D299" s="331">
        <v>0</v>
      </c>
      <c r="E299" s="331">
        <v>86</v>
      </c>
      <c r="F299" s="331">
        <v>348</v>
      </c>
      <c r="G299" s="331">
        <v>476</v>
      </c>
      <c r="H299" s="331">
        <v>2956</v>
      </c>
      <c r="I299" s="330">
        <v>2480</v>
      </c>
      <c r="J299" s="330">
        <v>0</v>
      </c>
      <c r="K299" s="332">
        <v>105.84</v>
      </c>
      <c r="L299" s="332">
        <v>104.63</v>
      </c>
      <c r="M299" s="332">
        <v>4.93</v>
      </c>
      <c r="N299" s="332">
        <v>109.57</v>
      </c>
      <c r="O299" s="333">
        <v>1415</v>
      </c>
      <c r="P299" s="330">
        <v>81.81</v>
      </c>
      <c r="Q299" s="330">
        <v>77.569999999999993</v>
      </c>
      <c r="R299" s="330">
        <v>35.86</v>
      </c>
      <c r="S299" s="330">
        <v>115.2</v>
      </c>
      <c r="T299" s="330">
        <v>232</v>
      </c>
      <c r="U299" s="330">
        <v>146.78</v>
      </c>
      <c r="V299" s="330">
        <v>610</v>
      </c>
      <c r="W299" s="330">
        <v>173.07</v>
      </c>
      <c r="X299" s="330">
        <v>55</v>
      </c>
      <c r="Y299" s="330">
        <v>0</v>
      </c>
      <c r="Z299" s="330">
        <v>0</v>
      </c>
      <c r="AA299" s="330">
        <v>1</v>
      </c>
      <c r="AB299" s="330">
        <v>15</v>
      </c>
      <c r="AC299" s="330">
        <v>10</v>
      </c>
      <c r="AD299" s="334">
        <v>2046</v>
      </c>
      <c r="AE299" s="334">
        <v>6</v>
      </c>
      <c r="AF299" s="334">
        <v>10</v>
      </c>
      <c r="AG299" s="334">
        <v>16</v>
      </c>
    </row>
    <row r="300" spans="1:33" x14ac:dyDescent="0.25">
      <c r="A300" s="329" t="s">
        <v>654</v>
      </c>
      <c r="B300" s="335" t="s">
        <v>655</v>
      </c>
      <c r="C300" s="331">
        <v>2664</v>
      </c>
      <c r="D300" s="331">
        <v>0</v>
      </c>
      <c r="E300" s="331">
        <v>300</v>
      </c>
      <c r="F300" s="331">
        <v>334</v>
      </c>
      <c r="G300" s="331">
        <v>356</v>
      </c>
      <c r="H300" s="331">
        <v>3654</v>
      </c>
      <c r="I300" s="330">
        <v>3298</v>
      </c>
      <c r="J300" s="330">
        <v>127</v>
      </c>
      <c r="K300" s="332">
        <v>113.58</v>
      </c>
      <c r="L300" s="332">
        <v>112.92</v>
      </c>
      <c r="M300" s="332">
        <v>6.81</v>
      </c>
      <c r="N300" s="332">
        <v>119.03</v>
      </c>
      <c r="O300" s="333">
        <v>2217</v>
      </c>
      <c r="P300" s="330">
        <v>102.84</v>
      </c>
      <c r="Q300" s="330">
        <v>99.37</v>
      </c>
      <c r="R300" s="330">
        <v>40.14</v>
      </c>
      <c r="S300" s="330">
        <v>142.62</v>
      </c>
      <c r="T300" s="330">
        <v>219</v>
      </c>
      <c r="U300" s="330">
        <v>152.68</v>
      </c>
      <c r="V300" s="330">
        <v>316</v>
      </c>
      <c r="W300" s="330">
        <v>0</v>
      </c>
      <c r="X300" s="330">
        <v>0</v>
      </c>
      <c r="Y300" s="330">
        <v>0</v>
      </c>
      <c r="Z300" s="330">
        <v>2</v>
      </c>
      <c r="AA300" s="330">
        <v>2</v>
      </c>
      <c r="AB300" s="330">
        <v>31</v>
      </c>
      <c r="AC300" s="330">
        <v>15</v>
      </c>
      <c r="AD300" s="334">
        <v>2542</v>
      </c>
      <c r="AE300" s="334">
        <v>12</v>
      </c>
      <c r="AF300" s="334">
        <v>2</v>
      </c>
      <c r="AG300" s="334">
        <v>14</v>
      </c>
    </row>
    <row r="301" spans="1:33" x14ac:dyDescent="0.25">
      <c r="A301" s="329" t="s">
        <v>656</v>
      </c>
      <c r="B301" s="335" t="s">
        <v>657</v>
      </c>
      <c r="C301" s="331">
        <v>7530</v>
      </c>
      <c r="D301" s="331">
        <v>4</v>
      </c>
      <c r="E301" s="331">
        <v>307</v>
      </c>
      <c r="F301" s="331">
        <v>1138</v>
      </c>
      <c r="G301" s="331">
        <v>570</v>
      </c>
      <c r="H301" s="331">
        <v>9549</v>
      </c>
      <c r="I301" s="330">
        <v>8979</v>
      </c>
      <c r="J301" s="330">
        <v>4</v>
      </c>
      <c r="K301" s="332">
        <v>121.07</v>
      </c>
      <c r="L301" s="332">
        <v>124.85</v>
      </c>
      <c r="M301" s="332">
        <v>4.3099999999999996</v>
      </c>
      <c r="N301" s="332">
        <v>123.19</v>
      </c>
      <c r="O301" s="333">
        <v>7175</v>
      </c>
      <c r="P301" s="330">
        <v>105.39</v>
      </c>
      <c r="Q301" s="330">
        <v>106.16</v>
      </c>
      <c r="R301" s="330">
        <v>22.48</v>
      </c>
      <c r="S301" s="330">
        <v>127.51</v>
      </c>
      <c r="T301" s="330">
        <v>1283</v>
      </c>
      <c r="U301" s="330">
        <v>150.77000000000001</v>
      </c>
      <c r="V301" s="330">
        <v>333</v>
      </c>
      <c r="W301" s="330">
        <v>180.67</v>
      </c>
      <c r="X301" s="330">
        <v>81</v>
      </c>
      <c r="Y301" s="330">
        <v>0</v>
      </c>
      <c r="Z301" s="330">
        <v>5</v>
      </c>
      <c r="AA301" s="330">
        <v>1</v>
      </c>
      <c r="AB301" s="330">
        <v>51</v>
      </c>
      <c r="AC301" s="330">
        <v>15</v>
      </c>
      <c r="AD301" s="334">
        <v>7517</v>
      </c>
      <c r="AE301" s="334">
        <v>12</v>
      </c>
      <c r="AF301" s="334">
        <v>4</v>
      </c>
      <c r="AG301" s="334">
        <v>16</v>
      </c>
    </row>
    <row r="302" spans="1:33" x14ac:dyDescent="0.25">
      <c r="A302" s="329" t="s">
        <v>658</v>
      </c>
      <c r="B302" s="335" t="s">
        <v>659</v>
      </c>
      <c r="C302" s="331">
        <v>1969</v>
      </c>
      <c r="D302" s="331">
        <v>2</v>
      </c>
      <c r="E302" s="331">
        <v>29</v>
      </c>
      <c r="F302" s="331">
        <v>372</v>
      </c>
      <c r="G302" s="331">
        <v>107</v>
      </c>
      <c r="H302" s="331">
        <v>2479</v>
      </c>
      <c r="I302" s="330">
        <v>2372</v>
      </c>
      <c r="J302" s="330">
        <v>5</v>
      </c>
      <c r="K302" s="332">
        <v>88.58</v>
      </c>
      <c r="L302" s="332">
        <v>85.17</v>
      </c>
      <c r="M302" s="332">
        <v>5.15</v>
      </c>
      <c r="N302" s="332">
        <v>90.04</v>
      </c>
      <c r="O302" s="333">
        <v>1822</v>
      </c>
      <c r="P302" s="330">
        <v>80.88</v>
      </c>
      <c r="Q302" s="330">
        <v>75.69</v>
      </c>
      <c r="R302" s="330">
        <v>20.399999999999999</v>
      </c>
      <c r="S302" s="330">
        <v>101.1</v>
      </c>
      <c r="T302" s="330">
        <v>335</v>
      </c>
      <c r="U302" s="330">
        <v>117.3</v>
      </c>
      <c r="V302" s="330">
        <v>98</v>
      </c>
      <c r="W302" s="330">
        <v>87.34</v>
      </c>
      <c r="X302" s="330">
        <v>4</v>
      </c>
      <c r="Y302" s="330">
        <v>36</v>
      </c>
      <c r="Z302" s="330">
        <v>1</v>
      </c>
      <c r="AA302" s="330">
        <v>0</v>
      </c>
      <c r="AB302" s="330">
        <v>23</v>
      </c>
      <c r="AC302" s="330">
        <v>0</v>
      </c>
      <c r="AD302" s="334">
        <v>1902</v>
      </c>
      <c r="AE302" s="334">
        <v>6</v>
      </c>
      <c r="AF302" s="334">
        <v>4</v>
      </c>
      <c r="AG302" s="334">
        <v>10</v>
      </c>
    </row>
    <row r="303" spans="1:33" x14ac:dyDescent="0.25">
      <c r="A303" s="329" t="s">
        <v>660</v>
      </c>
      <c r="B303" s="335" t="s">
        <v>661</v>
      </c>
      <c r="C303" s="331">
        <v>720</v>
      </c>
      <c r="D303" s="331">
        <v>1</v>
      </c>
      <c r="E303" s="331">
        <v>157</v>
      </c>
      <c r="F303" s="331">
        <v>373</v>
      </c>
      <c r="G303" s="331">
        <v>269</v>
      </c>
      <c r="H303" s="331">
        <v>1520</v>
      </c>
      <c r="I303" s="330">
        <v>1251</v>
      </c>
      <c r="J303" s="330">
        <v>0</v>
      </c>
      <c r="K303" s="332">
        <v>95.58</v>
      </c>
      <c r="L303" s="332">
        <v>91.1</v>
      </c>
      <c r="M303" s="332">
        <v>5.47</v>
      </c>
      <c r="N303" s="332">
        <v>98.9</v>
      </c>
      <c r="O303" s="333">
        <v>501</v>
      </c>
      <c r="P303" s="330">
        <v>99.48</v>
      </c>
      <c r="Q303" s="330">
        <v>94.5</v>
      </c>
      <c r="R303" s="330">
        <v>36.270000000000003</v>
      </c>
      <c r="S303" s="330">
        <v>135.53</v>
      </c>
      <c r="T303" s="330">
        <v>499</v>
      </c>
      <c r="U303" s="330">
        <v>110.03</v>
      </c>
      <c r="V303" s="330">
        <v>184</v>
      </c>
      <c r="W303" s="330">
        <v>0</v>
      </c>
      <c r="X303" s="330">
        <v>0</v>
      </c>
      <c r="Y303" s="330">
        <v>0</v>
      </c>
      <c r="Z303" s="330">
        <v>0</v>
      </c>
      <c r="AA303" s="330">
        <v>0</v>
      </c>
      <c r="AB303" s="330">
        <v>7</v>
      </c>
      <c r="AC303" s="330">
        <v>1</v>
      </c>
      <c r="AD303" s="334">
        <v>709</v>
      </c>
      <c r="AE303" s="334">
        <v>9</v>
      </c>
      <c r="AF303" s="334">
        <v>12</v>
      </c>
      <c r="AG303" s="334">
        <v>21</v>
      </c>
    </row>
    <row r="304" spans="1:33" x14ac:dyDescent="0.25">
      <c r="A304" s="329" t="s">
        <v>662</v>
      </c>
      <c r="B304" s="335" t="s">
        <v>663</v>
      </c>
      <c r="C304" s="331">
        <v>4156</v>
      </c>
      <c r="D304" s="331">
        <v>0</v>
      </c>
      <c r="E304" s="331">
        <v>65</v>
      </c>
      <c r="F304" s="331">
        <v>435</v>
      </c>
      <c r="G304" s="331">
        <v>310</v>
      </c>
      <c r="H304" s="331">
        <v>4966</v>
      </c>
      <c r="I304" s="330">
        <v>4656</v>
      </c>
      <c r="J304" s="330">
        <v>0</v>
      </c>
      <c r="K304" s="332">
        <v>81.67</v>
      </c>
      <c r="L304" s="332">
        <v>81.63</v>
      </c>
      <c r="M304" s="332">
        <v>3.53</v>
      </c>
      <c r="N304" s="332">
        <v>82.69</v>
      </c>
      <c r="O304" s="333">
        <v>4047</v>
      </c>
      <c r="P304" s="330">
        <v>75.02</v>
      </c>
      <c r="Q304" s="330">
        <v>74.67</v>
      </c>
      <c r="R304" s="330">
        <v>25.6</v>
      </c>
      <c r="S304" s="330">
        <v>100.25</v>
      </c>
      <c r="T304" s="330">
        <v>487</v>
      </c>
      <c r="U304" s="330">
        <v>93.49</v>
      </c>
      <c r="V304" s="330">
        <v>66</v>
      </c>
      <c r="W304" s="330">
        <v>114.56</v>
      </c>
      <c r="X304" s="330">
        <v>8</v>
      </c>
      <c r="Y304" s="330">
        <v>0</v>
      </c>
      <c r="Z304" s="330">
        <v>13</v>
      </c>
      <c r="AA304" s="330">
        <v>7</v>
      </c>
      <c r="AB304" s="330">
        <v>4</v>
      </c>
      <c r="AC304" s="330">
        <v>9</v>
      </c>
      <c r="AD304" s="334">
        <v>4145</v>
      </c>
      <c r="AE304" s="334">
        <v>37</v>
      </c>
      <c r="AF304" s="334">
        <v>5</v>
      </c>
      <c r="AG304" s="334">
        <v>42</v>
      </c>
    </row>
    <row r="305" spans="1:33" x14ac:dyDescent="0.25">
      <c r="A305" s="329" t="s">
        <v>800</v>
      </c>
      <c r="B305" s="335" t="s">
        <v>798</v>
      </c>
      <c r="C305" s="331">
        <v>10394</v>
      </c>
      <c r="D305" s="331">
        <v>49</v>
      </c>
      <c r="E305" s="331">
        <v>388</v>
      </c>
      <c r="F305" s="331">
        <v>2395</v>
      </c>
      <c r="G305" s="331">
        <v>1877</v>
      </c>
      <c r="H305" s="331">
        <v>15103</v>
      </c>
      <c r="I305" s="330">
        <v>13226</v>
      </c>
      <c r="J305" s="330">
        <v>12</v>
      </c>
      <c r="K305" s="332">
        <v>98.91</v>
      </c>
      <c r="L305" s="332">
        <v>99.08</v>
      </c>
      <c r="M305" s="332">
        <v>5.52</v>
      </c>
      <c r="N305" s="332">
        <v>102.48</v>
      </c>
      <c r="O305" s="333">
        <v>9221</v>
      </c>
      <c r="P305" s="330">
        <v>93.37</v>
      </c>
      <c r="Q305" s="330">
        <v>94.66</v>
      </c>
      <c r="R305" s="330">
        <v>27.49</v>
      </c>
      <c r="S305" s="330">
        <v>112.42</v>
      </c>
      <c r="T305" s="330">
        <v>2721</v>
      </c>
      <c r="U305" s="330">
        <v>123.67</v>
      </c>
      <c r="V305" s="330">
        <v>785</v>
      </c>
      <c r="W305" s="330">
        <v>0</v>
      </c>
      <c r="X305" s="330">
        <v>0</v>
      </c>
      <c r="Y305" s="330">
        <v>83</v>
      </c>
      <c r="Z305" s="330">
        <v>43</v>
      </c>
      <c r="AA305" s="330">
        <v>48</v>
      </c>
      <c r="AB305" s="330">
        <v>103</v>
      </c>
      <c r="AC305" s="330">
        <v>38</v>
      </c>
      <c r="AD305" s="334">
        <v>10140</v>
      </c>
      <c r="AE305" s="334">
        <v>56</v>
      </c>
      <c r="AF305" s="334">
        <v>35</v>
      </c>
      <c r="AG305" s="334">
        <v>91</v>
      </c>
    </row>
    <row r="306" spans="1:33" x14ac:dyDescent="0.25">
      <c r="A306" s="329" t="s">
        <v>664</v>
      </c>
      <c r="B306" s="335" t="s">
        <v>665</v>
      </c>
      <c r="C306" s="331">
        <v>5221</v>
      </c>
      <c r="D306" s="331">
        <v>4</v>
      </c>
      <c r="E306" s="331">
        <v>117</v>
      </c>
      <c r="F306" s="331">
        <v>341</v>
      </c>
      <c r="G306" s="331">
        <v>520</v>
      </c>
      <c r="H306" s="331">
        <v>6203</v>
      </c>
      <c r="I306" s="330">
        <v>5683</v>
      </c>
      <c r="J306" s="330">
        <v>82</v>
      </c>
      <c r="K306" s="332">
        <v>111.92</v>
      </c>
      <c r="L306" s="332">
        <v>119.88</v>
      </c>
      <c r="M306" s="332">
        <v>4.5199999999999996</v>
      </c>
      <c r="N306" s="332">
        <v>113.4</v>
      </c>
      <c r="O306" s="333">
        <v>4765</v>
      </c>
      <c r="P306" s="330">
        <v>94.49</v>
      </c>
      <c r="Q306" s="330">
        <v>93.76</v>
      </c>
      <c r="R306" s="330">
        <v>37.159999999999997</v>
      </c>
      <c r="S306" s="330">
        <v>131.57</v>
      </c>
      <c r="T306" s="330">
        <v>451</v>
      </c>
      <c r="U306" s="330">
        <v>155.22</v>
      </c>
      <c r="V306" s="330">
        <v>306</v>
      </c>
      <c r="W306" s="330">
        <v>0</v>
      </c>
      <c r="X306" s="330">
        <v>0</v>
      </c>
      <c r="Y306" s="330">
        <v>0</v>
      </c>
      <c r="Z306" s="330">
        <v>5</v>
      </c>
      <c r="AA306" s="330">
        <v>1</v>
      </c>
      <c r="AB306" s="330">
        <v>15</v>
      </c>
      <c r="AC306" s="330">
        <v>14</v>
      </c>
      <c r="AD306" s="334">
        <v>5063</v>
      </c>
      <c r="AE306" s="334">
        <v>10</v>
      </c>
      <c r="AF306" s="334">
        <v>6</v>
      </c>
      <c r="AG306" s="334">
        <v>16</v>
      </c>
    </row>
    <row r="307" spans="1:33" x14ac:dyDescent="0.25">
      <c r="A307" s="329" t="s">
        <v>666</v>
      </c>
      <c r="B307" s="335" t="s">
        <v>667</v>
      </c>
      <c r="C307" s="331">
        <v>10427</v>
      </c>
      <c r="D307" s="331">
        <v>27</v>
      </c>
      <c r="E307" s="331">
        <v>422</v>
      </c>
      <c r="F307" s="331">
        <v>1272</v>
      </c>
      <c r="G307" s="331">
        <v>623</v>
      </c>
      <c r="H307" s="331">
        <v>12771</v>
      </c>
      <c r="I307" s="330">
        <v>12148</v>
      </c>
      <c r="J307" s="330">
        <v>5</v>
      </c>
      <c r="K307" s="332">
        <v>93.21</v>
      </c>
      <c r="L307" s="332">
        <v>92.63</v>
      </c>
      <c r="M307" s="332">
        <v>4.55</v>
      </c>
      <c r="N307" s="332">
        <v>94.24</v>
      </c>
      <c r="O307" s="333">
        <v>9236</v>
      </c>
      <c r="P307" s="330">
        <v>84.37</v>
      </c>
      <c r="Q307" s="330">
        <v>83.51</v>
      </c>
      <c r="R307" s="330">
        <v>38.26</v>
      </c>
      <c r="S307" s="330">
        <v>121.16</v>
      </c>
      <c r="T307" s="330">
        <v>1589</v>
      </c>
      <c r="U307" s="330">
        <v>128.25</v>
      </c>
      <c r="V307" s="330">
        <v>1013</v>
      </c>
      <c r="W307" s="330">
        <v>104.13</v>
      </c>
      <c r="X307" s="330">
        <v>15</v>
      </c>
      <c r="Y307" s="330">
        <v>0</v>
      </c>
      <c r="Z307" s="330">
        <v>32</v>
      </c>
      <c r="AA307" s="330">
        <v>17</v>
      </c>
      <c r="AB307" s="330">
        <v>9</v>
      </c>
      <c r="AC307" s="330">
        <v>23</v>
      </c>
      <c r="AD307" s="334">
        <v>10341</v>
      </c>
      <c r="AE307" s="334">
        <v>38</v>
      </c>
      <c r="AF307" s="334">
        <v>21</v>
      </c>
      <c r="AG307" s="334">
        <v>59</v>
      </c>
    </row>
    <row r="308" spans="1:33" x14ac:dyDescent="0.25">
      <c r="A308" s="329" t="s">
        <v>668</v>
      </c>
      <c r="B308" s="335" t="s">
        <v>669</v>
      </c>
      <c r="C308" s="331">
        <v>12405</v>
      </c>
      <c r="D308" s="331">
        <v>581</v>
      </c>
      <c r="E308" s="331">
        <v>1354</v>
      </c>
      <c r="F308" s="331">
        <v>972</v>
      </c>
      <c r="G308" s="331">
        <v>743</v>
      </c>
      <c r="H308" s="331">
        <v>16055</v>
      </c>
      <c r="I308" s="330">
        <v>15312</v>
      </c>
      <c r="J308" s="330">
        <v>324</v>
      </c>
      <c r="K308" s="332">
        <v>141.51</v>
      </c>
      <c r="L308" s="332">
        <v>155.58000000000001</v>
      </c>
      <c r="M308" s="332">
        <v>10.62</v>
      </c>
      <c r="N308" s="332">
        <v>149.66</v>
      </c>
      <c r="O308" s="333">
        <v>10192</v>
      </c>
      <c r="P308" s="330">
        <v>118.07</v>
      </c>
      <c r="Q308" s="330">
        <v>119.88</v>
      </c>
      <c r="R308" s="330">
        <v>56.31</v>
      </c>
      <c r="S308" s="330">
        <v>171.99</v>
      </c>
      <c r="T308" s="330">
        <v>1910</v>
      </c>
      <c r="U308" s="330">
        <v>211.66</v>
      </c>
      <c r="V308" s="330">
        <v>461</v>
      </c>
      <c r="W308" s="330">
        <v>152.97</v>
      </c>
      <c r="X308" s="330">
        <v>1</v>
      </c>
      <c r="Y308" s="330">
        <v>17</v>
      </c>
      <c r="Z308" s="330">
        <v>3</v>
      </c>
      <c r="AA308" s="330">
        <v>27</v>
      </c>
      <c r="AB308" s="330">
        <v>24</v>
      </c>
      <c r="AC308" s="330">
        <v>26</v>
      </c>
      <c r="AD308" s="334">
        <v>10902</v>
      </c>
      <c r="AE308" s="334">
        <v>19</v>
      </c>
      <c r="AF308" s="334">
        <v>114</v>
      </c>
      <c r="AG308" s="334">
        <v>133</v>
      </c>
    </row>
    <row r="309" spans="1:33" x14ac:dyDescent="0.25">
      <c r="A309" s="329" t="s">
        <v>670</v>
      </c>
      <c r="B309" s="335" t="s">
        <v>671</v>
      </c>
      <c r="C309" s="331">
        <v>1984</v>
      </c>
      <c r="D309" s="331">
        <v>4</v>
      </c>
      <c r="E309" s="331">
        <v>551</v>
      </c>
      <c r="F309" s="331">
        <v>992</v>
      </c>
      <c r="G309" s="331">
        <v>285</v>
      </c>
      <c r="H309" s="331">
        <v>3816</v>
      </c>
      <c r="I309" s="330">
        <v>3531</v>
      </c>
      <c r="J309" s="330">
        <v>70</v>
      </c>
      <c r="K309" s="332">
        <v>81.430000000000007</v>
      </c>
      <c r="L309" s="332">
        <v>79.56</v>
      </c>
      <c r="M309" s="332">
        <v>8.27</v>
      </c>
      <c r="N309" s="332">
        <v>85.64</v>
      </c>
      <c r="O309" s="333">
        <v>1736</v>
      </c>
      <c r="P309" s="330">
        <v>82.27</v>
      </c>
      <c r="Q309" s="330">
        <v>75.7</v>
      </c>
      <c r="R309" s="330">
        <v>46.89</v>
      </c>
      <c r="S309" s="330">
        <v>126.89</v>
      </c>
      <c r="T309" s="330">
        <v>1404</v>
      </c>
      <c r="U309" s="330">
        <v>98.93</v>
      </c>
      <c r="V309" s="330">
        <v>170</v>
      </c>
      <c r="W309" s="330">
        <v>162.78</v>
      </c>
      <c r="X309" s="330">
        <v>20</v>
      </c>
      <c r="Y309" s="330">
        <v>0</v>
      </c>
      <c r="Z309" s="330">
        <v>1</v>
      </c>
      <c r="AA309" s="330">
        <v>14</v>
      </c>
      <c r="AB309" s="330">
        <v>3</v>
      </c>
      <c r="AC309" s="330">
        <v>7</v>
      </c>
      <c r="AD309" s="334">
        <v>1903</v>
      </c>
      <c r="AE309" s="334">
        <v>26</v>
      </c>
      <c r="AF309" s="334">
        <v>15</v>
      </c>
      <c r="AG309" s="334">
        <v>41</v>
      </c>
    </row>
    <row r="310" spans="1:33" x14ac:dyDescent="0.25">
      <c r="A310" s="329" t="s">
        <v>672</v>
      </c>
      <c r="B310" s="335" t="s">
        <v>673</v>
      </c>
      <c r="C310" s="331">
        <v>21232</v>
      </c>
      <c r="D310" s="331">
        <v>25</v>
      </c>
      <c r="E310" s="331">
        <v>621</v>
      </c>
      <c r="F310" s="331">
        <v>3116</v>
      </c>
      <c r="G310" s="331">
        <v>1353</v>
      </c>
      <c r="H310" s="331">
        <v>26347</v>
      </c>
      <c r="I310" s="330">
        <v>24994</v>
      </c>
      <c r="J310" s="330">
        <v>24</v>
      </c>
      <c r="K310" s="332">
        <v>101.82</v>
      </c>
      <c r="L310" s="332">
        <v>102.18</v>
      </c>
      <c r="M310" s="332">
        <v>3.87</v>
      </c>
      <c r="N310" s="332">
        <v>103.73</v>
      </c>
      <c r="O310" s="333">
        <v>19035</v>
      </c>
      <c r="P310" s="330">
        <v>92.52</v>
      </c>
      <c r="Q310" s="330">
        <v>91.63</v>
      </c>
      <c r="R310" s="330">
        <v>23.75</v>
      </c>
      <c r="S310" s="330">
        <v>115.22</v>
      </c>
      <c r="T310" s="330">
        <v>3369</v>
      </c>
      <c r="U310" s="330">
        <v>125.46</v>
      </c>
      <c r="V310" s="330">
        <v>1613</v>
      </c>
      <c r="W310" s="330">
        <v>126.2</v>
      </c>
      <c r="X310" s="330">
        <v>34</v>
      </c>
      <c r="Y310" s="330">
        <v>0</v>
      </c>
      <c r="Z310" s="330">
        <v>22</v>
      </c>
      <c r="AA310" s="330">
        <v>58</v>
      </c>
      <c r="AB310" s="330">
        <v>88</v>
      </c>
      <c r="AC310" s="330">
        <v>35</v>
      </c>
      <c r="AD310" s="334">
        <v>20698</v>
      </c>
      <c r="AE310" s="334">
        <v>81</v>
      </c>
      <c r="AF310" s="334">
        <v>142</v>
      </c>
      <c r="AG310" s="334">
        <v>223</v>
      </c>
    </row>
    <row r="311" spans="1:33" x14ac:dyDescent="0.25">
      <c r="A311" s="329" t="s">
        <v>674</v>
      </c>
      <c r="B311" s="335" t="s">
        <v>675</v>
      </c>
      <c r="C311" s="331">
        <v>2081</v>
      </c>
      <c r="D311" s="331">
        <v>0</v>
      </c>
      <c r="E311" s="331">
        <v>249</v>
      </c>
      <c r="F311" s="331">
        <v>225</v>
      </c>
      <c r="G311" s="331">
        <v>335</v>
      </c>
      <c r="H311" s="331">
        <v>2890</v>
      </c>
      <c r="I311" s="330">
        <v>2555</v>
      </c>
      <c r="J311" s="330">
        <v>9</v>
      </c>
      <c r="K311" s="332">
        <v>116.06</v>
      </c>
      <c r="L311" s="332">
        <v>113.36</v>
      </c>
      <c r="M311" s="332">
        <v>6.41</v>
      </c>
      <c r="N311" s="332">
        <v>122.03</v>
      </c>
      <c r="O311" s="333">
        <v>1674</v>
      </c>
      <c r="P311" s="330">
        <v>96.03</v>
      </c>
      <c r="Q311" s="330">
        <v>92.42</v>
      </c>
      <c r="R311" s="330">
        <v>39.869999999999997</v>
      </c>
      <c r="S311" s="330">
        <v>132.09</v>
      </c>
      <c r="T311" s="330">
        <v>439</v>
      </c>
      <c r="U311" s="330">
        <v>163.69999999999999</v>
      </c>
      <c r="V311" s="330">
        <v>205</v>
      </c>
      <c r="W311" s="330">
        <v>0</v>
      </c>
      <c r="X311" s="330">
        <v>0</v>
      </c>
      <c r="Y311" s="330">
        <v>1</v>
      </c>
      <c r="Z311" s="330">
        <v>6</v>
      </c>
      <c r="AA311" s="330">
        <v>0</v>
      </c>
      <c r="AB311" s="330">
        <v>10</v>
      </c>
      <c r="AC311" s="330">
        <v>18</v>
      </c>
      <c r="AD311" s="334">
        <v>1914</v>
      </c>
      <c r="AE311" s="334">
        <v>12</v>
      </c>
      <c r="AF311" s="334">
        <v>8</v>
      </c>
      <c r="AG311" s="334">
        <v>20</v>
      </c>
    </row>
    <row r="312" spans="1:33" x14ac:dyDescent="0.25">
      <c r="A312" s="329" t="s">
        <v>676</v>
      </c>
      <c r="B312" s="335" t="s">
        <v>677</v>
      </c>
      <c r="C312" s="331">
        <v>6722</v>
      </c>
      <c r="D312" s="331">
        <v>16</v>
      </c>
      <c r="E312" s="331">
        <v>208</v>
      </c>
      <c r="F312" s="331">
        <v>902</v>
      </c>
      <c r="G312" s="331">
        <v>239</v>
      </c>
      <c r="H312" s="331">
        <v>8087</v>
      </c>
      <c r="I312" s="330">
        <v>7848</v>
      </c>
      <c r="J312" s="330">
        <v>8</v>
      </c>
      <c r="K312" s="332">
        <v>123.94</v>
      </c>
      <c r="L312" s="332">
        <v>126.71</v>
      </c>
      <c r="M312" s="332">
        <v>4.67</v>
      </c>
      <c r="N312" s="332">
        <v>126.69</v>
      </c>
      <c r="O312" s="333">
        <v>6409</v>
      </c>
      <c r="P312" s="330">
        <v>107.41</v>
      </c>
      <c r="Q312" s="330">
        <v>107.18</v>
      </c>
      <c r="R312" s="330">
        <v>20.83</v>
      </c>
      <c r="S312" s="330">
        <v>127.62</v>
      </c>
      <c r="T312" s="330">
        <v>1066</v>
      </c>
      <c r="U312" s="330">
        <v>175.56</v>
      </c>
      <c r="V312" s="330">
        <v>279</v>
      </c>
      <c r="W312" s="330">
        <v>145.43</v>
      </c>
      <c r="X312" s="330">
        <v>1</v>
      </c>
      <c r="Y312" s="330">
        <v>0</v>
      </c>
      <c r="Z312" s="330">
        <v>5</v>
      </c>
      <c r="AA312" s="330">
        <v>4</v>
      </c>
      <c r="AB312" s="330">
        <v>36</v>
      </c>
      <c r="AC312" s="330">
        <v>9</v>
      </c>
      <c r="AD312" s="334">
        <v>6720</v>
      </c>
      <c r="AE312" s="334">
        <v>14</v>
      </c>
      <c r="AF312" s="334">
        <v>5</v>
      </c>
      <c r="AG312" s="334">
        <v>19</v>
      </c>
    </row>
    <row r="313" spans="1:33" x14ac:dyDescent="0.25">
      <c r="A313" s="329" t="s">
        <v>678</v>
      </c>
      <c r="B313" s="335" t="s">
        <v>679</v>
      </c>
      <c r="C313" s="331">
        <v>17445</v>
      </c>
      <c r="D313" s="331">
        <v>566</v>
      </c>
      <c r="E313" s="331">
        <v>1093</v>
      </c>
      <c r="F313" s="331">
        <v>3716</v>
      </c>
      <c r="G313" s="331">
        <v>476</v>
      </c>
      <c r="H313" s="331">
        <v>23296</v>
      </c>
      <c r="I313" s="330">
        <v>22820</v>
      </c>
      <c r="J313" s="330">
        <v>31</v>
      </c>
      <c r="K313" s="332">
        <v>88.04</v>
      </c>
      <c r="L313" s="332">
        <v>85.72</v>
      </c>
      <c r="M313" s="332">
        <v>6</v>
      </c>
      <c r="N313" s="332">
        <v>90.05</v>
      </c>
      <c r="O313" s="333">
        <v>14572</v>
      </c>
      <c r="P313" s="330">
        <v>82.9</v>
      </c>
      <c r="Q313" s="330">
        <v>80.42</v>
      </c>
      <c r="R313" s="330">
        <v>24.59</v>
      </c>
      <c r="S313" s="330">
        <v>106.25</v>
      </c>
      <c r="T313" s="330">
        <v>3630</v>
      </c>
      <c r="U313" s="330">
        <v>110.84</v>
      </c>
      <c r="V313" s="330">
        <v>1593</v>
      </c>
      <c r="W313" s="330">
        <v>141.77000000000001</v>
      </c>
      <c r="X313" s="330">
        <v>118</v>
      </c>
      <c r="Y313" s="330">
        <v>7</v>
      </c>
      <c r="Z313" s="330">
        <v>41</v>
      </c>
      <c r="AA313" s="330">
        <v>18</v>
      </c>
      <c r="AB313" s="330">
        <v>0</v>
      </c>
      <c r="AC313" s="330">
        <v>2</v>
      </c>
      <c r="AD313" s="334">
        <v>16085</v>
      </c>
      <c r="AE313" s="334">
        <v>179</v>
      </c>
      <c r="AF313" s="334">
        <v>265</v>
      </c>
      <c r="AG313" s="334">
        <v>444</v>
      </c>
    </row>
    <row r="314" spans="1:33" x14ac:dyDescent="0.25">
      <c r="A314" s="329" t="s">
        <v>680</v>
      </c>
      <c r="B314" s="335" t="s">
        <v>681</v>
      </c>
      <c r="C314" s="331">
        <v>860</v>
      </c>
      <c r="D314" s="331">
        <v>4</v>
      </c>
      <c r="E314" s="331">
        <v>166</v>
      </c>
      <c r="F314" s="331">
        <v>315</v>
      </c>
      <c r="G314" s="331">
        <v>246</v>
      </c>
      <c r="H314" s="331">
        <v>1591</v>
      </c>
      <c r="I314" s="330">
        <v>1345</v>
      </c>
      <c r="J314" s="330">
        <v>1</v>
      </c>
      <c r="K314" s="332">
        <v>127.59</v>
      </c>
      <c r="L314" s="332">
        <v>126.57</v>
      </c>
      <c r="M314" s="332">
        <v>8.5500000000000007</v>
      </c>
      <c r="N314" s="332">
        <v>134.43</v>
      </c>
      <c r="O314" s="333">
        <v>699</v>
      </c>
      <c r="P314" s="330">
        <v>103.07</v>
      </c>
      <c r="Q314" s="330">
        <v>98.53</v>
      </c>
      <c r="R314" s="330">
        <v>36.15</v>
      </c>
      <c r="S314" s="330">
        <v>138.93</v>
      </c>
      <c r="T314" s="330">
        <v>251</v>
      </c>
      <c r="U314" s="330">
        <v>171.8</v>
      </c>
      <c r="V314" s="330">
        <v>19</v>
      </c>
      <c r="W314" s="330">
        <v>138.6</v>
      </c>
      <c r="X314" s="330">
        <v>15</v>
      </c>
      <c r="Y314" s="330">
        <v>0</v>
      </c>
      <c r="Z314" s="330">
        <v>3</v>
      </c>
      <c r="AA314" s="330">
        <v>0</v>
      </c>
      <c r="AB314" s="330">
        <v>15</v>
      </c>
      <c r="AC314" s="330">
        <v>7</v>
      </c>
      <c r="AD314" s="334">
        <v>742</v>
      </c>
      <c r="AE314" s="334">
        <v>7</v>
      </c>
      <c r="AF314" s="334">
        <v>0</v>
      </c>
      <c r="AG314" s="334">
        <v>7</v>
      </c>
    </row>
    <row r="315" spans="1:33" x14ac:dyDescent="0.25">
      <c r="A315" s="329" t="s">
        <v>682</v>
      </c>
      <c r="B315" s="335" t="s">
        <v>683</v>
      </c>
      <c r="C315" s="331">
        <v>1334</v>
      </c>
      <c r="D315" s="331">
        <v>3</v>
      </c>
      <c r="E315" s="331">
        <v>114</v>
      </c>
      <c r="F315" s="331">
        <v>202</v>
      </c>
      <c r="G315" s="331">
        <v>568</v>
      </c>
      <c r="H315" s="331">
        <v>2221</v>
      </c>
      <c r="I315" s="330">
        <v>1653</v>
      </c>
      <c r="J315" s="330">
        <v>1</v>
      </c>
      <c r="K315" s="332">
        <v>130.31</v>
      </c>
      <c r="L315" s="332">
        <v>128.96</v>
      </c>
      <c r="M315" s="332">
        <v>5.38</v>
      </c>
      <c r="N315" s="332">
        <v>134.72999999999999</v>
      </c>
      <c r="O315" s="333">
        <v>1190</v>
      </c>
      <c r="P315" s="330">
        <v>110.33</v>
      </c>
      <c r="Q315" s="330">
        <v>105.65</v>
      </c>
      <c r="R315" s="330">
        <v>32.130000000000003</v>
      </c>
      <c r="S315" s="330">
        <v>142.35</v>
      </c>
      <c r="T315" s="330">
        <v>304</v>
      </c>
      <c r="U315" s="330">
        <v>158.27000000000001</v>
      </c>
      <c r="V315" s="330">
        <v>68</v>
      </c>
      <c r="W315" s="330">
        <v>0</v>
      </c>
      <c r="X315" s="330">
        <v>0</v>
      </c>
      <c r="Y315" s="330">
        <v>0</v>
      </c>
      <c r="Z315" s="330">
        <v>0</v>
      </c>
      <c r="AA315" s="330">
        <v>0</v>
      </c>
      <c r="AB315" s="330">
        <v>20</v>
      </c>
      <c r="AC315" s="330">
        <v>23</v>
      </c>
      <c r="AD315" s="334">
        <v>1268</v>
      </c>
      <c r="AE315" s="334">
        <v>1</v>
      </c>
      <c r="AF315" s="334">
        <v>1</v>
      </c>
      <c r="AG315" s="334">
        <v>2</v>
      </c>
    </row>
    <row r="316" spans="1:33" x14ac:dyDescent="0.25">
      <c r="A316" s="329" t="s">
        <v>684</v>
      </c>
      <c r="B316" s="335" t="s">
        <v>685</v>
      </c>
      <c r="C316" s="331">
        <v>4142</v>
      </c>
      <c r="D316" s="331">
        <v>0</v>
      </c>
      <c r="E316" s="331">
        <v>546</v>
      </c>
      <c r="F316" s="331">
        <v>1494</v>
      </c>
      <c r="G316" s="331">
        <v>297</v>
      </c>
      <c r="H316" s="331">
        <v>6479</v>
      </c>
      <c r="I316" s="330">
        <v>6182</v>
      </c>
      <c r="J316" s="330">
        <v>51</v>
      </c>
      <c r="K316" s="332">
        <v>90.06</v>
      </c>
      <c r="L316" s="332">
        <v>89.27</v>
      </c>
      <c r="M316" s="332">
        <v>5.96</v>
      </c>
      <c r="N316" s="332">
        <v>94.78</v>
      </c>
      <c r="O316" s="333">
        <v>3827</v>
      </c>
      <c r="P316" s="330">
        <v>93.19</v>
      </c>
      <c r="Q316" s="330">
        <v>91.4</v>
      </c>
      <c r="R316" s="330">
        <v>47.97</v>
      </c>
      <c r="S316" s="330">
        <v>136.12</v>
      </c>
      <c r="T316" s="330">
        <v>1850</v>
      </c>
      <c r="U316" s="330">
        <v>106.02</v>
      </c>
      <c r="V316" s="330">
        <v>185</v>
      </c>
      <c r="W316" s="330">
        <v>164.2</v>
      </c>
      <c r="X316" s="330">
        <v>40</v>
      </c>
      <c r="Y316" s="330">
        <v>0</v>
      </c>
      <c r="Z316" s="330">
        <v>1</v>
      </c>
      <c r="AA316" s="330">
        <v>0</v>
      </c>
      <c r="AB316" s="330">
        <v>0</v>
      </c>
      <c r="AC316" s="330">
        <v>15</v>
      </c>
      <c r="AD316" s="334">
        <v>4136</v>
      </c>
      <c r="AE316" s="334">
        <v>25</v>
      </c>
      <c r="AF316" s="334">
        <v>24</v>
      </c>
      <c r="AG316" s="334">
        <v>49</v>
      </c>
    </row>
    <row r="317" spans="1:33" x14ac:dyDescent="0.25">
      <c r="A317" s="329" t="s">
        <v>686</v>
      </c>
      <c r="B317" s="335" t="s">
        <v>687</v>
      </c>
      <c r="C317" s="331">
        <v>5884</v>
      </c>
      <c r="D317" s="331">
        <v>57</v>
      </c>
      <c r="E317" s="331">
        <v>377</v>
      </c>
      <c r="F317" s="331">
        <v>1029</v>
      </c>
      <c r="G317" s="331">
        <v>500</v>
      </c>
      <c r="H317" s="331">
        <v>7847</v>
      </c>
      <c r="I317" s="330">
        <v>7347</v>
      </c>
      <c r="J317" s="330">
        <v>0</v>
      </c>
      <c r="K317" s="332">
        <v>88.83</v>
      </c>
      <c r="L317" s="332">
        <v>90.51</v>
      </c>
      <c r="M317" s="332">
        <v>5.46</v>
      </c>
      <c r="N317" s="332">
        <v>93.84</v>
      </c>
      <c r="O317" s="333">
        <v>5219</v>
      </c>
      <c r="P317" s="330">
        <v>78.650000000000006</v>
      </c>
      <c r="Q317" s="330">
        <v>79.62</v>
      </c>
      <c r="R317" s="330">
        <v>34.549999999999997</v>
      </c>
      <c r="S317" s="330">
        <v>112.35</v>
      </c>
      <c r="T317" s="330">
        <v>1154</v>
      </c>
      <c r="U317" s="330">
        <v>108.26</v>
      </c>
      <c r="V317" s="330">
        <v>593</v>
      </c>
      <c r="W317" s="330">
        <v>180.57</v>
      </c>
      <c r="X317" s="330">
        <v>132</v>
      </c>
      <c r="Y317" s="330">
        <v>0</v>
      </c>
      <c r="Z317" s="330">
        <v>22</v>
      </c>
      <c r="AA317" s="330">
        <v>3</v>
      </c>
      <c r="AB317" s="330">
        <v>38</v>
      </c>
      <c r="AC317" s="330">
        <v>10</v>
      </c>
      <c r="AD317" s="334">
        <v>5864</v>
      </c>
      <c r="AE317" s="334">
        <v>53</v>
      </c>
      <c r="AF317" s="334">
        <v>15</v>
      </c>
      <c r="AG317" s="334">
        <v>68</v>
      </c>
    </row>
    <row r="318" spans="1:33" x14ac:dyDescent="0.25">
      <c r="A318" s="329" t="s">
        <v>688</v>
      </c>
      <c r="B318" s="335" t="s">
        <v>689</v>
      </c>
      <c r="C318" s="331">
        <v>3924</v>
      </c>
      <c r="D318" s="331">
        <v>37</v>
      </c>
      <c r="E318" s="331">
        <v>267</v>
      </c>
      <c r="F318" s="331">
        <v>569</v>
      </c>
      <c r="G318" s="331">
        <v>146</v>
      </c>
      <c r="H318" s="331">
        <v>4943</v>
      </c>
      <c r="I318" s="330">
        <v>4797</v>
      </c>
      <c r="J318" s="330">
        <v>2</v>
      </c>
      <c r="K318" s="332">
        <v>103.59</v>
      </c>
      <c r="L318" s="332">
        <v>102.9</v>
      </c>
      <c r="M318" s="332">
        <v>6.09</v>
      </c>
      <c r="N318" s="332">
        <v>107.25</v>
      </c>
      <c r="O318" s="333">
        <v>3685</v>
      </c>
      <c r="P318" s="330">
        <v>89.52</v>
      </c>
      <c r="Q318" s="330">
        <v>85.7</v>
      </c>
      <c r="R318" s="330">
        <v>31.52</v>
      </c>
      <c r="S318" s="330">
        <v>118.77</v>
      </c>
      <c r="T318" s="330">
        <v>651</v>
      </c>
      <c r="U318" s="330">
        <v>140.66</v>
      </c>
      <c r="V318" s="330">
        <v>117</v>
      </c>
      <c r="W318" s="330">
        <v>148.83000000000001</v>
      </c>
      <c r="X318" s="330">
        <v>19</v>
      </c>
      <c r="Y318" s="330">
        <v>0</v>
      </c>
      <c r="Z318" s="330">
        <v>0</v>
      </c>
      <c r="AA318" s="330">
        <v>1</v>
      </c>
      <c r="AB318" s="330">
        <v>0</v>
      </c>
      <c r="AC318" s="330">
        <v>1</v>
      </c>
      <c r="AD318" s="334">
        <v>3900</v>
      </c>
      <c r="AE318" s="334">
        <v>3</v>
      </c>
      <c r="AF318" s="334">
        <v>5</v>
      </c>
      <c r="AG318" s="334">
        <v>8</v>
      </c>
    </row>
    <row r="319" spans="1:33" x14ac:dyDescent="0.25">
      <c r="A319" s="329" t="s">
        <v>690</v>
      </c>
      <c r="B319" s="335" t="s">
        <v>691</v>
      </c>
      <c r="C319" s="331">
        <v>7036</v>
      </c>
      <c r="D319" s="331">
        <v>7</v>
      </c>
      <c r="E319" s="331">
        <v>43</v>
      </c>
      <c r="F319" s="331">
        <v>916</v>
      </c>
      <c r="G319" s="331">
        <v>348</v>
      </c>
      <c r="H319" s="331">
        <v>8350</v>
      </c>
      <c r="I319" s="330">
        <v>8002</v>
      </c>
      <c r="J319" s="330">
        <v>0</v>
      </c>
      <c r="K319" s="332">
        <v>96.19</v>
      </c>
      <c r="L319" s="332">
        <v>96.8</v>
      </c>
      <c r="M319" s="332">
        <v>3.99</v>
      </c>
      <c r="N319" s="332">
        <v>98.31</v>
      </c>
      <c r="O319" s="333">
        <v>6262</v>
      </c>
      <c r="P319" s="330">
        <v>84.98</v>
      </c>
      <c r="Q319" s="330">
        <v>85.09</v>
      </c>
      <c r="R319" s="330">
        <v>30.43</v>
      </c>
      <c r="S319" s="330">
        <v>115.1</v>
      </c>
      <c r="T319" s="330">
        <v>888</v>
      </c>
      <c r="U319" s="330">
        <v>115.77</v>
      </c>
      <c r="V319" s="330">
        <v>762</v>
      </c>
      <c r="W319" s="330">
        <v>197.63</v>
      </c>
      <c r="X319" s="330">
        <v>29</v>
      </c>
      <c r="Y319" s="330">
        <v>0</v>
      </c>
      <c r="Z319" s="330">
        <v>12</v>
      </c>
      <c r="AA319" s="330">
        <v>1</v>
      </c>
      <c r="AB319" s="330">
        <v>73</v>
      </c>
      <c r="AC319" s="330">
        <v>11</v>
      </c>
      <c r="AD319" s="334">
        <v>7036</v>
      </c>
      <c r="AE319" s="334">
        <v>34</v>
      </c>
      <c r="AF319" s="334">
        <v>28</v>
      </c>
      <c r="AG319" s="334">
        <v>62</v>
      </c>
    </row>
    <row r="320" spans="1:33" x14ac:dyDescent="0.25">
      <c r="A320" s="329" t="s">
        <v>692</v>
      </c>
      <c r="B320" s="335" t="s">
        <v>693</v>
      </c>
      <c r="C320" s="331">
        <v>3149</v>
      </c>
      <c r="D320" s="331">
        <v>0</v>
      </c>
      <c r="E320" s="331">
        <v>268</v>
      </c>
      <c r="F320" s="331">
        <v>441</v>
      </c>
      <c r="G320" s="331">
        <v>185</v>
      </c>
      <c r="H320" s="331">
        <v>4043</v>
      </c>
      <c r="I320" s="330">
        <v>3858</v>
      </c>
      <c r="J320" s="330">
        <v>0</v>
      </c>
      <c r="K320" s="332">
        <v>87.19</v>
      </c>
      <c r="L320" s="332">
        <v>87.49</v>
      </c>
      <c r="M320" s="332">
        <v>5.24</v>
      </c>
      <c r="N320" s="332">
        <v>89.61</v>
      </c>
      <c r="O320" s="333">
        <v>2934</v>
      </c>
      <c r="P320" s="330">
        <v>91.33</v>
      </c>
      <c r="Q320" s="330">
        <v>81.61</v>
      </c>
      <c r="R320" s="330">
        <v>25.78</v>
      </c>
      <c r="S320" s="330">
        <v>115.19</v>
      </c>
      <c r="T320" s="330">
        <v>642</v>
      </c>
      <c r="U320" s="330">
        <v>105.22</v>
      </c>
      <c r="V320" s="330">
        <v>170</v>
      </c>
      <c r="W320" s="330">
        <v>0</v>
      </c>
      <c r="X320" s="330">
        <v>0</v>
      </c>
      <c r="Y320" s="330">
        <v>0</v>
      </c>
      <c r="Z320" s="330">
        <v>9</v>
      </c>
      <c r="AA320" s="330">
        <v>0</v>
      </c>
      <c r="AB320" s="330">
        <v>7</v>
      </c>
      <c r="AC320" s="330">
        <v>13</v>
      </c>
      <c r="AD320" s="334">
        <v>3115</v>
      </c>
      <c r="AE320" s="334">
        <v>18</v>
      </c>
      <c r="AF320" s="334">
        <v>9</v>
      </c>
      <c r="AG320" s="334">
        <v>27</v>
      </c>
    </row>
    <row r="321" spans="1:33" x14ac:dyDescent="0.25">
      <c r="A321" s="329" t="s">
        <v>694</v>
      </c>
      <c r="B321" s="335" t="s">
        <v>695</v>
      </c>
      <c r="C321" s="331">
        <v>4354</v>
      </c>
      <c r="D321" s="331">
        <v>0</v>
      </c>
      <c r="E321" s="331">
        <v>81</v>
      </c>
      <c r="F321" s="331">
        <v>2192</v>
      </c>
      <c r="G321" s="331">
        <v>375</v>
      </c>
      <c r="H321" s="331">
        <v>7002</v>
      </c>
      <c r="I321" s="330">
        <v>6627</v>
      </c>
      <c r="J321" s="330">
        <v>0</v>
      </c>
      <c r="K321" s="332">
        <v>90.8</v>
      </c>
      <c r="L321" s="332">
        <v>88.04</v>
      </c>
      <c r="M321" s="332">
        <v>4.6500000000000004</v>
      </c>
      <c r="N321" s="332">
        <v>95.23</v>
      </c>
      <c r="O321" s="333">
        <v>4051</v>
      </c>
      <c r="P321" s="330">
        <v>83.85</v>
      </c>
      <c r="Q321" s="330">
        <v>78.55</v>
      </c>
      <c r="R321" s="330">
        <v>13.97</v>
      </c>
      <c r="S321" s="330">
        <v>97.8</v>
      </c>
      <c r="T321" s="330">
        <v>2229</v>
      </c>
      <c r="U321" s="330">
        <v>99.4</v>
      </c>
      <c r="V321" s="330">
        <v>273</v>
      </c>
      <c r="W321" s="330">
        <v>127.16</v>
      </c>
      <c r="X321" s="330">
        <v>15</v>
      </c>
      <c r="Y321" s="330">
        <v>0</v>
      </c>
      <c r="Z321" s="330">
        <v>6</v>
      </c>
      <c r="AA321" s="330">
        <v>3</v>
      </c>
      <c r="AB321" s="330">
        <v>41</v>
      </c>
      <c r="AC321" s="330">
        <v>17</v>
      </c>
      <c r="AD321" s="334">
        <v>4354</v>
      </c>
      <c r="AE321" s="334">
        <v>20</v>
      </c>
      <c r="AF321" s="334">
        <v>24</v>
      </c>
      <c r="AG321" s="334">
        <v>44</v>
      </c>
    </row>
    <row r="322" spans="1:33" x14ac:dyDescent="0.25">
      <c r="A322" s="329" t="s">
        <v>696</v>
      </c>
      <c r="B322" s="335" t="s">
        <v>697</v>
      </c>
      <c r="C322" s="331">
        <v>3528</v>
      </c>
      <c r="D322" s="331">
        <v>12</v>
      </c>
      <c r="E322" s="331">
        <v>355</v>
      </c>
      <c r="F322" s="331">
        <v>1017</v>
      </c>
      <c r="G322" s="331">
        <v>471</v>
      </c>
      <c r="H322" s="331">
        <v>5383</v>
      </c>
      <c r="I322" s="330">
        <v>4912</v>
      </c>
      <c r="J322" s="330">
        <v>16</v>
      </c>
      <c r="K322" s="332">
        <v>95.31</v>
      </c>
      <c r="L322" s="332">
        <v>94.97</v>
      </c>
      <c r="M322" s="332">
        <v>6.27</v>
      </c>
      <c r="N322" s="332">
        <v>98.23</v>
      </c>
      <c r="O322" s="333">
        <v>2813</v>
      </c>
      <c r="P322" s="330">
        <v>83.22</v>
      </c>
      <c r="Q322" s="330">
        <v>77.75</v>
      </c>
      <c r="R322" s="330">
        <v>21.23</v>
      </c>
      <c r="S322" s="330">
        <v>101.58</v>
      </c>
      <c r="T322" s="330">
        <v>871</v>
      </c>
      <c r="U322" s="330">
        <v>111.08</v>
      </c>
      <c r="V322" s="330">
        <v>299</v>
      </c>
      <c r="W322" s="330">
        <v>99.03</v>
      </c>
      <c r="X322" s="330">
        <v>78</v>
      </c>
      <c r="Y322" s="330">
        <v>16</v>
      </c>
      <c r="Z322" s="330">
        <v>0</v>
      </c>
      <c r="AA322" s="330">
        <v>7</v>
      </c>
      <c r="AB322" s="330">
        <v>22</v>
      </c>
      <c r="AC322" s="330">
        <v>3</v>
      </c>
      <c r="AD322" s="334">
        <v>3200</v>
      </c>
      <c r="AE322" s="334">
        <v>18</v>
      </c>
      <c r="AF322" s="334">
        <v>7</v>
      </c>
      <c r="AG322" s="334">
        <v>25</v>
      </c>
    </row>
  </sheetData>
  <pageMargins left="0.7" right="0.7" top="0.75" bottom="0.75" header="0.3" footer="0.3"/>
  <pageSetup paperSize="9" orientation="portrait" r:id="rId1"/>
  <headerFooter>
    <oddFooter>&amp;C&amp;1#&amp;"Calibri"&amp;12&amp;K0078D7OFFICIAL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4C5FD-ECBD-4F4F-AAA4-E055B06D43EE}">
  <sheetPr codeName="Sheet4">
    <tabColor rgb="FFFFFF00"/>
  </sheetPr>
  <dimension ref="A1:AG322"/>
  <sheetViews>
    <sheetView zoomScale="80" zoomScaleNormal="80" workbookViewId="0">
      <selection sqref="A1:XFD1048576"/>
    </sheetView>
  </sheetViews>
  <sheetFormatPr defaultColWidth="9.1796875" defaultRowHeight="12.5" x14ac:dyDescent="0.25"/>
  <cols>
    <col min="1" max="8" width="9.1796875" style="145"/>
    <col min="9" max="10" width="10.453125" style="145" customWidth="1"/>
    <col min="11" max="11" width="10.453125" style="145" bestFit="1" customWidth="1"/>
    <col min="12" max="16384" width="9.1796875" style="145"/>
  </cols>
  <sheetData>
    <row r="1" spans="1:33" s="144" customFormat="1" ht="13" x14ac:dyDescent="0.3">
      <c r="A1" s="134"/>
      <c r="B1" s="134"/>
      <c r="C1" s="135" t="s">
        <v>38</v>
      </c>
      <c r="D1" s="135" t="s">
        <v>38</v>
      </c>
      <c r="E1" s="135" t="s">
        <v>38</v>
      </c>
      <c r="F1" s="135" t="s">
        <v>38</v>
      </c>
      <c r="G1" s="135" t="s">
        <v>38</v>
      </c>
      <c r="H1" s="135" t="s">
        <v>38</v>
      </c>
      <c r="I1" s="136" t="s">
        <v>39</v>
      </c>
      <c r="J1" s="136" t="s">
        <v>39</v>
      </c>
      <c r="K1" s="137" t="s">
        <v>40</v>
      </c>
      <c r="L1" s="137" t="s">
        <v>40</v>
      </c>
      <c r="M1" s="137" t="s">
        <v>40</v>
      </c>
      <c r="N1" s="138" t="s">
        <v>40</v>
      </c>
      <c r="O1" s="137" t="s">
        <v>40</v>
      </c>
      <c r="P1" s="139" t="s">
        <v>41</v>
      </c>
      <c r="Q1" s="139" t="s">
        <v>41</v>
      </c>
      <c r="R1" s="139" t="s">
        <v>41</v>
      </c>
      <c r="S1" s="139" t="s">
        <v>41</v>
      </c>
      <c r="T1" s="139" t="s">
        <v>41</v>
      </c>
      <c r="U1" s="140" t="s">
        <v>42</v>
      </c>
      <c r="V1" s="140" t="s">
        <v>42</v>
      </c>
      <c r="W1" s="141" t="s">
        <v>43</v>
      </c>
      <c r="X1" s="141" t="s">
        <v>43</v>
      </c>
      <c r="Y1" s="142" t="s">
        <v>44</v>
      </c>
      <c r="Z1" s="142" t="s">
        <v>44</v>
      </c>
      <c r="AA1" s="142" t="s">
        <v>44</v>
      </c>
      <c r="AB1" s="142" t="s">
        <v>44</v>
      </c>
      <c r="AC1" s="142" t="s">
        <v>44</v>
      </c>
      <c r="AD1" s="143" t="s">
        <v>45</v>
      </c>
      <c r="AE1" s="143" t="s">
        <v>45</v>
      </c>
      <c r="AF1" s="143" t="s">
        <v>45</v>
      </c>
      <c r="AG1" s="143" t="s">
        <v>45</v>
      </c>
    </row>
    <row r="2" spans="1:33" x14ac:dyDescent="0.25">
      <c r="B2" s="146">
        <v>1</v>
      </c>
      <c r="C2" s="146">
        <v>2</v>
      </c>
      <c r="D2" s="146">
        <v>3</v>
      </c>
      <c r="E2" s="146">
        <v>4</v>
      </c>
      <c r="F2" s="146">
        <v>5</v>
      </c>
      <c r="G2" s="146">
        <v>6</v>
      </c>
      <c r="H2" s="146">
        <v>7</v>
      </c>
      <c r="I2" s="146">
        <v>8</v>
      </c>
      <c r="J2" s="146">
        <v>9</v>
      </c>
      <c r="K2" s="146">
        <v>10</v>
      </c>
      <c r="L2" s="146">
        <v>11</v>
      </c>
      <c r="M2" s="146">
        <v>12</v>
      </c>
      <c r="N2" s="146">
        <v>13</v>
      </c>
      <c r="O2" s="146">
        <v>14</v>
      </c>
      <c r="P2" s="146">
        <v>15</v>
      </c>
      <c r="Q2" s="146">
        <v>16</v>
      </c>
      <c r="R2" s="146">
        <v>17</v>
      </c>
      <c r="S2" s="146">
        <v>18</v>
      </c>
      <c r="T2" s="146">
        <v>19</v>
      </c>
      <c r="U2" s="146">
        <v>20</v>
      </c>
      <c r="V2" s="146">
        <v>21</v>
      </c>
      <c r="W2" s="146">
        <v>22</v>
      </c>
      <c r="X2" s="146">
        <v>23</v>
      </c>
      <c r="Y2" s="146">
        <v>24</v>
      </c>
      <c r="Z2" s="146">
        <v>25</v>
      </c>
      <c r="AA2" s="146">
        <v>26</v>
      </c>
      <c r="AB2" s="146">
        <v>27</v>
      </c>
      <c r="AC2" s="146">
        <v>28</v>
      </c>
      <c r="AD2" s="146">
        <v>29</v>
      </c>
      <c r="AE2" s="146">
        <v>30</v>
      </c>
      <c r="AF2" s="146">
        <v>31</v>
      </c>
      <c r="AG2" s="146">
        <v>32</v>
      </c>
    </row>
    <row r="3" spans="1:33" ht="87.5" x14ac:dyDescent="0.25">
      <c r="A3" s="145" t="s">
        <v>46</v>
      </c>
      <c r="B3" s="145" t="s">
        <v>47</v>
      </c>
      <c r="C3" s="147" t="s">
        <v>48</v>
      </c>
      <c r="D3" s="147" t="s">
        <v>49</v>
      </c>
      <c r="E3" s="147" t="s">
        <v>50</v>
      </c>
      <c r="F3" s="147" t="s">
        <v>51</v>
      </c>
      <c r="G3" s="147" t="s">
        <v>52</v>
      </c>
      <c r="H3" s="147" t="s">
        <v>53</v>
      </c>
      <c r="I3" s="148" t="s">
        <v>54</v>
      </c>
      <c r="J3" s="148" t="s">
        <v>55</v>
      </c>
      <c r="K3" s="149" t="s">
        <v>56</v>
      </c>
      <c r="L3" s="149" t="s">
        <v>57</v>
      </c>
      <c r="M3" s="149" t="s">
        <v>58</v>
      </c>
      <c r="N3" s="150" t="s">
        <v>59</v>
      </c>
      <c r="O3" s="149" t="s">
        <v>60</v>
      </c>
      <c r="P3" s="151" t="s">
        <v>61</v>
      </c>
      <c r="Q3" s="151" t="s">
        <v>62</v>
      </c>
      <c r="R3" s="151" t="s">
        <v>58</v>
      </c>
      <c r="S3" s="151" t="s">
        <v>63</v>
      </c>
      <c r="T3" s="151" t="s">
        <v>64</v>
      </c>
      <c r="U3" s="152" t="s">
        <v>65</v>
      </c>
      <c r="V3" s="152" t="s">
        <v>66</v>
      </c>
      <c r="W3" s="153" t="s">
        <v>67</v>
      </c>
      <c r="X3" s="153" t="s">
        <v>68</v>
      </c>
      <c r="Y3" s="154" t="s">
        <v>69</v>
      </c>
      <c r="Z3" s="154" t="s">
        <v>70</v>
      </c>
      <c r="AA3" s="154" t="s">
        <v>71</v>
      </c>
      <c r="AB3" s="154" t="s">
        <v>72</v>
      </c>
      <c r="AC3" s="154" t="s">
        <v>73</v>
      </c>
      <c r="AD3" s="155" t="s">
        <v>74</v>
      </c>
      <c r="AE3" s="155" t="s">
        <v>75</v>
      </c>
      <c r="AF3" s="155" t="s">
        <v>76</v>
      </c>
      <c r="AG3" s="155" t="s">
        <v>77</v>
      </c>
    </row>
    <row r="4" spans="1:33" x14ac:dyDescent="0.25">
      <c r="A4" s="329" t="s">
        <v>13</v>
      </c>
      <c r="B4" s="329" t="s">
        <v>13</v>
      </c>
      <c r="C4" s="330">
        <v>2105206</v>
      </c>
      <c r="D4" s="330">
        <v>9508</v>
      </c>
      <c r="E4" s="330">
        <v>127879</v>
      </c>
      <c r="F4" s="330">
        <v>268665</v>
      </c>
      <c r="G4" s="330">
        <v>160768</v>
      </c>
      <c r="H4" s="331">
        <v>2672026</v>
      </c>
      <c r="I4" s="330">
        <v>2511258</v>
      </c>
      <c r="J4" s="330">
        <v>11479</v>
      </c>
      <c r="K4" s="332">
        <v>96.61</v>
      </c>
      <c r="L4" s="332">
        <v>95.96</v>
      </c>
      <c r="M4" s="332">
        <v>6.46</v>
      </c>
      <c r="N4" s="332">
        <v>100.38</v>
      </c>
      <c r="O4" s="333">
        <v>1844420</v>
      </c>
      <c r="P4" s="330">
        <v>91.25</v>
      </c>
      <c r="Q4" s="330">
        <v>87.12</v>
      </c>
      <c r="R4" s="330">
        <v>35.47</v>
      </c>
      <c r="S4" s="330">
        <v>124.36</v>
      </c>
      <c r="T4" s="330">
        <v>334858</v>
      </c>
      <c r="U4" s="330">
        <v>127.95</v>
      </c>
      <c r="V4" s="330">
        <v>182115</v>
      </c>
      <c r="W4" s="330">
        <v>163.69999999999999</v>
      </c>
      <c r="X4" s="330">
        <v>10633</v>
      </c>
      <c r="Y4" s="330">
        <v>4184</v>
      </c>
      <c r="Z4" s="330">
        <v>5643</v>
      </c>
      <c r="AA4" s="330">
        <v>1982</v>
      </c>
      <c r="AB4" s="330">
        <v>10143</v>
      </c>
      <c r="AC4" s="330">
        <v>5119</v>
      </c>
      <c r="AD4" s="334">
        <v>2049681</v>
      </c>
      <c r="AE4" s="330">
        <v>11473</v>
      </c>
      <c r="AF4" s="330">
        <v>11057</v>
      </c>
      <c r="AG4" s="330">
        <v>22530</v>
      </c>
    </row>
    <row r="5" spans="1:33" x14ac:dyDescent="0.25">
      <c r="A5" s="335" t="s">
        <v>78</v>
      </c>
      <c r="B5" s="335" t="s">
        <v>78</v>
      </c>
      <c r="C5" s="331">
        <v>107657</v>
      </c>
      <c r="D5" s="331">
        <v>171</v>
      </c>
      <c r="E5" s="331">
        <v>7660</v>
      </c>
      <c r="F5" s="331">
        <v>24320</v>
      </c>
      <c r="G5" s="331">
        <v>11246</v>
      </c>
      <c r="H5" s="331">
        <v>151054</v>
      </c>
      <c r="I5" s="330">
        <v>139808</v>
      </c>
      <c r="J5" s="330">
        <v>397</v>
      </c>
      <c r="K5" s="332">
        <v>88.89</v>
      </c>
      <c r="L5" s="332">
        <v>87.96</v>
      </c>
      <c r="M5" s="332">
        <v>4.72</v>
      </c>
      <c r="N5" s="332">
        <v>91.84</v>
      </c>
      <c r="O5" s="333">
        <v>94120</v>
      </c>
      <c r="P5" s="330">
        <v>86.63</v>
      </c>
      <c r="Q5" s="330">
        <v>81.400000000000006</v>
      </c>
      <c r="R5" s="330">
        <v>27.37</v>
      </c>
      <c r="S5" s="330">
        <v>112.14</v>
      </c>
      <c r="T5" s="330">
        <v>28261</v>
      </c>
      <c r="U5" s="330">
        <v>104.31</v>
      </c>
      <c r="V5" s="330">
        <v>8737</v>
      </c>
      <c r="W5" s="330">
        <v>158.93</v>
      </c>
      <c r="X5" s="330">
        <v>478</v>
      </c>
      <c r="Y5" s="330">
        <v>426</v>
      </c>
      <c r="Z5" s="330">
        <v>292</v>
      </c>
      <c r="AA5" s="330">
        <v>71</v>
      </c>
      <c r="AB5" s="330">
        <v>757</v>
      </c>
      <c r="AC5" s="330">
        <v>341</v>
      </c>
      <c r="AD5" s="334">
        <v>104932</v>
      </c>
      <c r="AE5" s="330">
        <v>607</v>
      </c>
      <c r="AF5" s="330">
        <v>427</v>
      </c>
      <c r="AG5" s="330">
        <v>1034</v>
      </c>
    </row>
    <row r="6" spans="1:33" x14ac:dyDescent="0.25">
      <c r="A6" s="335" t="s">
        <v>79</v>
      </c>
      <c r="B6" s="335" t="s">
        <v>79</v>
      </c>
      <c r="C6" s="331">
        <v>208251</v>
      </c>
      <c r="D6" s="331">
        <v>1461</v>
      </c>
      <c r="E6" s="331">
        <v>12504</v>
      </c>
      <c r="F6" s="331">
        <v>29892</v>
      </c>
      <c r="G6" s="331">
        <v>16476</v>
      </c>
      <c r="H6" s="331">
        <v>268584</v>
      </c>
      <c r="I6" s="330">
        <v>252108</v>
      </c>
      <c r="J6" s="330">
        <v>1399</v>
      </c>
      <c r="K6" s="332">
        <v>100.75</v>
      </c>
      <c r="L6" s="332">
        <v>97.65</v>
      </c>
      <c r="M6" s="332">
        <v>5.62</v>
      </c>
      <c r="N6" s="332">
        <v>103.45</v>
      </c>
      <c r="O6" s="333">
        <v>182354</v>
      </c>
      <c r="P6" s="330">
        <v>92.3</v>
      </c>
      <c r="Q6" s="330">
        <v>88.59</v>
      </c>
      <c r="R6" s="330">
        <v>34.369999999999997</v>
      </c>
      <c r="S6" s="330">
        <v>124.04</v>
      </c>
      <c r="T6" s="330">
        <v>36437</v>
      </c>
      <c r="U6" s="330">
        <v>130.97</v>
      </c>
      <c r="V6" s="330">
        <v>20288</v>
      </c>
      <c r="W6" s="330">
        <v>159.5</v>
      </c>
      <c r="X6" s="330">
        <v>468</v>
      </c>
      <c r="Y6" s="330">
        <v>156</v>
      </c>
      <c r="Z6" s="330">
        <v>468</v>
      </c>
      <c r="AA6" s="330">
        <v>54</v>
      </c>
      <c r="AB6" s="330">
        <v>1064</v>
      </c>
      <c r="AC6" s="330">
        <v>515</v>
      </c>
      <c r="AD6" s="334">
        <v>206239</v>
      </c>
      <c r="AE6" s="330">
        <v>899</v>
      </c>
      <c r="AF6" s="330">
        <v>723</v>
      </c>
      <c r="AG6" s="330">
        <v>1622</v>
      </c>
    </row>
    <row r="7" spans="1:33" x14ac:dyDescent="0.25">
      <c r="A7" s="335" t="s">
        <v>80</v>
      </c>
      <c r="B7" s="335" t="s">
        <v>80</v>
      </c>
      <c r="C7" s="331">
        <v>347009</v>
      </c>
      <c r="D7" s="331">
        <v>5248</v>
      </c>
      <c r="E7" s="331">
        <v>26813</v>
      </c>
      <c r="F7" s="331">
        <v>28174</v>
      </c>
      <c r="G7" s="331">
        <v>44240</v>
      </c>
      <c r="H7" s="331">
        <v>451484</v>
      </c>
      <c r="I7" s="330">
        <v>407244</v>
      </c>
      <c r="J7" s="330">
        <v>1918</v>
      </c>
      <c r="K7" s="332">
        <v>124.07</v>
      </c>
      <c r="L7" s="332">
        <v>125.36</v>
      </c>
      <c r="M7" s="332">
        <v>10.8</v>
      </c>
      <c r="N7" s="332">
        <v>131.88</v>
      </c>
      <c r="O7" s="333">
        <v>293616</v>
      </c>
      <c r="P7" s="330">
        <v>111.92</v>
      </c>
      <c r="Q7" s="330">
        <v>108.89</v>
      </c>
      <c r="R7" s="330">
        <v>47.79</v>
      </c>
      <c r="S7" s="330">
        <v>155.19999999999999</v>
      </c>
      <c r="T7" s="330">
        <v>43150</v>
      </c>
      <c r="U7" s="330">
        <v>186.55</v>
      </c>
      <c r="V7" s="330">
        <v>26596</v>
      </c>
      <c r="W7" s="330">
        <v>206.95</v>
      </c>
      <c r="X7" s="330">
        <v>933</v>
      </c>
      <c r="Y7" s="330">
        <v>470</v>
      </c>
      <c r="Z7" s="330">
        <v>307</v>
      </c>
      <c r="AA7" s="330">
        <v>395</v>
      </c>
      <c r="AB7" s="330">
        <v>2810</v>
      </c>
      <c r="AC7" s="330">
        <v>1786</v>
      </c>
      <c r="AD7" s="334">
        <v>328147</v>
      </c>
      <c r="AE7" s="330">
        <v>1514</v>
      </c>
      <c r="AF7" s="330">
        <v>2067</v>
      </c>
      <c r="AG7" s="330">
        <v>3581</v>
      </c>
    </row>
    <row r="8" spans="1:33" x14ac:dyDescent="0.25">
      <c r="A8" s="335" t="s">
        <v>81</v>
      </c>
      <c r="B8" s="335" t="s">
        <v>81</v>
      </c>
      <c r="C8" s="331">
        <v>156715</v>
      </c>
      <c r="D8" s="331">
        <v>598</v>
      </c>
      <c r="E8" s="331">
        <v>5484</v>
      </c>
      <c r="F8" s="331">
        <v>16517</v>
      </c>
      <c r="G8" s="331">
        <v>2938</v>
      </c>
      <c r="H8" s="331">
        <v>182252</v>
      </c>
      <c r="I8" s="330">
        <v>179314</v>
      </c>
      <c r="J8" s="330">
        <v>3428</v>
      </c>
      <c r="K8" s="332">
        <v>79.25</v>
      </c>
      <c r="L8" s="332">
        <v>79.239999999999995</v>
      </c>
      <c r="M8" s="332">
        <v>7.06</v>
      </c>
      <c r="N8" s="332">
        <v>81.52</v>
      </c>
      <c r="O8" s="333">
        <v>142931</v>
      </c>
      <c r="P8" s="330">
        <v>84.05</v>
      </c>
      <c r="Q8" s="330">
        <v>76.52</v>
      </c>
      <c r="R8" s="330">
        <v>40.72</v>
      </c>
      <c r="S8" s="330">
        <v>120.77</v>
      </c>
      <c r="T8" s="330">
        <v>19199</v>
      </c>
      <c r="U8" s="330">
        <v>95.6</v>
      </c>
      <c r="V8" s="330">
        <v>11473</v>
      </c>
      <c r="W8" s="330">
        <v>155.34</v>
      </c>
      <c r="X8" s="330">
        <v>1626</v>
      </c>
      <c r="Y8" s="330">
        <v>78</v>
      </c>
      <c r="Z8" s="330">
        <v>492</v>
      </c>
      <c r="AA8" s="330">
        <v>157</v>
      </c>
      <c r="AB8" s="330">
        <v>187</v>
      </c>
      <c r="AC8" s="330">
        <v>116</v>
      </c>
      <c r="AD8" s="334">
        <v>154136</v>
      </c>
      <c r="AE8" s="330">
        <v>1444</v>
      </c>
      <c r="AF8" s="330">
        <v>914</v>
      </c>
      <c r="AG8" s="330">
        <v>2358</v>
      </c>
    </row>
    <row r="9" spans="1:33" x14ac:dyDescent="0.25">
      <c r="A9" s="335" t="s">
        <v>82</v>
      </c>
      <c r="B9" s="335" t="s">
        <v>82</v>
      </c>
      <c r="C9" s="331">
        <v>426418</v>
      </c>
      <c r="D9" s="331">
        <v>353</v>
      </c>
      <c r="E9" s="331">
        <v>19587</v>
      </c>
      <c r="F9" s="331">
        <v>54147</v>
      </c>
      <c r="G9" s="331">
        <v>12521</v>
      </c>
      <c r="H9" s="331">
        <v>513026</v>
      </c>
      <c r="I9" s="330">
        <v>500505</v>
      </c>
      <c r="J9" s="330">
        <v>1713</v>
      </c>
      <c r="K9" s="332">
        <v>83.66</v>
      </c>
      <c r="L9" s="332">
        <v>83.37</v>
      </c>
      <c r="M9" s="332">
        <v>4.83</v>
      </c>
      <c r="N9" s="332">
        <v>86.18</v>
      </c>
      <c r="O9" s="333">
        <v>378879</v>
      </c>
      <c r="P9" s="330">
        <v>84.03</v>
      </c>
      <c r="Q9" s="330">
        <v>79.510000000000005</v>
      </c>
      <c r="R9" s="330">
        <v>30.76</v>
      </c>
      <c r="S9" s="330">
        <v>112.33</v>
      </c>
      <c r="T9" s="330">
        <v>66935</v>
      </c>
      <c r="U9" s="330">
        <v>104.18</v>
      </c>
      <c r="V9" s="330">
        <v>37258</v>
      </c>
      <c r="W9" s="330">
        <v>141.56</v>
      </c>
      <c r="X9" s="330">
        <v>1429</v>
      </c>
      <c r="Y9" s="330">
        <v>701</v>
      </c>
      <c r="Z9" s="330">
        <v>2118</v>
      </c>
      <c r="AA9" s="330">
        <v>582</v>
      </c>
      <c r="AB9" s="330">
        <v>750</v>
      </c>
      <c r="AC9" s="330">
        <v>305</v>
      </c>
      <c r="AD9" s="334">
        <v>416705</v>
      </c>
      <c r="AE9" s="330">
        <v>2565</v>
      </c>
      <c r="AF9" s="330">
        <v>2567</v>
      </c>
      <c r="AG9" s="330">
        <v>5132</v>
      </c>
    </row>
    <row r="10" spans="1:33" x14ac:dyDescent="0.25">
      <c r="A10" s="335" t="s">
        <v>83</v>
      </c>
      <c r="B10" s="335" t="s">
        <v>83</v>
      </c>
      <c r="C10" s="331">
        <v>287560</v>
      </c>
      <c r="D10" s="331">
        <v>637</v>
      </c>
      <c r="E10" s="331">
        <v>14704</v>
      </c>
      <c r="F10" s="331">
        <v>37795</v>
      </c>
      <c r="G10" s="331">
        <v>36610</v>
      </c>
      <c r="H10" s="331">
        <v>377306</v>
      </c>
      <c r="I10" s="330">
        <v>340696</v>
      </c>
      <c r="J10" s="330">
        <v>1142</v>
      </c>
      <c r="K10" s="332">
        <v>109.39</v>
      </c>
      <c r="L10" s="332">
        <v>108.45</v>
      </c>
      <c r="M10" s="332">
        <v>5.87</v>
      </c>
      <c r="N10" s="332">
        <v>113.14</v>
      </c>
      <c r="O10" s="333">
        <v>246299</v>
      </c>
      <c r="P10" s="330">
        <v>97.58</v>
      </c>
      <c r="Q10" s="330">
        <v>93.03</v>
      </c>
      <c r="R10" s="330">
        <v>32.11</v>
      </c>
      <c r="S10" s="330">
        <v>128.03</v>
      </c>
      <c r="T10" s="330">
        <v>42467</v>
      </c>
      <c r="U10" s="330">
        <v>149.08000000000001</v>
      </c>
      <c r="V10" s="330">
        <v>30519</v>
      </c>
      <c r="W10" s="330">
        <v>168.04</v>
      </c>
      <c r="X10" s="330">
        <v>1752</v>
      </c>
      <c r="Y10" s="330">
        <v>1672</v>
      </c>
      <c r="Z10" s="330">
        <v>433</v>
      </c>
      <c r="AA10" s="330">
        <v>198</v>
      </c>
      <c r="AB10" s="330">
        <v>2361</v>
      </c>
      <c r="AC10" s="330">
        <v>1074</v>
      </c>
      <c r="AD10" s="334">
        <v>280623</v>
      </c>
      <c r="AE10" s="330">
        <v>1084</v>
      </c>
      <c r="AF10" s="330">
        <v>1058</v>
      </c>
      <c r="AG10" s="330">
        <v>2142</v>
      </c>
    </row>
    <row r="11" spans="1:33" x14ac:dyDescent="0.25">
      <c r="A11" s="335" t="s">
        <v>84</v>
      </c>
      <c r="B11" s="335" t="s">
        <v>84</v>
      </c>
      <c r="C11" s="331">
        <v>191354</v>
      </c>
      <c r="D11" s="331">
        <v>309</v>
      </c>
      <c r="E11" s="331">
        <v>12907</v>
      </c>
      <c r="F11" s="331">
        <v>30562</v>
      </c>
      <c r="G11" s="331">
        <v>16674</v>
      </c>
      <c r="H11" s="331">
        <v>251806</v>
      </c>
      <c r="I11" s="330">
        <v>235132</v>
      </c>
      <c r="J11" s="330">
        <v>272</v>
      </c>
      <c r="K11" s="332">
        <v>93.64</v>
      </c>
      <c r="L11" s="332">
        <v>92.19</v>
      </c>
      <c r="M11" s="332">
        <v>4.87</v>
      </c>
      <c r="N11" s="332">
        <v>96.74</v>
      </c>
      <c r="O11" s="333">
        <v>165413</v>
      </c>
      <c r="P11" s="330">
        <v>87.25</v>
      </c>
      <c r="Q11" s="330">
        <v>83.17</v>
      </c>
      <c r="R11" s="330">
        <v>28.92</v>
      </c>
      <c r="S11" s="330">
        <v>114.86</v>
      </c>
      <c r="T11" s="330">
        <v>36595</v>
      </c>
      <c r="U11" s="330">
        <v>122.01</v>
      </c>
      <c r="V11" s="330">
        <v>18045</v>
      </c>
      <c r="W11" s="330">
        <v>148.12</v>
      </c>
      <c r="X11" s="330">
        <v>1076</v>
      </c>
      <c r="Y11" s="330">
        <v>441</v>
      </c>
      <c r="Z11" s="330">
        <v>469</v>
      </c>
      <c r="AA11" s="330">
        <v>146</v>
      </c>
      <c r="AB11" s="330">
        <v>1253</v>
      </c>
      <c r="AC11" s="330">
        <v>385</v>
      </c>
      <c r="AD11" s="334">
        <v>184815</v>
      </c>
      <c r="AE11" s="330">
        <v>594</v>
      </c>
      <c r="AF11" s="330">
        <v>853</v>
      </c>
      <c r="AG11" s="330">
        <v>1447</v>
      </c>
    </row>
    <row r="12" spans="1:33" x14ac:dyDescent="0.25">
      <c r="A12" s="335" t="s">
        <v>85</v>
      </c>
      <c r="B12" s="335" t="s">
        <v>85</v>
      </c>
      <c r="C12" s="331">
        <v>215356</v>
      </c>
      <c r="D12" s="331">
        <v>248</v>
      </c>
      <c r="E12" s="331">
        <v>16735</v>
      </c>
      <c r="F12" s="331">
        <v>28579</v>
      </c>
      <c r="G12" s="331">
        <v>14450</v>
      </c>
      <c r="H12" s="331">
        <v>275368</v>
      </c>
      <c r="I12" s="330">
        <v>260918</v>
      </c>
      <c r="J12" s="330">
        <v>593</v>
      </c>
      <c r="K12" s="332">
        <v>89.92</v>
      </c>
      <c r="L12" s="332">
        <v>89.26</v>
      </c>
      <c r="M12" s="332">
        <v>5.63</v>
      </c>
      <c r="N12" s="332">
        <v>93.65</v>
      </c>
      <c r="O12" s="333">
        <v>192649</v>
      </c>
      <c r="P12" s="330">
        <v>86.56</v>
      </c>
      <c r="Q12" s="330">
        <v>84.94</v>
      </c>
      <c r="R12" s="330">
        <v>43.32</v>
      </c>
      <c r="S12" s="330">
        <v>128.21</v>
      </c>
      <c r="T12" s="330">
        <v>36213</v>
      </c>
      <c r="U12" s="330">
        <v>108.1</v>
      </c>
      <c r="V12" s="330">
        <v>16035</v>
      </c>
      <c r="W12" s="330">
        <v>176.22</v>
      </c>
      <c r="X12" s="330">
        <v>2262</v>
      </c>
      <c r="Y12" s="330">
        <v>4</v>
      </c>
      <c r="Z12" s="330">
        <v>600</v>
      </c>
      <c r="AA12" s="330">
        <v>328</v>
      </c>
      <c r="AB12" s="330">
        <v>639</v>
      </c>
      <c r="AC12" s="330">
        <v>415</v>
      </c>
      <c r="AD12" s="334">
        <v>210788</v>
      </c>
      <c r="AE12" s="330">
        <v>918</v>
      </c>
      <c r="AF12" s="330">
        <v>956</v>
      </c>
      <c r="AG12" s="330">
        <v>1874</v>
      </c>
    </row>
    <row r="13" spans="1:33" x14ac:dyDescent="0.25">
      <c r="A13" s="335" t="s">
        <v>788</v>
      </c>
      <c r="B13" s="335" t="s">
        <v>788</v>
      </c>
      <c r="C13" s="331">
        <v>164886</v>
      </c>
      <c r="D13" s="331">
        <v>483</v>
      </c>
      <c r="E13" s="331">
        <v>11485</v>
      </c>
      <c r="F13" s="331">
        <v>18679</v>
      </c>
      <c r="G13" s="331">
        <v>5613</v>
      </c>
      <c r="H13" s="331">
        <v>201146</v>
      </c>
      <c r="I13" s="330">
        <v>195533</v>
      </c>
      <c r="J13" s="330">
        <v>617</v>
      </c>
      <c r="K13" s="332">
        <v>82.62</v>
      </c>
      <c r="L13" s="332">
        <v>81.83</v>
      </c>
      <c r="M13" s="332">
        <v>5.46</v>
      </c>
      <c r="N13" s="332">
        <v>85.77</v>
      </c>
      <c r="O13" s="333">
        <v>148159</v>
      </c>
      <c r="P13" s="330">
        <v>86.16</v>
      </c>
      <c r="Q13" s="330">
        <v>77.55</v>
      </c>
      <c r="R13" s="330">
        <v>37.9</v>
      </c>
      <c r="S13" s="330">
        <v>122.47</v>
      </c>
      <c r="T13" s="330">
        <v>25601</v>
      </c>
      <c r="U13" s="330">
        <v>99.49</v>
      </c>
      <c r="V13" s="330">
        <v>13164</v>
      </c>
      <c r="W13" s="330">
        <v>147.18</v>
      </c>
      <c r="X13" s="330">
        <v>609</v>
      </c>
      <c r="Y13" s="330">
        <v>236</v>
      </c>
      <c r="Z13" s="330">
        <v>464</v>
      </c>
      <c r="AA13" s="330">
        <v>51</v>
      </c>
      <c r="AB13" s="330">
        <v>322</v>
      </c>
      <c r="AC13" s="330">
        <v>182</v>
      </c>
      <c r="AD13" s="334">
        <v>163296</v>
      </c>
      <c r="AE13" s="330">
        <v>1848</v>
      </c>
      <c r="AF13" s="330">
        <v>1492</v>
      </c>
      <c r="AG13" s="330">
        <v>3340</v>
      </c>
    </row>
    <row r="14" spans="1:33" x14ac:dyDescent="0.25">
      <c r="A14" s="329" t="s">
        <v>86</v>
      </c>
      <c r="B14" s="335" t="s">
        <v>87</v>
      </c>
      <c r="C14" s="331">
        <v>898</v>
      </c>
      <c r="D14" s="331">
        <v>0</v>
      </c>
      <c r="E14" s="331">
        <v>59</v>
      </c>
      <c r="F14" s="331">
        <v>51</v>
      </c>
      <c r="G14" s="331">
        <v>114</v>
      </c>
      <c r="H14" s="331">
        <v>1122</v>
      </c>
      <c r="I14" s="330">
        <v>1008</v>
      </c>
      <c r="J14" s="330">
        <v>0</v>
      </c>
      <c r="K14" s="332">
        <v>110.35</v>
      </c>
      <c r="L14" s="332">
        <v>108.32</v>
      </c>
      <c r="M14" s="332">
        <v>7.13</v>
      </c>
      <c r="N14" s="332">
        <v>115.8</v>
      </c>
      <c r="O14" s="333">
        <v>796</v>
      </c>
      <c r="P14" s="330">
        <v>97.79</v>
      </c>
      <c r="Q14" s="330">
        <v>95.33</v>
      </c>
      <c r="R14" s="330">
        <v>41.95</v>
      </c>
      <c r="S14" s="330">
        <v>139.72999999999999</v>
      </c>
      <c r="T14" s="330">
        <v>88</v>
      </c>
      <c r="U14" s="330">
        <v>148.01</v>
      </c>
      <c r="V14" s="330">
        <v>74</v>
      </c>
      <c r="W14" s="330">
        <v>142.56</v>
      </c>
      <c r="X14" s="330">
        <v>14</v>
      </c>
      <c r="Y14" s="330">
        <v>0</v>
      </c>
      <c r="Z14" s="330">
        <v>0</v>
      </c>
      <c r="AA14" s="330">
        <v>0</v>
      </c>
      <c r="AB14" s="330">
        <v>14</v>
      </c>
      <c r="AC14" s="330">
        <v>4</v>
      </c>
      <c r="AD14" s="334">
        <v>877</v>
      </c>
      <c r="AE14" s="334">
        <v>3</v>
      </c>
      <c r="AF14" s="334">
        <v>2</v>
      </c>
      <c r="AG14" s="334">
        <v>5</v>
      </c>
    </row>
    <row r="15" spans="1:33" x14ac:dyDescent="0.25">
      <c r="A15" s="329" t="s">
        <v>88</v>
      </c>
      <c r="B15" s="335" t="s">
        <v>89</v>
      </c>
      <c r="C15" s="331">
        <v>8212</v>
      </c>
      <c r="D15" s="331">
        <v>55</v>
      </c>
      <c r="E15" s="331">
        <v>96</v>
      </c>
      <c r="F15" s="331">
        <v>388</v>
      </c>
      <c r="G15" s="331">
        <v>104</v>
      </c>
      <c r="H15" s="331">
        <v>8855</v>
      </c>
      <c r="I15" s="330">
        <v>8751</v>
      </c>
      <c r="J15" s="330">
        <v>12</v>
      </c>
      <c r="K15" s="332">
        <v>85.88</v>
      </c>
      <c r="L15" s="332">
        <v>86.89</v>
      </c>
      <c r="M15" s="332">
        <v>2.1</v>
      </c>
      <c r="N15" s="332">
        <v>87.6</v>
      </c>
      <c r="O15" s="333">
        <v>7339</v>
      </c>
      <c r="P15" s="330">
        <v>77.680000000000007</v>
      </c>
      <c r="Q15" s="330">
        <v>76.989999999999995</v>
      </c>
      <c r="R15" s="330">
        <v>33.549999999999997</v>
      </c>
      <c r="S15" s="330">
        <v>111</v>
      </c>
      <c r="T15" s="330">
        <v>442</v>
      </c>
      <c r="U15" s="330">
        <v>108.43</v>
      </c>
      <c r="V15" s="330">
        <v>395</v>
      </c>
      <c r="W15" s="330">
        <v>141.72</v>
      </c>
      <c r="X15" s="330">
        <v>34</v>
      </c>
      <c r="Y15" s="330">
        <v>0</v>
      </c>
      <c r="Z15" s="330">
        <v>10</v>
      </c>
      <c r="AA15" s="330">
        <v>0</v>
      </c>
      <c r="AB15" s="330">
        <v>10</v>
      </c>
      <c r="AC15" s="330">
        <v>1</v>
      </c>
      <c r="AD15" s="334">
        <v>7554</v>
      </c>
      <c r="AE15" s="334">
        <v>59</v>
      </c>
      <c r="AF15" s="334">
        <v>26</v>
      </c>
      <c r="AG15" s="334">
        <v>85</v>
      </c>
    </row>
    <row r="16" spans="1:33" x14ac:dyDescent="0.25">
      <c r="A16" s="329" t="s">
        <v>90</v>
      </c>
      <c r="B16" s="335" t="s">
        <v>91</v>
      </c>
      <c r="C16" s="331">
        <v>4476</v>
      </c>
      <c r="D16" s="331">
        <v>0</v>
      </c>
      <c r="E16" s="331">
        <v>138</v>
      </c>
      <c r="F16" s="331">
        <v>2437</v>
      </c>
      <c r="G16" s="331">
        <v>120</v>
      </c>
      <c r="H16" s="331">
        <v>7171</v>
      </c>
      <c r="I16" s="330">
        <v>7051</v>
      </c>
      <c r="J16" s="330">
        <v>8</v>
      </c>
      <c r="K16" s="332">
        <v>89.71</v>
      </c>
      <c r="L16" s="332">
        <v>89.38</v>
      </c>
      <c r="M16" s="332">
        <v>2.33</v>
      </c>
      <c r="N16" s="332">
        <v>91.85</v>
      </c>
      <c r="O16" s="333">
        <v>4344</v>
      </c>
      <c r="P16" s="330">
        <v>83.67</v>
      </c>
      <c r="Q16" s="330">
        <v>79.42</v>
      </c>
      <c r="R16" s="330">
        <v>8.11</v>
      </c>
      <c r="S16" s="330">
        <v>91.66</v>
      </c>
      <c r="T16" s="330">
        <v>2542</v>
      </c>
      <c r="U16" s="330">
        <v>98.74</v>
      </c>
      <c r="V16" s="330">
        <v>128</v>
      </c>
      <c r="W16" s="330">
        <v>0</v>
      </c>
      <c r="X16" s="330">
        <v>0</v>
      </c>
      <c r="Y16" s="330">
        <v>0</v>
      </c>
      <c r="Z16" s="330">
        <v>23</v>
      </c>
      <c r="AA16" s="330">
        <v>0</v>
      </c>
      <c r="AB16" s="330">
        <v>10</v>
      </c>
      <c r="AC16" s="330">
        <v>3</v>
      </c>
      <c r="AD16" s="334">
        <v>4476</v>
      </c>
      <c r="AE16" s="334">
        <v>22</v>
      </c>
      <c r="AF16" s="334">
        <v>24</v>
      </c>
      <c r="AG16" s="334">
        <v>46</v>
      </c>
    </row>
    <row r="17" spans="1:33" x14ac:dyDescent="0.25">
      <c r="A17" s="329" t="s">
        <v>92</v>
      </c>
      <c r="B17" s="335" t="s">
        <v>93</v>
      </c>
      <c r="C17" s="331">
        <v>2781</v>
      </c>
      <c r="D17" s="331">
        <v>14</v>
      </c>
      <c r="E17" s="331">
        <v>216</v>
      </c>
      <c r="F17" s="331">
        <v>338</v>
      </c>
      <c r="G17" s="331">
        <v>499</v>
      </c>
      <c r="H17" s="331">
        <v>3848</v>
      </c>
      <c r="I17" s="330">
        <v>3349</v>
      </c>
      <c r="J17" s="330">
        <v>0</v>
      </c>
      <c r="K17" s="332">
        <v>109.7</v>
      </c>
      <c r="L17" s="332">
        <v>109.15</v>
      </c>
      <c r="M17" s="332">
        <v>5.31</v>
      </c>
      <c r="N17" s="332">
        <v>114.05</v>
      </c>
      <c r="O17" s="333">
        <v>2213</v>
      </c>
      <c r="P17" s="330">
        <v>93.43</v>
      </c>
      <c r="Q17" s="330">
        <v>89.42</v>
      </c>
      <c r="R17" s="330">
        <v>34.01</v>
      </c>
      <c r="S17" s="330">
        <v>125.74</v>
      </c>
      <c r="T17" s="330">
        <v>380</v>
      </c>
      <c r="U17" s="330">
        <v>154.88999999999999</v>
      </c>
      <c r="V17" s="330">
        <v>576</v>
      </c>
      <c r="W17" s="330">
        <v>0</v>
      </c>
      <c r="X17" s="330">
        <v>0</v>
      </c>
      <c r="Y17" s="330">
        <v>0</v>
      </c>
      <c r="Z17" s="330">
        <v>0</v>
      </c>
      <c r="AA17" s="330">
        <v>0</v>
      </c>
      <c r="AB17" s="330">
        <v>55</v>
      </c>
      <c r="AC17" s="330">
        <v>10</v>
      </c>
      <c r="AD17" s="334">
        <v>2779</v>
      </c>
      <c r="AE17" s="334">
        <v>4</v>
      </c>
      <c r="AF17" s="334">
        <v>2</v>
      </c>
      <c r="AG17" s="334">
        <v>6</v>
      </c>
    </row>
    <row r="18" spans="1:33" x14ac:dyDescent="0.25">
      <c r="A18" s="329" t="s">
        <v>94</v>
      </c>
      <c r="B18" s="335" t="s">
        <v>95</v>
      </c>
      <c r="C18" s="331">
        <v>1567</v>
      </c>
      <c r="D18" s="331">
        <v>0</v>
      </c>
      <c r="E18" s="331">
        <v>170</v>
      </c>
      <c r="F18" s="331">
        <v>445</v>
      </c>
      <c r="G18" s="331">
        <v>155</v>
      </c>
      <c r="H18" s="331">
        <v>2337</v>
      </c>
      <c r="I18" s="330">
        <v>2182</v>
      </c>
      <c r="J18" s="330">
        <v>0</v>
      </c>
      <c r="K18" s="332">
        <v>87.04</v>
      </c>
      <c r="L18" s="332">
        <v>86.67</v>
      </c>
      <c r="M18" s="332">
        <v>5.23</v>
      </c>
      <c r="N18" s="332">
        <v>89.57</v>
      </c>
      <c r="O18" s="333">
        <v>1352</v>
      </c>
      <c r="P18" s="330">
        <v>96.48</v>
      </c>
      <c r="Q18" s="330">
        <v>88.2</v>
      </c>
      <c r="R18" s="330">
        <v>32.75</v>
      </c>
      <c r="S18" s="330">
        <v>127.57</v>
      </c>
      <c r="T18" s="330">
        <v>394</v>
      </c>
      <c r="U18" s="330">
        <v>99.81</v>
      </c>
      <c r="V18" s="330">
        <v>138</v>
      </c>
      <c r="W18" s="330">
        <v>0</v>
      </c>
      <c r="X18" s="330">
        <v>0</v>
      </c>
      <c r="Y18" s="330">
        <v>0</v>
      </c>
      <c r="Z18" s="330">
        <v>3</v>
      </c>
      <c r="AA18" s="330">
        <v>0</v>
      </c>
      <c r="AB18" s="330">
        <v>3</v>
      </c>
      <c r="AC18" s="330">
        <v>7</v>
      </c>
      <c r="AD18" s="334">
        <v>1567</v>
      </c>
      <c r="AE18" s="334">
        <v>6</v>
      </c>
      <c r="AF18" s="334">
        <v>3</v>
      </c>
      <c r="AG18" s="334">
        <v>9</v>
      </c>
    </row>
    <row r="19" spans="1:33" x14ac:dyDescent="0.25">
      <c r="A19" s="329" t="s">
        <v>96</v>
      </c>
      <c r="B19" s="335" t="s">
        <v>97</v>
      </c>
      <c r="C19" s="331">
        <v>2232</v>
      </c>
      <c r="D19" s="331">
        <v>0</v>
      </c>
      <c r="E19" s="331">
        <v>117</v>
      </c>
      <c r="F19" s="331">
        <v>151</v>
      </c>
      <c r="G19" s="331">
        <v>598</v>
      </c>
      <c r="H19" s="331">
        <v>3098</v>
      </c>
      <c r="I19" s="330">
        <v>2500</v>
      </c>
      <c r="J19" s="330">
        <v>1</v>
      </c>
      <c r="K19" s="332">
        <v>101.37</v>
      </c>
      <c r="L19" s="332">
        <v>99.75</v>
      </c>
      <c r="M19" s="332">
        <v>6.25</v>
      </c>
      <c r="N19" s="332">
        <v>106.6</v>
      </c>
      <c r="O19" s="333">
        <v>1810</v>
      </c>
      <c r="P19" s="330">
        <v>113.54</v>
      </c>
      <c r="Q19" s="330">
        <v>84.89</v>
      </c>
      <c r="R19" s="330">
        <v>52.81</v>
      </c>
      <c r="S19" s="330">
        <v>166.35</v>
      </c>
      <c r="T19" s="330">
        <v>209</v>
      </c>
      <c r="U19" s="330">
        <v>132.86000000000001</v>
      </c>
      <c r="V19" s="330">
        <v>337</v>
      </c>
      <c r="W19" s="330">
        <v>185.98</v>
      </c>
      <c r="X19" s="330">
        <v>59</v>
      </c>
      <c r="Y19" s="330">
        <v>11</v>
      </c>
      <c r="Z19" s="330">
        <v>0</v>
      </c>
      <c r="AA19" s="330">
        <v>0</v>
      </c>
      <c r="AB19" s="330">
        <v>38</v>
      </c>
      <c r="AC19" s="330">
        <v>20</v>
      </c>
      <c r="AD19" s="334">
        <v>2185</v>
      </c>
      <c r="AE19" s="334">
        <v>8</v>
      </c>
      <c r="AF19" s="334">
        <v>3</v>
      </c>
      <c r="AG19" s="334">
        <v>11</v>
      </c>
    </row>
    <row r="20" spans="1:33" x14ac:dyDescent="0.25">
      <c r="A20" s="329" t="s">
        <v>98</v>
      </c>
      <c r="B20" s="335" t="s">
        <v>99</v>
      </c>
      <c r="C20" s="331">
        <v>1722</v>
      </c>
      <c r="D20" s="331">
        <v>0</v>
      </c>
      <c r="E20" s="331">
        <v>121</v>
      </c>
      <c r="F20" s="331">
        <v>92</v>
      </c>
      <c r="G20" s="331">
        <v>174</v>
      </c>
      <c r="H20" s="331">
        <v>2109</v>
      </c>
      <c r="I20" s="330">
        <v>1935</v>
      </c>
      <c r="J20" s="330">
        <v>16</v>
      </c>
      <c r="K20" s="332">
        <v>94.47</v>
      </c>
      <c r="L20" s="332">
        <v>93.78</v>
      </c>
      <c r="M20" s="332">
        <v>3.83</v>
      </c>
      <c r="N20" s="332">
        <v>96.52</v>
      </c>
      <c r="O20" s="333">
        <v>1256</v>
      </c>
      <c r="P20" s="330">
        <v>107.4</v>
      </c>
      <c r="Q20" s="330">
        <v>91.96</v>
      </c>
      <c r="R20" s="330">
        <v>46.27</v>
      </c>
      <c r="S20" s="330">
        <v>150.05000000000001</v>
      </c>
      <c r="T20" s="330">
        <v>192</v>
      </c>
      <c r="U20" s="330">
        <v>115.97</v>
      </c>
      <c r="V20" s="330">
        <v>379</v>
      </c>
      <c r="W20" s="330">
        <v>103.39</v>
      </c>
      <c r="X20" s="330">
        <v>2</v>
      </c>
      <c r="Y20" s="330">
        <v>0</v>
      </c>
      <c r="Z20" s="330">
        <v>0</v>
      </c>
      <c r="AA20" s="330">
        <v>7</v>
      </c>
      <c r="AB20" s="330">
        <v>19</v>
      </c>
      <c r="AC20" s="330">
        <v>2</v>
      </c>
      <c r="AD20" s="334">
        <v>1684</v>
      </c>
      <c r="AE20" s="334">
        <v>6</v>
      </c>
      <c r="AF20" s="334">
        <v>3</v>
      </c>
      <c r="AG20" s="334">
        <v>9</v>
      </c>
    </row>
    <row r="21" spans="1:33" x14ac:dyDescent="0.25">
      <c r="A21" s="329" t="s">
        <v>100</v>
      </c>
      <c r="B21" s="335" t="s">
        <v>101</v>
      </c>
      <c r="C21" s="331">
        <v>4123</v>
      </c>
      <c r="D21" s="331">
        <v>69</v>
      </c>
      <c r="E21" s="331">
        <v>396</v>
      </c>
      <c r="F21" s="331">
        <v>466</v>
      </c>
      <c r="G21" s="331">
        <v>758</v>
      </c>
      <c r="H21" s="331">
        <v>5812</v>
      </c>
      <c r="I21" s="330">
        <v>5054</v>
      </c>
      <c r="J21" s="330">
        <v>3</v>
      </c>
      <c r="K21" s="332">
        <v>128.74</v>
      </c>
      <c r="L21" s="332">
        <v>118.52</v>
      </c>
      <c r="M21" s="332">
        <v>7.15</v>
      </c>
      <c r="N21" s="332">
        <v>132.52000000000001</v>
      </c>
      <c r="O21" s="333">
        <v>2957</v>
      </c>
      <c r="P21" s="330">
        <v>104.96</v>
      </c>
      <c r="Q21" s="330">
        <v>104.13</v>
      </c>
      <c r="R21" s="330">
        <v>55.6</v>
      </c>
      <c r="S21" s="330">
        <v>157.75</v>
      </c>
      <c r="T21" s="330">
        <v>692</v>
      </c>
      <c r="U21" s="330">
        <v>169.81</v>
      </c>
      <c r="V21" s="330">
        <v>728</v>
      </c>
      <c r="W21" s="330">
        <v>0</v>
      </c>
      <c r="X21" s="330">
        <v>0</v>
      </c>
      <c r="Y21" s="330">
        <v>0</v>
      </c>
      <c r="Z21" s="330">
        <v>5</v>
      </c>
      <c r="AA21" s="330">
        <v>1</v>
      </c>
      <c r="AB21" s="330">
        <v>23</v>
      </c>
      <c r="AC21" s="330">
        <v>47</v>
      </c>
      <c r="AD21" s="334">
        <v>4123</v>
      </c>
      <c r="AE21" s="334">
        <v>20</v>
      </c>
      <c r="AF21" s="334">
        <v>4</v>
      </c>
      <c r="AG21" s="334">
        <v>24</v>
      </c>
    </row>
    <row r="22" spans="1:33" x14ac:dyDescent="0.25">
      <c r="A22" s="329" t="s">
        <v>102</v>
      </c>
      <c r="B22" s="335" t="s">
        <v>103</v>
      </c>
      <c r="C22" s="331">
        <v>6776</v>
      </c>
      <c r="D22" s="331">
        <v>17</v>
      </c>
      <c r="E22" s="331">
        <v>562</v>
      </c>
      <c r="F22" s="331">
        <v>1149</v>
      </c>
      <c r="G22" s="331">
        <v>1285</v>
      </c>
      <c r="H22" s="331">
        <v>9789</v>
      </c>
      <c r="I22" s="330">
        <v>8504</v>
      </c>
      <c r="J22" s="330">
        <v>19</v>
      </c>
      <c r="K22" s="332">
        <v>130.38999999999999</v>
      </c>
      <c r="L22" s="332">
        <v>130.54</v>
      </c>
      <c r="M22" s="332">
        <v>12.34</v>
      </c>
      <c r="N22" s="332">
        <v>140.69999999999999</v>
      </c>
      <c r="O22" s="333">
        <v>5618</v>
      </c>
      <c r="P22" s="330">
        <v>115.8</v>
      </c>
      <c r="Q22" s="330">
        <v>112.48</v>
      </c>
      <c r="R22" s="330">
        <v>48.5</v>
      </c>
      <c r="S22" s="330">
        <v>160.21</v>
      </c>
      <c r="T22" s="330">
        <v>794</v>
      </c>
      <c r="U22" s="330">
        <v>203.98</v>
      </c>
      <c r="V22" s="330">
        <v>791</v>
      </c>
      <c r="W22" s="330">
        <v>251</v>
      </c>
      <c r="X22" s="330">
        <v>9</v>
      </c>
      <c r="Y22" s="330">
        <v>0</v>
      </c>
      <c r="Z22" s="330">
        <v>2</v>
      </c>
      <c r="AA22" s="330">
        <v>1</v>
      </c>
      <c r="AB22" s="330">
        <v>168</v>
      </c>
      <c r="AC22" s="330">
        <v>68</v>
      </c>
      <c r="AD22" s="334">
        <v>6554</v>
      </c>
      <c r="AE22" s="334">
        <v>23</v>
      </c>
      <c r="AF22" s="334">
        <v>66</v>
      </c>
      <c r="AG22" s="334">
        <v>89</v>
      </c>
    </row>
    <row r="23" spans="1:33" x14ac:dyDescent="0.25">
      <c r="A23" s="329" t="s">
        <v>104</v>
      </c>
      <c r="B23" s="335" t="s">
        <v>105</v>
      </c>
      <c r="C23" s="331">
        <v>2780</v>
      </c>
      <c r="D23" s="331">
        <v>0</v>
      </c>
      <c r="E23" s="331">
        <v>354</v>
      </c>
      <c r="F23" s="331">
        <v>672</v>
      </c>
      <c r="G23" s="331">
        <v>233</v>
      </c>
      <c r="H23" s="331">
        <v>4039</v>
      </c>
      <c r="I23" s="330">
        <v>3806</v>
      </c>
      <c r="J23" s="330">
        <v>0</v>
      </c>
      <c r="K23" s="332">
        <v>86.92</v>
      </c>
      <c r="L23" s="332">
        <v>85.3</v>
      </c>
      <c r="M23" s="332">
        <v>5.45</v>
      </c>
      <c r="N23" s="332">
        <v>89.4</v>
      </c>
      <c r="O23" s="333">
        <v>1967</v>
      </c>
      <c r="P23" s="330">
        <v>89.01</v>
      </c>
      <c r="Q23" s="330">
        <v>82.53</v>
      </c>
      <c r="R23" s="330">
        <v>37.700000000000003</v>
      </c>
      <c r="S23" s="330">
        <v>125.48</v>
      </c>
      <c r="T23" s="330">
        <v>951</v>
      </c>
      <c r="U23" s="330">
        <v>94.27</v>
      </c>
      <c r="V23" s="330">
        <v>711</v>
      </c>
      <c r="W23" s="330">
        <v>0</v>
      </c>
      <c r="X23" s="330">
        <v>0</v>
      </c>
      <c r="Y23" s="330">
        <v>0</v>
      </c>
      <c r="Z23" s="330">
        <v>1</v>
      </c>
      <c r="AA23" s="330">
        <v>0</v>
      </c>
      <c r="AB23" s="330">
        <v>7</v>
      </c>
      <c r="AC23" s="330">
        <v>5</v>
      </c>
      <c r="AD23" s="334">
        <v>2778</v>
      </c>
      <c r="AE23" s="334">
        <v>16</v>
      </c>
      <c r="AF23" s="334">
        <v>4</v>
      </c>
      <c r="AG23" s="334">
        <v>20</v>
      </c>
    </row>
    <row r="24" spans="1:33" x14ac:dyDescent="0.25">
      <c r="A24" s="329" t="s">
        <v>106</v>
      </c>
      <c r="B24" s="335" t="s">
        <v>107</v>
      </c>
      <c r="C24" s="331">
        <v>507</v>
      </c>
      <c r="D24" s="331">
        <v>0</v>
      </c>
      <c r="E24" s="331">
        <v>96</v>
      </c>
      <c r="F24" s="331">
        <v>209</v>
      </c>
      <c r="G24" s="331">
        <v>11</v>
      </c>
      <c r="H24" s="331">
        <v>823</v>
      </c>
      <c r="I24" s="330">
        <v>812</v>
      </c>
      <c r="J24" s="330">
        <v>6</v>
      </c>
      <c r="K24" s="332">
        <v>81.25</v>
      </c>
      <c r="L24" s="332">
        <v>77.89</v>
      </c>
      <c r="M24" s="332">
        <v>4.53</v>
      </c>
      <c r="N24" s="332">
        <v>83.95</v>
      </c>
      <c r="O24" s="333">
        <v>466</v>
      </c>
      <c r="P24" s="330">
        <v>82.55</v>
      </c>
      <c r="Q24" s="330">
        <v>83.33</v>
      </c>
      <c r="R24" s="330">
        <v>46.57</v>
      </c>
      <c r="S24" s="330">
        <v>127.75</v>
      </c>
      <c r="T24" s="330">
        <v>272</v>
      </c>
      <c r="U24" s="330">
        <v>109.74</v>
      </c>
      <c r="V24" s="330">
        <v>27</v>
      </c>
      <c r="W24" s="330">
        <v>0</v>
      </c>
      <c r="X24" s="330">
        <v>0</v>
      </c>
      <c r="Y24" s="330">
        <v>0</v>
      </c>
      <c r="Z24" s="330">
        <v>0</v>
      </c>
      <c r="AA24" s="330">
        <v>0</v>
      </c>
      <c r="AB24" s="330">
        <v>0</v>
      </c>
      <c r="AC24" s="330">
        <v>0</v>
      </c>
      <c r="AD24" s="334">
        <v>507</v>
      </c>
      <c r="AE24" s="334">
        <v>1</v>
      </c>
      <c r="AF24" s="334">
        <v>0</v>
      </c>
      <c r="AG24" s="334">
        <v>1</v>
      </c>
    </row>
    <row r="25" spans="1:33" x14ac:dyDescent="0.25">
      <c r="A25" s="329" t="s">
        <v>108</v>
      </c>
      <c r="B25" s="335" t="s">
        <v>109</v>
      </c>
      <c r="C25" s="331">
        <v>5282</v>
      </c>
      <c r="D25" s="331">
        <v>0</v>
      </c>
      <c r="E25" s="331">
        <v>212</v>
      </c>
      <c r="F25" s="331">
        <v>361</v>
      </c>
      <c r="G25" s="331">
        <v>643</v>
      </c>
      <c r="H25" s="331">
        <v>6498</v>
      </c>
      <c r="I25" s="330">
        <v>5855</v>
      </c>
      <c r="J25" s="330">
        <v>0</v>
      </c>
      <c r="K25" s="332">
        <v>111.9</v>
      </c>
      <c r="L25" s="332">
        <v>111.95</v>
      </c>
      <c r="M25" s="332">
        <v>5.64</v>
      </c>
      <c r="N25" s="332">
        <v>114.63</v>
      </c>
      <c r="O25" s="333">
        <v>5043</v>
      </c>
      <c r="P25" s="330">
        <v>95.17</v>
      </c>
      <c r="Q25" s="330">
        <v>92.66</v>
      </c>
      <c r="R25" s="330">
        <v>42.13</v>
      </c>
      <c r="S25" s="330">
        <v>135.27000000000001</v>
      </c>
      <c r="T25" s="330">
        <v>455</v>
      </c>
      <c r="U25" s="330">
        <v>129.49</v>
      </c>
      <c r="V25" s="330">
        <v>168</v>
      </c>
      <c r="W25" s="330">
        <v>0</v>
      </c>
      <c r="X25" s="330">
        <v>0</v>
      </c>
      <c r="Y25" s="330">
        <v>0</v>
      </c>
      <c r="Z25" s="330">
        <v>6</v>
      </c>
      <c r="AA25" s="330">
        <v>0</v>
      </c>
      <c r="AB25" s="330">
        <v>24</v>
      </c>
      <c r="AC25" s="330">
        <v>14</v>
      </c>
      <c r="AD25" s="334">
        <v>5282</v>
      </c>
      <c r="AE25" s="334">
        <v>16</v>
      </c>
      <c r="AF25" s="334">
        <v>35</v>
      </c>
      <c r="AG25" s="334">
        <v>51</v>
      </c>
    </row>
    <row r="26" spans="1:33" x14ac:dyDescent="0.25">
      <c r="A26" s="329" t="s">
        <v>110</v>
      </c>
      <c r="B26" s="335" t="s">
        <v>111</v>
      </c>
      <c r="C26" s="331">
        <v>12060</v>
      </c>
      <c r="D26" s="331">
        <v>0</v>
      </c>
      <c r="E26" s="331">
        <v>376</v>
      </c>
      <c r="F26" s="331">
        <v>897</v>
      </c>
      <c r="G26" s="331">
        <v>926</v>
      </c>
      <c r="H26" s="331">
        <v>14259</v>
      </c>
      <c r="I26" s="330">
        <v>13333</v>
      </c>
      <c r="J26" s="330">
        <v>0</v>
      </c>
      <c r="K26" s="332">
        <v>115.32</v>
      </c>
      <c r="L26" s="332">
        <v>113.39</v>
      </c>
      <c r="M26" s="332">
        <v>4.83</v>
      </c>
      <c r="N26" s="332">
        <v>117.18</v>
      </c>
      <c r="O26" s="333">
        <v>11118</v>
      </c>
      <c r="P26" s="330">
        <v>96.41</v>
      </c>
      <c r="Q26" s="330">
        <v>90.21</v>
      </c>
      <c r="R26" s="330">
        <v>29.62</v>
      </c>
      <c r="S26" s="330">
        <v>125.21</v>
      </c>
      <c r="T26" s="330">
        <v>1131</v>
      </c>
      <c r="U26" s="330">
        <v>143.94999999999999</v>
      </c>
      <c r="V26" s="330">
        <v>623</v>
      </c>
      <c r="W26" s="330">
        <v>161.97999999999999</v>
      </c>
      <c r="X26" s="330">
        <v>1</v>
      </c>
      <c r="Y26" s="330">
        <v>29</v>
      </c>
      <c r="Z26" s="330">
        <v>24</v>
      </c>
      <c r="AA26" s="330">
        <v>1</v>
      </c>
      <c r="AB26" s="330">
        <v>47</v>
      </c>
      <c r="AC26" s="330">
        <v>28</v>
      </c>
      <c r="AD26" s="334">
        <v>12058</v>
      </c>
      <c r="AE26" s="334">
        <v>31</v>
      </c>
      <c r="AF26" s="334">
        <v>6</v>
      </c>
      <c r="AG26" s="334">
        <v>37</v>
      </c>
    </row>
    <row r="27" spans="1:33" x14ac:dyDescent="0.25">
      <c r="A27" s="329" t="s">
        <v>112</v>
      </c>
      <c r="B27" s="335" t="s">
        <v>113</v>
      </c>
      <c r="C27" s="331">
        <v>890</v>
      </c>
      <c r="D27" s="331">
        <v>0</v>
      </c>
      <c r="E27" s="331">
        <v>262</v>
      </c>
      <c r="F27" s="331">
        <v>154</v>
      </c>
      <c r="G27" s="331">
        <v>84</v>
      </c>
      <c r="H27" s="331">
        <v>1390</v>
      </c>
      <c r="I27" s="330">
        <v>1306</v>
      </c>
      <c r="J27" s="330">
        <v>3</v>
      </c>
      <c r="K27" s="332">
        <v>88.24</v>
      </c>
      <c r="L27" s="332">
        <v>86.16</v>
      </c>
      <c r="M27" s="332">
        <v>3.15</v>
      </c>
      <c r="N27" s="332">
        <v>90.14</v>
      </c>
      <c r="O27" s="333">
        <v>827</v>
      </c>
      <c r="P27" s="330">
        <v>125.53</v>
      </c>
      <c r="Q27" s="330">
        <v>77.94</v>
      </c>
      <c r="R27" s="330">
        <v>40.85</v>
      </c>
      <c r="S27" s="330">
        <v>165.57</v>
      </c>
      <c r="T27" s="330">
        <v>303</v>
      </c>
      <c r="U27" s="330">
        <v>94.25</v>
      </c>
      <c r="V27" s="330">
        <v>33</v>
      </c>
      <c r="W27" s="330">
        <v>174.74</v>
      </c>
      <c r="X27" s="330">
        <v>4</v>
      </c>
      <c r="Y27" s="330">
        <v>0</v>
      </c>
      <c r="Z27" s="330">
        <v>0</v>
      </c>
      <c r="AA27" s="330">
        <v>1</v>
      </c>
      <c r="AB27" s="330">
        <v>6</v>
      </c>
      <c r="AC27" s="330">
        <v>2</v>
      </c>
      <c r="AD27" s="334">
        <v>887</v>
      </c>
      <c r="AE27" s="334">
        <v>6</v>
      </c>
      <c r="AF27" s="334">
        <v>9</v>
      </c>
      <c r="AG27" s="334">
        <v>15</v>
      </c>
    </row>
    <row r="28" spans="1:33" x14ac:dyDescent="0.25">
      <c r="A28" s="329" t="s">
        <v>114</v>
      </c>
      <c r="B28" s="335" t="s">
        <v>115</v>
      </c>
      <c r="C28" s="331">
        <v>8878</v>
      </c>
      <c r="D28" s="331">
        <v>0</v>
      </c>
      <c r="E28" s="331">
        <v>341</v>
      </c>
      <c r="F28" s="331">
        <v>2128</v>
      </c>
      <c r="G28" s="331">
        <v>452</v>
      </c>
      <c r="H28" s="331">
        <v>11799</v>
      </c>
      <c r="I28" s="330">
        <v>11347</v>
      </c>
      <c r="J28" s="330">
        <v>14</v>
      </c>
      <c r="K28" s="332">
        <v>101.07</v>
      </c>
      <c r="L28" s="332">
        <v>101.35</v>
      </c>
      <c r="M28" s="332">
        <v>4.5999999999999996</v>
      </c>
      <c r="N28" s="332">
        <v>103.82</v>
      </c>
      <c r="O28" s="333">
        <v>8148</v>
      </c>
      <c r="P28" s="330">
        <v>93.56</v>
      </c>
      <c r="Q28" s="330">
        <v>94.77</v>
      </c>
      <c r="R28" s="330">
        <v>14.86</v>
      </c>
      <c r="S28" s="330">
        <v>106.95</v>
      </c>
      <c r="T28" s="330">
        <v>2194</v>
      </c>
      <c r="U28" s="330">
        <v>132.06</v>
      </c>
      <c r="V28" s="330">
        <v>627</v>
      </c>
      <c r="W28" s="330">
        <v>120.55</v>
      </c>
      <c r="X28" s="330">
        <v>77</v>
      </c>
      <c r="Y28" s="330">
        <v>0</v>
      </c>
      <c r="Z28" s="330">
        <v>30</v>
      </c>
      <c r="AA28" s="330">
        <v>60</v>
      </c>
      <c r="AB28" s="330">
        <v>36</v>
      </c>
      <c r="AC28" s="330">
        <v>19</v>
      </c>
      <c r="AD28" s="334">
        <v>8805</v>
      </c>
      <c r="AE28" s="334">
        <v>8</v>
      </c>
      <c r="AF28" s="334">
        <v>52</v>
      </c>
      <c r="AG28" s="334">
        <v>60</v>
      </c>
    </row>
    <row r="29" spans="1:33" x14ac:dyDescent="0.25">
      <c r="A29" s="329" t="s">
        <v>116</v>
      </c>
      <c r="B29" s="335" t="s">
        <v>117</v>
      </c>
      <c r="C29" s="331">
        <v>10451</v>
      </c>
      <c r="D29" s="331">
        <v>0</v>
      </c>
      <c r="E29" s="331">
        <v>350</v>
      </c>
      <c r="F29" s="331">
        <v>1096</v>
      </c>
      <c r="G29" s="331">
        <v>942</v>
      </c>
      <c r="H29" s="331">
        <v>12839</v>
      </c>
      <c r="I29" s="330">
        <v>11897</v>
      </c>
      <c r="J29" s="330">
        <v>6</v>
      </c>
      <c r="K29" s="332">
        <v>99.69</v>
      </c>
      <c r="L29" s="332">
        <v>99.21</v>
      </c>
      <c r="M29" s="332">
        <v>7.95</v>
      </c>
      <c r="N29" s="332">
        <v>105.4</v>
      </c>
      <c r="O29" s="333">
        <v>9231</v>
      </c>
      <c r="P29" s="330">
        <v>96.42</v>
      </c>
      <c r="Q29" s="330">
        <v>90.2</v>
      </c>
      <c r="R29" s="330">
        <v>40.06</v>
      </c>
      <c r="S29" s="330">
        <v>135.88999999999999</v>
      </c>
      <c r="T29" s="330">
        <v>1226</v>
      </c>
      <c r="U29" s="330">
        <v>126.76</v>
      </c>
      <c r="V29" s="330">
        <v>868</v>
      </c>
      <c r="W29" s="330">
        <v>103.57</v>
      </c>
      <c r="X29" s="330">
        <v>5</v>
      </c>
      <c r="Y29" s="330">
        <v>89</v>
      </c>
      <c r="Z29" s="330">
        <v>8</v>
      </c>
      <c r="AA29" s="330">
        <v>0</v>
      </c>
      <c r="AB29" s="330">
        <v>105</v>
      </c>
      <c r="AC29" s="330">
        <v>15</v>
      </c>
      <c r="AD29" s="334">
        <v>10368</v>
      </c>
      <c r="AE29" s="334">
        <v>26</v>
      </c>
      <c r="AF29" s="334">
        <v>26</v>
      </c>
      <c r="AG29" s="334">
        <v>52</v>
      </c>
    </row>
    <row r="30" spans="1:33" x14ac:dyDescent="0.25">
      <c r="A30" s="329" t="s">
        <v>118</v>
      </c>
      <c r="B30" s="335" t="s">
        <v>119</v>
      </c>
      <c r="C30" s="331">
        <v>12055</v>
      </c>
      <c r="D30" s="331">
        <v>54</v>
      </c>
      <c r="E30" s="331">
        <v>104</v>
      </c>
      <c r="F30" s="331">
        <v>1337</v>
      </c>
      <c r="G30" s="331">
        <v>1009</v>
      </c>
      <c r="H30" s="331">
        <v>14559</v>
      </c>
      <c r="I30" s="330">
        <v>13550</v>
      </c>
      <c r="J30" s="330">
        <v>43</v>
      </c>
      <c r="K30" s="332">
        <v>112.67</v>
      </c>
      <c r="L30" s="332">
        <v>109.3</v>
      </c>
      <c r="M30" s="332">
        <v>9.7799999999999994</v>
      </c>
      <c r="N30" s="332">
        <v>121.8</v>
      </c>
      <c r="O30" s="333">
        <v>10078</v>
      </c>
      <c r="P30" s="330">
        <v>96.81</v>
      </c>
      <c r="Q30" s="330">
        <v>96.6</v>
      </c>
      <c r="R30" s="330">
        <v>27.76</v>
      </c>
      <c r="S30" s="330">
        <v>124.15</v>
      </c>
      <c r="T30" s="330">
        <v>1289</v>
      </c>
      <c r="U30" s="330">
        <v>158.36000000000001</v>
      </c>
      <c r="V30" s="330">
        <v>1256</v>
      </c>
      <c r="W30" s="330">
        <v>0</v>
      </c>
      <c r="X30" s="330">
        <v>0</v>
      </c>
      <c r="Y30" s="330">
        <v>10</v>
      </c>
      <c r="Z30" s="330">
        <v>11</v>
      </c>
      <c r="AA30" s="330">
        <v>0</v>
      </c>
      <c r="AB30" s="330">
        <v>59</v>
      </c>
      <c r="AC30" s="330">
        <v>23</v>
      </c>
      <c r="AD30" s="334">
        <v>11405</v>
      </c>
      <c r="AE30" s="334">
        <v>47</v>
      </c>
      <c r="AF30" s="334">
        <v>141</v>
      </c>
      <c r="AG30" s="334">
        <v>188</v>
      </c>
    </row>
    <row r="31" spans="1:33" x14ac:dyDescent="0.25">
      <c r="A31" s="329" t="s">
        <v>120</v>
      </c>
      <c r="B31" s="335" t="s">
        <v>121</v>
      </c>
      <c r="C31" s="331">
        <v>33666</v>
      </c>
      <c r="D31" s="331">
        <v>27</v>
      </c>
      <c r="E31" s="331">
        <v>7456</v>
      </c>
      <c r="F31" s="331">
        <v>4643</v>
      </c>
      <c r="G31" s="331">
        <v>3313</v>
      </c>
      <c r="H31" s="331">
        <v>49105</v>
      </c>
      <c r="I31" s="330">
        <v>45792</v>
      </c>
      <c r="J31" s="330">
        <v>153</v>
      </c>
      <c r="K31" s="332">
        <v>94.34</v>
      </c>
      <c r="L31" s="332">
        <v>93.43</v>
      </c>
      <c r="M31" s="332">
        <v>7.5</v>
      </c>
      <c r="N31" s="332">
        <v>100.09</v>
      </c>
      <c r="O31" s="333">
        <v>30088</v>
      </c>
      <c r="P31" s="330">
        <v>83.26</v>
      </c>
      <c r="Q31" s="330">
        <v>80.98</v>
      </c>
      <c r="R31" s="330">
        <v>73.099999999999994</v>
      </c>
      <c r="S31" s="330">
        <v>154.38</v>
      </c>
      <c r="T31" s="330">
        <v>7691</v>
      </c>
      <c r="U31" s="330">
        <v>115.4</v>
      </c>
      <c r="V31" s="330">
        <v>1322</v>
      </c>
      <c r="W31" s="330">
        <v>174.03</v>
      </c>
      <c r="X31" s="330">
        <v>114</v>
      </c>
      <c r="Y31" s="330">
        <v>0</v>
      </c>
      <c r="Z31" s="330">
        <v>26</v>
      </c>
      <c r="AA31" s="330">
        <v>72</v>
      </c>
      <c r="AB31" s="330">
        <v>25</v>
      </c>
      <c r="AC31" s="330">
        <v>138</v>
      </c>
      <c r="AD31" s="334">
        <v>31751</v>
      </c>
      <c r="AE31" s="334">
        <v>140</v>
      </c>
      <c r="AF31" s="334">
        <v>68</v>
      </c>
      <c r="AG31" s="334">
        <v>208</v>
      </c>
    </row>
    <row r="32" spans="1:33" x14ac:dyDescent="0.25">
      <c r="A32" s="329" t="s">
        <v>122</v>
      </c>
      <c r="B32" s="335" t="s">
        <v>123</v>
      </c>
      <c r="C32" s="331">
        <v>1962</v>
      </c>
      <c r="D32" s="331">
        <v>0</v>
      </c>
      <c r="E32" s="331">
        <v>115</v>
      </c>
      <c r="F32" s="331">
        <v>1380</v>
      </c>
      <c r="G32" s="331">
        <v>324</v>
      </c>
      <c r="H32" s="331">
        <v>3781</v>
      </c>
      <c r="I32" s="330">
        <v>3457</v>
      </c>
      <c r="J32" s="330">
        <v>19</v>
      </c>
      <c r="K32" s="332">
        <v>88.38</v>
      </c>
      <c r="L32" s="332">
        <v>87.78</v>
      </c>
      <c r="M32" s="332">
        <v>4.08</v>
      </c>
      <c r="N32" s="332">
        <v>90.55</v>
      </c>
      <c r="O32" s="333">
        <v>1633</v>
      </c>
      <c r="P32" s="330">
        <v>78.2</v>
      </c>
      <c r="Q32" s="330">
        <v>77.52</v>
      </c>
      <c r="R32" s="330">
        <v>18.829999999999998</v>
      </c>
      <c r="S32" s="330">
        <v>96.55</v>
      </c>
      <c r="T32" s="330">
        <v>1489</v>
      </c>
      <c r="U32" s="330">
        <v>108.74</v>
      </c>
      <c r="V32" s="330">
        <v>234</v>
      </c>
      <c r="W32" s="330">
        <v>0</v>
      </c>
      <c r="X32" s="330">
        <v>0</v>
      </c>
      <c r="Y32" s="330">
        <v>0</v>
      </c>
      <c r="Z32" s="330">
        <v>14</v>
      </c>
      <c r="AA32" s="330">
        <v>23</v>
      </c>
      <c r="AB32" s="330">
        <v>39</v>
      </c>
      <c r="AC32" s="330">
        <v>3</v>
      </c>
      <c r="AD32" s="334">
        <v>1962</v>
      </c>
      <c r="AE32" s="334">
        <v>16</v>
      </c>
      <c r="AF32" s="334">
        <v>2</v>
      </c>
      <c r="AG32" s="334">
        <v>18</v>
      </c>
    </row>
    <row r="33" spans="1:33" x14ac:dyDescent="0.25">
      <c r="A33" s="329" t="s">
        <v>124</v>
      </c>
      <c r="B33" s="335" t="s">
        <v>125</v>
      </c>
      <c r="C33" s="331">
        <v>9705</v>
      </c>
      <c r="D33" s="331">
        <v>8</v>
      </c>
      <c r="E33" s="331">
        <v>429</v>
      </c>
      <c r="F33" s="331">
        <v>1307</v>
      </c>
      <c r="G33" s="331">
        <v>227</v>
      </c>
      <c r="H33" s="331">
        <v>11676</v>
      </c>
      <c r="I33" s="330">
        <v>11449</v>
      </c>
      <c r="J33" s="330">
        <v>0</v>
      </c>
      <c r="K33" s="332">
        <v>79.849999999999994</v>
      </c>
      <c r="L33" s="332">
        <v>79.290000000000006</v>
      </c>
      <c r="M33" s="332">
        <v>2.31</v>
      </c>
      <c r="N33" s="332">
        <v>81.91</v>
      </c>
      <c r="O33" s="333">
        <v>8671</v>
      </c>
      <c r="P33" s="330">
        <v>81.81</v>
      </c>
      <c r="Q33" s="330">
        <v>72.55</v>
      </c>
      <c r="R33" s="330">
        <v>35.880000000000003</v>
      </c>
      <c r="S33" s="330">
        <v>116.96</v>
      </c>
      <c r="T33" s="330">
        <v>1616</v>
      </c>
      <c r="U33" s="330">
        <v>95.96</v>
      </c>
      <c r="V33" s="330">
        <v>990</v>
      </c>
      <c r="W33" s="330">
        <v>143.97</v>
      </c>
      <c r="X33" s="330">
        <v>61</v>
      </c>
      <c r="Y33" s="330">
        <v>73</v>
      </c>
      <c r="Z33" s="330">
        <v>45</v>
      </c>
      <c r="AA33" s="330">
        <v>4</v>
      </c>
      <c r="AB33" s="330">
        <v>9</v>
      </c>
      <c r="AC33" s="330">
        <v>10</v>
      </c>
      <c r="AD33" s="334">
        <v>9705</v>
      </c>
      <c r="AE33" s="334">
        <v>36</v>
      </c>
      <c r="AF33" s="334">
        <v>29</v>
      </c>
      <c r="AG33" s="334">
        <v>65</v>
      </c>
    </row>
    <row r="34" spans="1:33" x14ac:dyDescent="0.25">
      <c r="A34" s="329" t="s">
        <v>126</v>
      </c>
      <c r="B34" s="335" t="s">
        <v>127</v>
      </c>
      <c r="C34" s="331">
        <v>1680</v>
      </c>
      <c r="D34" s="331">
        <v>7</v>
      </c>
      <c r="E34" s="331">
        <v>365</v>
      </c>
      <c r="F34" s="331">
        <v>202</v>
      </c>
      <c r="G34" s="331">
        <v>92</v>
      </c>
      <c r="H34" s="331">
        <v>2346</v>
      </c>
      <c r="I34" s="330">
        <v>2254</v>
      </c>
      <c r="J34" s="330">
        <v>0</v>
      </c>
      <c r="K34" s="332">
        <v>86.37</v>
      </c>
      <c r="L34" s="332">
        <v>84.29</v>
      </c>
      <c r="M34" s="332">
        <v>4.66</v>
      </c>
      <c r="N34" s="332">
        <v>89.95</v>
      </c>
      <c r="O34" s="333">
        <v>1236</v>
      </c>
      <c r="P34" s="330">
        <v>102.97</v>
      </c>
      <c r="Q34" s="330">
        <v>84.34</v>
      </c>
      <c r="R34" s="330">
        <v>49.97</v>
      </c>
      <c r="S34" s="330">
        <v>149.4</v>
      </c>
      <c r="T34" s="330">
        <v>523</v>
      </c>
      <c r="U34" s="330">
        <v>105.86</v>
      </c>
      <c r="V34" s="330">
        <v>309</v>
      </c>
      <c r="W34" s="330">
        <v>94.11</v>
      </c>
      <c r="X34" s="330">
        <v>1</v>
      </c>
      <c r="Y34" s="330">
        <v>17</v>
      </c>
      <c r="Z34" s="330">
        <v>0</v>
      </c>
      <c r="AA34" s="330">
        <v>6</v>
      </c>
      <c r="AB34" s="330">
        <v>0</v>
      </c>
      <c r="AC34" s="330">
        <v>4</v>
      </c>
      <c r="AD34" s="334">
        <v>1629</v>
      </c>
      <c r="AE34" s="334">
        <v>14</v>
      </c>
      <c r="AF34" s="334">
        <v>10</v>
      </c>
      <c r="AG34" s="334">
        <v>24</v>
      </c>
    </row>
    <row r="35" spans="1:33" x14ac:dyDescent="0.25">
      <c r="A35" s="329" t="s">
        <v>128</v>
      </c>
      <c r="B35" s="335" t="s">
        <v>129</v>
      </c>
      <c r="C35" s="331">
        <v>749</v>
      </c>
      <c r="D35" s="331">
        <v>0</v>
      </c>
      <c r="E35" s="331">
        <v>54</v>
      </c>
      <c r="F35" s="331">
        <v>261</v>
      </c>
      <c r="G35" s="331">
        <v>22</v>
      </c>
      <c r="H35" s="331">
        <v>1086</v>
      </c>
      <c r="I35" s="330">
        <v>1064</v>
      </c>
      <c r="J35" s="330">
        <v>0</v>
      </c>
      <c r="K35" s="332">
        <v>90.62</v>
      </c>
      <c r="L35" s="332">
        <v>88.4</v>
      </c>
      <c r="M35" s="332">
        <v>3.79</v>
      </c>
      <c r="N35" s="332">
        <v>92.85</v>
      </c>
      <c r="O35" s="333">
        <v>663</v>
      </c>
      <c r="P35" s="330">
        <v>92.73</v>
      </c>
      <c r="Q35" s="330">
        <v>86.94</v>
      </c>
      <c r="R35" s="330">
        <v>16.96</v>
      </c>
      <c r="S35" s="330">
        <v>108.43</v>
      </c>
      <c r="T35" s="330">
        <v>297</v>
      </c>
      <c r="U35" s="330">
        <v>90.53</v>
      </c>
      <c r="V35" s="330">
        <v>50</v>
      </c>
      <c r="W35" s="330">
        <v>0</v>
      </c>
      <c r="X35" s="330">
        <v>0</v>
      </c>
      <c r="Y35" s="330">
        <v>0</v>
      </c>
      <c r="Z35" s="330">
        <v>1</v>
      </c>
      <c r="AA35" s="330">
        <v>1</v>
      </c>
      <c r="AB35" s="330">
        <v>1</v>
      </c>
      <c r="AC35" s="330">
        <v>2</v>
      </c>
      <c r="AD35" s="334">
        <v>748</v>
      </c>
      <c r="AE35" s="334">
        <v>2</v>
      </c>
      <c r="AF35" s="334">
        <v>4</v>
      </c>
      <c r="AG35" s="334">
        <v>6</v>
      </c>
    </row>
    <row r="36" spans="1:33" x14ac:dyDescent="0.25">
      <c r="A36" s="329" t="s">
        <v>130</v>
      </c>
      <c r="B36" s="335" t="s">
        <v>131</v>
      </c>
      <c r="C36" s="331">
        <v>21110</v>
      </c>
      <c r="D36" s="331">
        <v>7</v>
      </c>
      <c r="E36" s="331">
        <v>692</v>
      </c>
      <c r="F36" s="331">
        <v>3797</v>
      </c>
      <c r="G36" s="331">
        <v>358</v>
      </c>
      <c r="H36" s="331">
        <v>25964</v>
      </c>
      <c r="I36" s="330">
        <v>25606</v>
      </c>
      <c r="J36" s="330">
        <v>0</v>
      </c>
      <c r="K36" s="332">
        <v>78.36</v>
      </c>
      <c r="L36" s="332">
        <v>80.569999999999993</v>
      </c>
      <c r="M36" s="332">
        <v>8.36</v>
      </c>
      <c r="N36" s="332">
        <v>80.87</v>
      </c>
      <c r="O36" s="333">
        <v>18076</v>
      </c>
      <c r="P36" s="330">
        <v>75.11</v>
      </c>
      <c r="Q36" s="330">
        <v>75.78</v>
      </c>
      <c r="R36" s="330">
        <v>28.71</v>
      </c>
      <c r="S36" s="330">
        <v>103.1</v>
      </c>
      <c r="T36" s="330">
        <v>4483</v>
      </c>
      <c r="U36" s="330">
        <v>97.31</v>
      </c>
      <c r="V36" s="330">
        <v>2929</v>
      </c>
      <c r="W36" s="330">
        <v>252.8</v>
      </c>
      <c r="X36" s="330">
        <v>2</v>
      </c>
      <c r="Y36" s="330">
        <v>51</v>
      </c>
      <c r="Z36" s="330">
        <v>133</v>
      </c>
      <c r="AA36" s="330">
        <v>5</v>
      </c>
      <c r="AB36" s="330">
        <v>3</v>
      </c>
      <c r="AC36" s="330">
        <v>11</v>
      </c>
      <c r="AD36" s="334">
        <v>21082</v>
      </c>
      <c r="AE36" s="334">
        <v>124</v>
      </c>
      <c r="AF36" s="334">
        <v>118</v>
      </c>
      <c r="AG36" s="334">
        <v>242</v>
      </c>
    </row>
    <row r="37" spans="1:33" x14ac:dyDescent="0.25">
      <c r="A37" s="329" t="s">
        <v>132</v>
      </c>
      <c r="B37" s="335" t="s">
        <v>133</v>
      </c>
      <c r="C37" s="331">
        <v>4337</v>
      </c>
      <c r="D37" s="331">
        <v>0</v>
      </c>
      <c r="E37" s="331">
        <v>135</v>
      </c>
      <c r="F37" s="331">
        <v>969</v>
      </c>
      <c r="G37" s="331">
        <v>220</v>
      </c>
      <c r="H37" s="331">
        <v>5661</v>
      </c>
      <c r="I37" s="330">
        <v>5441</v>
      </c>
      <c r="J37" s="330">
        <v>0</v>
      </c>
      <c r="K37" s="332">
        <v>81.3</v>
      </c>
      <c r="L37" s="332">
        <v>78.489999999999995</v>
      </c>
      <c r="M37" s="332">
        <v>1.78</v>
      </c>
      <c r="N37" s="332">
        <v>83.04</v>
      </c>
      <c r="O37" s="333">
        <v>4036</v>
      </c>
      <c r="P37" s="330">
        <v>75.89</v>
      </c>
      <c r="Q37" s="330">
        <v>72.77</v>
      </c>
      <c r="R37" s="330">
        <v>15.04</v>
      </c>
      <c r="S37" s="330">
        <v>90.91</v>
      </c>
      <c r="T37" s="330">
        <v>1043</v>
      </c>
      <c r="U37" s="330">
        <v>102.36</v>
      </c>
      <c r="V37" s="330">
        <v>245</v>
      </c>
      <c r="W37" s="330">
        <v>268.73</v>
      </c>
      <c r="X37" s="330">
        <v>6</v>
      </c>
      <c r="Y37" s="330">
        <v>0</v>
      </c>
      <c r="Z37" s="330">
        <v>17</v>
      </c>
      <c r="AA37" s="330">
        <v>0</v>
      </c>
      <c r="AB37" s="330">
        <v>32</v>
      </c>
      <c r="AC37" s="330">
        <v>8</v>
      </c>
      <c r="AD37" s="334">
        <v>4301</v>
      </c>
      <c r="AE37" s="334">
        <v>5</v>
      </c>
      <c r="AF37" s="334">
        <v>3</v>
      </c>
      <c r="AG37" s="334">
        <v>8</v>
      </c>
    </row>
    <row r="38" spans="1:33" x14ac:dyDescent="0.25">
      <c r="A38" s="329" t="s">
        <v>134</v>
      </c>
      <c r="B38" s="335" t="s">
        <v>135</v>
      </c>
      <c r="C38" s="331">
        <v>6296</v>
      </c>
      <c r="D38" s="331">
        <v>30</v>
      </c>
      <c r="E38" s="331">
        <v>1218</v>
      </c>
      <c r="F38" s="331">
        <v>1442</v>
      </c>
      <c r="G38" s="331">
        <v>870</v>
      </c>
      <c r="H38" s="331">
        <v>9856</v>
      </c>
      <c r="I38" s="330">
        <v>8986</v>
      </c>
      <c r="J38" s="330">
        <v>0</v>
      </c>
      <c r="K38" s="332">
        <v>105.68</v>
      </c>
      <c r="L38" s="332">
        <v>105.01</v>
      </c>
      <c r="M38" s="332">
        <v>4.96</v>
      </c>
      <c r="N38" s="332">
        <v>109.19</v>
      </c>
      <c r="O38" s="333">
        <v>5362</v>
      </c>
      <c r="P38" s="330">
        <v>93.07</v>
      </c>
      <c r="Q38" s="330">
        <v>86.08</v>
      </c>
      <c r="R38" s="330">
        <v>29.66</v>
      </c>
      <c r="S38" s="330">
        <v>120.55</v>
      </c>
      <c r="T38" s="330">
        <v>1656</v>
      </c>
      <c r="U38" s="330">
        <v>143.54</v>
      </c>
      <c r="V38" s="330">
        <v>426</v>
      </c>
      <c r="W38" s="330">
        <v>0</v>
      </c>
      <c r="X38" s="330">
        <v>0</v>
      </c>
      <c r="Y38" s="330">
        <v>31</v>
      </c>
      <c r="Z38" s="330">
        <v>2</v>
      </c>
      <c r="AA38" s="330">
        <v>1</v>
      </c>
      <c r="AB38" s="330">
        <v>6</v>
      </c>
      <c r="AC38" s="330">
        <v>14</v>
      </c>
      <c r="AD38" s="334">
        <v>5788</v>
      </c>
      <c r="AE38" s="334">
        <v>12</v>
      </c>
      <c r="AF38" s="334">
        <v>13</v>
      </c>
      <c r="AG38" s="334">
        <v>25</v>
      </c>
    </row>
    <row r="39" spans="1:33" x14ac:dyDescent="0.25">
      <c r="A39" s="329" t="s">
        <v>136</v>
      </c>
      <c r="B39" s="335" t="s">
        <v>137</v>
      </c>
      <c r="C39" s="331">
        <v>7264</v>
      </c>
      <c r="D39" s="331">
        <v>5</v>
      </c>
      <c r="E39" s="331">
        <v>231</v>
      </c>
      <c r="F39" s="331">
        <v>503</v>
      </c>
      <c r="G39" s="331">
        <v>583</v>
      </c>
      <c r="H39" s="331">
        <v>8586</v>
      </c>
      <c r="I39" s="330">
        <v>8003</v>
      </c>
      <c r="J39" s="330">
        <v>0</v>
      </c>
      <c r="K39" s="332">
        <v>110.73</v>
      </c>
      <c r="L39" s="332">
        <v>110.83</v>
      </c>
      <c r="M39" s="332">
        <v>7.87</v>
      </c>
      <c r="N39" s="332">
        <v>113.08</v>
      </c>
      <c r="O39" s="333">
        <v>6759</v>
      </c>
      <c r="P39" s="330">
        <v>95.67</v>
      </c>
      <c r="Q39" s="330">
        <v>96.95</v>
      </c>
      <c r="R39" s="330">
        <v>36.58</v>
      </c>
      <c r="S39" s="330">
        <v>130.18</v>
      </c>
      <c r="T39" s="330">
        <v>723</v>
      </c>
      <c r="U39" s="330">
        <v>156.15</v>
      </c>
      <c r="V39" s="330">
        <v>431</v>
      </c>
      <c r="W39" s="330">
        <v>0</v>
      </c>
      <c r="X39" s="330">
        <v>0</v>
      </c>
      <c r="Y39" s="330">
        <v>0</v>
      </c>
      <c r="Z39" s="330">
        <v>15</v>
      </c>
      <c r="AA39" s="330">
        <v>0</v>
      </c>
      <c r="AB39" s="330">
        <v>46</v>
      </c>
      <c r="AC39" s="330">
        <v>20</v>
      </c>
      <c r="AD39" s="334">
        <v>7242</v>
      </c>
      <c r="AE39" s="334">
        <v>36</v>
      </c>
      <c r="AF39" s="334">
        <v>42</v>
      </c>
      <c r="AG39" s="334">
        <v>78</v>
      </c>
    </row>
    <row r="40" spans="1:33" x14ac:dyDescent="0.25">
      <c r="A40" s="329" t="s">
        <v>138</v>
      </c>
      <c r="B40" s="335" t="s">
        <v>139</v>
      </c>
      <c r="C40" s="331">
        <v>27478</v>
      </c>
      <c r="D40" s="331">
        <v>180</v>
      </c>
      <c r="E40" s="331">
        <v>1237</v>
      </c>
      <c r="F40" s="331">
        <v>2972</v>
      </c>
      <c r="G40" s="331">
        <v>382</v>
      </c>
      <c r="H40" s="331">
        <v>32249</v>
      </c>
      <c r="I40" s="330">
        <v>31867</v>
      </c>
      <c r="J40" s="330">
        <v>149</v>
      </c>
      <c r="K40" s="332">
        <v>79.47</v>
      </c>
      <c r="L40" s="332">
        <v>75.2</v>
      </c>
      <c r="M40" s="332">
        <v>5.61</v>
      </c>
      <c r="N40" s="332">
        <v>84.82</v>
      </c>
      <c r="O40" s="333">
        <v>25426</v>
      </c>
      <c r="P40" s="330">
        <v>81.22</v>
      </c>
      <c r="Q40" s="330">
        <v>76.98</v>
      </c>
      <c r="R40" s="330">
        <v>32.909999999999997</v>
      </c>
      <c r="S40" s="330">
        <v>113.68</v>
      </c>
      <c r="T40" s="330">
        <v>3488</v>
      </c>
      <c r="U40" s="330">
        <v>100.58</v>
      </c>
      <c r="V40" s="330">
        <v>2082</v>
      </c>
      <c r="W40" s="330">
        <v>152.69999999999999</v>
      </c>
      <c r="X40" s="330">
        <v>80</v>
      </c>
      <c r="Y40" s="330">
        <v>45</v>
      </c>
      <c r="Z40" s="330">
        <v>64</v>
      </c>
      <c r="AA40" s="330">
        <v>5</v>
      </c>
      <c r="AB40" s="330">
        <v>6</v>
      </c>
      <c r="AC40" s="330">
        <v>31</v>
      </c>
      <c r="AD40" s="334">
        <v>27470</v>
      </c>
      <c r="AE40" s="334">
        <v>662</v>
      </c>
      <c r="AF40" s="334">
        <v>164</v>
      </c>
      <c r="AG40" s="334">
        <v>826</v>
      </c>
    </row>
    <row r="41" spans="1:33" x14ac:dyDescent="0.25">
      <c r="A41" s="329" t="s">
        <v>140</v>
      </c>
      <c r="B41" s="335" t="s">
        <v>141</v>
      </c>
      <c r="C41" s="331">
        <v>9418</v>
      </c>
      <c r="D41" s="331">
        <v>37</v>
      </c>
      <c r="E41" s="331">
        <v>295</v>
      </c>
      <c r="F41" s="331">
        <v>700</v>
      </c>
      <c r="G41" s="331">
        <v>251</v>
      </c>
      <c r="H41" s="331">
        <v>10701</v>
      </c>
      <c r="I41" s="330">
        <v>10450</v>
      </c>
      <c r="J41" s="330">
        <v>0</v>
      </c>
      <c r="K41" s="332">
        <v>97.71</v>
      </c>
      <c r="L41" s="332">
        <v>98.28</v>
      </c>
      <c r="M41" s="332">
        <v>4.01</v>
      </c>
      <c r="N41" s="332">
        <v>98.83</v>
      </c>
      <c r="O41" s="333">
        <v>8854</v>
      </c>
      <c r="P41" s="330">
        <v>87.98</v>
      </c>
      <c r="Q41" s="330">
        <v>86.3</v>
      </c>
      <c r="R41" s="330">
        <v>35.51</v>
      </c>
      <c r="S41" s="330">
        <v>122.71</v>
      </c>
      <c r="T41" s="330">
        <v>827</v>
      </c>
      <c r="U41" s="330">
        <v>131.36000000000001</v>
      </c>
      <c r="V41" s="330">
        <v>505</v>
      </c>
      <c r="W41" s="330">
        <v>145.33000000000001</v>
      </c>
      <c r="X41" s="330">
        <v>25</v>
      </c>
      <c r="Y41" s="330">
        <v>4</v>
      </c>
      <c r="Z41" s="330">
        <v>37</v>
      </c>
      <c r="AA41" s="330">
        <v>0</v>
      </c>
      <c r="AB41" s="330">
        <v>6</v>
      </c>
      <c r="AC41" s="330">
        <v>4</v>
      </c>
      <c r="AD41" s="334">
        <v>9406</v>
      </c>
      <c r="AE41" s="334">
        <v>17</v>
      </c>
      <c r="AF41" s="334">
        <v>41</v>
      </c>
      <c r="AG41" s="334">
        <v>58</v>
      </c>
    </row>
    <row r="42" spans="1:33" x14ac:dyDescent="0.25">
      <c r="A42" s="329" t="s">
        <v>142</v>
      </c>
      <c r="B42" s="335" t="s">
        <v>143</v>
      </c>
      <c r="C42" s="331">
        <v>7189</v>
      </c>
      <c r="D42" s="331">
        <v>0</v>
      </c>
      <c r="E42" s="331">
        <v>212</v>
      </c>
      <c r="F42" s="331">
        <v>1029</v>
      </c>
      <c r="G42" s="331">
        <v>188</v>
      </c>
      <c r="H42" s="331">
        <v>8618</v>
      </c>
      <c r="I42" s="330">
        <v>8430</v>
      </c>
      <c r="J42" s="330">
        <v>5</v>
      </c>
      <c r="K42" s="332">
        <v>89.28</v>
      </c>
      <c r="L42" s="332">
        <v>89.32</v>
      </c>
      <c r="M42" s="332">
        <v>2.97</v>
      </c>
      <c r="N42" s="332">
        <v>89.94</v>
      </c>
      <c r="O42" s="333">
        <v>6719</v>
      </c>
      <c r="P42" s="330">
        <v>80.88</v>
      </c>
      <c r="Q42" s="330">
        <v>78.099999999999994</v>
      </c>
      <c r="R42" s="330">
        <v>22.8</v>
      </c>
      <c r="S42" s="330">
        <v>102.92</v>
      </c>
      <c r="T42" s="330">
        <v>1199</v>
      </c>
      <c r="U42" s="330">
        <v>112.69</v>
      </c>
      <c r="V42" s="330">
        <v>396</v>
      </c>
      <c r="W42" s="330">
        <v>0</v>
      </c>
      <c r="X42" s="330">
        <v>0</v>
      </c>
      <c r="Y42" s="330">
        <v>0</v>
      </c>
      <c r="Z42" s="330">
        <v>7</v>
      </c>
      <c r="AA42" s="330">
        <v>0</v>
      </c>
      <c r="AB42" s="330">
        <v>22</v>
      </c>
      <c r="AC42" s="330">
        <v>6</v>
      </c>
      <c r="AD42" s="334">
        <v>7185</v>
      </c>
      <c r="AE42" s="334">
        <v>47</v>
      </c>
      <c r="AF42" s="334">
        <v>11</v>
      </c>
      <c r="AG42" s="334">
        <v>58</v>
      </c>
    </row>
    <row r="43" spans="1:33" x14ac:dyDescent="0.25">
      <c r="A43" s="329" t="s">
        <v>144</v>
      </c>
      <c r="B43" s="335" t="s">
        <v>145</v>
      </c>
      <c r="C43" s="331">
        <v>15104</v>
      </c>
      <c r="D43" s="331">
        <v>688</v>
      </c>
      <c r="E43" s="331">
        <v>1032</v>
      </c>
      <c r="F43" s="331">
        <v>969</v>
      </c>
      <c r="G43" s="331">
        <v>2053</v>
      </c>
      <c r="H43" s="331">
        <v>19846</v>
      </c>
      <c r="I43" s="330">
        <v>17793</v>
      </c>
      <c r="J43" s="330">
        <v>106</v>
      </c>
      <c r="K43" s="332">
        <v>133.96</v>
      </c>
      <c r="L43" s="332">
        <v>134.93</v>
      </c>
      <c r="M43" s="332">
        <v>9.39</v>
      </c>
      <c r="N43" s="332">
        <v>140.41</v>
      </c>
      <c r="O43" s="333">
        <v>11984</v>
      </c>
      <c r="P43" s="330">
        <v>108.15</v>
      </c>
      <c r="Q43" s="330">
        <v>99.06</v>
      </c>
      <c r="R43" s="330">
        <v>58.33</v>
      </c>
      <c r="S43" s="330">
        <v>153.87</v>
      </c>
      <c r="T43" s="330">
        <v>958</v>
      </c>
      <c r="U43" s="330">
        <v>206.18</v>
      </c>
      <c r="V43" s="330">
        <v>1233</v>
      </c>
      <c r="W43" s="330">
        <v>196.47</v>
      </c>
      <c r="X43" s="330">
        <v>40</v>
      </c>
      <c r="Y43" s="330">
        <v>0</v>
      </c>
      <c r="Z43" s="330">
        <v>7</v>
      </c>
      <c r="AA43" s="330">
        <v>43</v>
      </c>
      <c r="AB43" s="330">
        <v>78</v>
      </c>
      <c r="AC43" s="330">
        <v>122</v>
      </c>
      <c r="AD43" s="334">
        <v>13672</v>
      </c>
      <c r="AE43" s="334">
        <v>126</v>
      </c>
      <c r="AF43" s="334">
        <v>106</v>
      </c>
      <c r="AG43" s="334">
        <v>232</v>
      </c>
    </row>
    <row r="44" spans="1:33" x14ac:dyDescent="0.25">
      <c r="A44" s="329" t="s">
        <v>146</v>
      </c>
      <c r="B44" s="335" t="s">
        <v>147</v>
      </c>
      <c r="C44" s="331">
        <v>746</v>
      </c>
      <c r="D44" s="331">
        <v>7</v>
      </c>
      <c r="E44" s="331">
        <v>114</v>
      </c>
      <c r="F44" s="331">
        <v>163</v>
      </c>
      <c r="G44" s="331">
        <v>162</v>
      </c>
      <c r="H44" s="331">
        <v>1192</v>
      </c>
      <c r="I44" s="330">
        <v>1030</v>
      </c>
      <c r="J44" s="330">
        <v>12</v>
      </c>
      <c r="K44" s="332">
        <v>119.03</v>
      </c>
      <c r="L44" s="332">
        <v>117.48</v>
      </c>
      <c r="M44" s="332">
        <v>7.54</v>
      </c>
      <c r="N44" s="332">
        <v>126.05</v>
      </c>
      <c r="O44" s="333">
        <v>516</v>
      </c>
      <c r="P44" s="330">
        <v>96.12</v>
      </c>
      <c r="Q44" s="330">
        <v>97.59</v>
      </c>
      <c r="R44" s="330">
        <v>43.45</v>
      </c>
      <c r="S44" s="330">
        <v>139.57</v>
      </c>
      <c r="T44" s="330">
        <v>277</v>
      </c>
      <c r="U44" s="330">
        <v>140.04</v>
      </c>
      <c r="V44" s="330">
        <v>81</v>
      </c>
      <c r="W44" s="330">
        <v>0</v>
      </c>
      <c r="X44" s="330">
        <v>0</v>
      </c>
      <c r="Y44" s="330">
        <v>0</v>
      </c>
      <c r="Z44" s="330">
        <v>1</v>
      </c>
      <c r="AA44" s="330">
        <v>0</v>
      </c>
      <c r="AB44" s="330">
        <v>1</v>
      </c>
      <c r="AC44" s="330">
        <v>5</v>
      </c>
      <c r="AD44" s="334">
        <v>600</v>
      </c>
      <c r="AE44" s="334">
        <v>4</v>
      </c>
      <c r="AF44" s="334">
        <v>0</v>
      </c>
      <c r="AG44" s="334">
        <v>4</v>
      </c>
    </row>
    <row r="45" spans="1:33" x14ac:dyDescent="0.25">
      <c r="A45" s="329" t="s">
        <v>148</v>
      </c>
      <c r="B45" s="335" t="s">
        <v>149</v>
      </c>
      <c r="C45" s="331">
        <v>4877</v>
      </c>
      <c r="D45" s="331">
        <v>67</v>
      </c>
      <c r="E45" s="331">
        <v>1034</v>
      </c>
      <c r="F45" s="331">
        <v>764</v>
      </c>
      <c r="G45" s="331">
        <v>854</v>
      </c>
      <c r="H45" s="331">
        <v>7596</v>
      </c>
      <c r="I45" s="330">
        <v>6742</v>
      </c>
      <c r="J45" s="330">
        <v>12</v>
      </c>
      <c r="K45" s="332">
        <v>97.1</v>
      </c>
      <c r="L45" s="332">
        <v>95.28</v>
      </c>
      <c r="M45" s="332">
        <v>10.43</v>
      </c>
      <c r="N45" s="332">
        <v>105.57</v>
      </c>
      <c r="O45" s="333">
        <v>4031</v>
      </c>
      <c r="P45" s="330">
        <v>89.89</v>
      </c>
      <c r="Q45" s="330">
        <v>85.71</v>
      </c>
      <c r="R45" s="330">
        <v>53.24</v>
      </c>
      <c r="S45" s="330">
        <v>141.58000000000001</v>
      </c>
      <c r="T45" s="330">
        <v>1067</v>
      </c>
      <c r="U45" s="330">
        <v>161.05000000000001</v>
      </c>
      <c r="V45" s="330">
        <v>414</v>
      </c>
      <c r="W45" s="330">
        <v>0</v>
      </c>
      <c r="X45" s="330">
        <v>0</v>
      </c>
      <c r="Y45" s="330">
        <v>0</v>
      </c>
      <c r="Z45" s="330">
        <v>0</v>
      </c>
      <c r="AA45" s="330">
        <v>19</v>
      </c>
      <c r="AB45" s="330">
        <v>41</v>
      </c>
      <c r="AC45" s="330">
        <v>40</v>
      </c>
      <c r="AD45" s="334">
        <v>4490</v>
      </c>
      <c r="AE45" s="334">
        <v>26</v>
      </c>
      <c r="AF45" s="334">
        <v>12</v>
      </c>
      <c r="AG45" s="334">
        <v>38</v>
      </c>
    </row>
    <row r="46" spans="1:33" x14ac:dyDescent="0.25">
      <c r="A46" s="329" t="s">
        <v>150</v>
      </c>
      <c r="B46" s="335" t="s">
        <v>151</v>
      </c>
      <c r="C46" s="331">
        <v>8439</v>
      </c>
      <c r="D46" s="331">
        <v>6</v>
      </c>
      <c r="E46" s="331">
        <v>1542</v>
      </c>
      <c r="F46" s="331">
        <v>2000</v>
      </c>
      <c r="G46" s="331">
        <v>965</v>
      </c>
      <c r="H46" s="331">
        <v>12952</v>
      </c>
      <c r="I46" s="330">
        <v>11987</v>
      </c>
      <c r="J46" s="330">
        <v>0</v>
      </c>
      <c r="K46" s="332">
        <v>97.41</v>
      </c>
      <c r="L46" s="332">
        <v>95.9</v>
      </c>
      <c r="M46" s="332">
        <v>8.11</v>
      </c>
      <c r="N46" s="332">
        <v>103.26</v>
      </c>
      <c r="O46" s="333">
        <v>6350</v>
      </c>
      <c r="P46" s="330">
        <v>90.04</v>
      </c>
      <c r="Q46" s="330">
        <v>88.11</v>
      </c>
      <c r="R46" s="330">
        <v>34.450000000000003</v>
      </c>
      <c r="S46" s="330">
        <v>123.87</v>
      </c>
      <c r="T46" s="330">
        <v>2960</v>
      </c>
      <c r="U46" s="330">
        <v>129.91999999999999</v>
      </c>
      <c r="V46" s="330">
        <v>884</v>
      </c>
      <c r="W46" s="330">
        <v>119.87</v>
      </c>
      <c r="X46" s="330">
        <v>11</v>
      </c>
      <c r="Y46" s="330">
        <v>4</v>
      </c>
      <c r="Z46" s="330">
        <v>5</v>
      </c>
      <c r="AA46" s="330">
        <v>11</v>
      </c>
      <c r="AB46" s="330">
        <v>95</v>
      </c>
      <c r="AC46" s="330">
        <v>41</v>
      </c>
      <c r="AD46" s="334">
        <v>7415</v>
      </c>
      <c r="AE46" s="334">
        <v>29</v>
      </c>
      <c r="AF46" s="334">
        <v>34</v>
      </c>
      <c r="AG46" s="334">
        <v>63</v>
      </c>
    </row>
    <row r="47" spans="1:33" x14ac:dyDescent="0.25">
      <c r="A47" s="329" t="s">
        <v>152</v>
      </c>
      <c r="B47" s="335" t="s">
        <v>153</v>
      </c>
      <c r="C47" s="331">
        <v>4530</v>
      </c>
      <c r="D47" s="331">
        <v>0</v>
      </c>
      <c r="E47" s="331">
        <v>166</v>
      </c>
      <c r="F47" s="331">
        <v>562</v>
      </c>
      <c r="G47" s="331">
        <v>307</v>
      </c>
      <c r="H47" s="331">
        <v>5565</v>
      </c>
      <c r="I47" s="330">
        <v>5258</v>
      </c>
      <c r="J47" s="330">
        <v>25</v>
      </c>
      <c r="K47" s="332">
        <v>93.8</v>
      </c>
      <c r="L47" s="332">
        <v>93.64</v>
      </c>
      <c r="M47" s="332">
        <v>2.0699999999999998</v>
      </c>
      <c r="N47" s="332">
        <v>94.63</v>
      </c>
      <c r="O47" s="333">
        <v>3669</v>
      </c>
      <c r="P47" s="330">
        <v>91.03</v>
      </c>
      <c r="Q47" s="330">
        <v>86.55</v>
      </c>
      <c r="R47" s="330">
        <v>23.47</v>
      </c>
      <c r="S47" s="330">
        <v>114.21</v>
      </c>
      <c r="T47" s="330">
        <v>726</v>
      </c>
      <c r="U47" s="330">
        <v>107.15</v>
      </c>
      <c r="V47" s="330">
        <v>804</v>
      </c>
      <c r="W47" s="330">
        <v>0</v>
      </c>
      <c r="X47" s="330">
        <v>0</v>
      </c>
      <c r="Y47" s="330">
        <v>0</v>
      </c>
      <c r="Z47" s="330">
        <v>10</v>
      </c>
      <c r="AA47" s="330">
        <v>0</v>
      </c>
      <c r="AB47" s="330">
        <v>40</v>
      </c>
      <c r="AC47" s="330">
        <v>6</v>
      </c>
      <c r="AD47" s="334">
        <v>4530</v>
      </c>
      <c r="AE47" s="334">
        <v>25</v>
      </c>
      <c r="AF47" s="334">
        <v>10</v>
      </c>
      <c r="AG47" s="334">
        <v>35</v>
      </c>
    </row>
    <row r="48" spans="1:33" x14ac:dyDescent="0.25">
      <c r="A48" s="329" t="s">
        <v>154</v>
      </c>
      <c r="B48" s="335" t="s">
        <v>155</v>
      </c>
      <c r="C48" s="331">
        <v>16006</v>
      </c>
      <c r="D48" s="331">
        <v>92</v>
      </c>
      <c r="E48" s="331">
        <v>637</v>
      </c>
      <c r="F48" s="331">
        <v>2196</v>
      </c>
      <c r="G48" s="331">
        <v>987</v>
      </c>
      <c r="H48" s="331">
        <v>19918</v>
      </c>
      <c r="I48" s="330">
        <v>18931</v>
      </c>
      <c r="J48" s="330">
        <v>43</v>
      </c>
      <c r="K48" s="332">
        <v>116.92</v>
      </c>
      <c r="L48" s="332">
        <v>116.66</v>
      </c>
      <c r="M48" s="332">
        <v>12.54</v>
      </c>
      <c r="N48" s="332">
        <v>124.17</v>
      </c>
      <c r="O48" s="333">
        <v>13427</v>
      </c>
      <c r="P48" s="330">
        <v>108.81</v>
      </c>
      <c r="Q48" s="330">
        <v>105.67</v>
      </c>
      <c r="R48" s="330">
        <v>38.92</v>
      </c>
      <c r="S48" s="330">
        <v>146.18</v>
      </c>
      <c r="T48" s="330">
        <v>2337</v>
      </c>
      <c r="U48" s="330">
        <v>173.83</v>
      </c>
      <c r="V48" s="330">
        <v>1596</v>
      </c>
      <c r="W48" s="330">
        <v>0</v>
      </c>
      <c r="X48" s="330">
        <v>0</v>
      </c>
      <c r="Y48" s="330">
        <v>217</v>
      </c>
      <c r="Z48" s="330">
        <v>11</v>
      </c>
      <c r="AA48" s="330">
        <v>4</v>
      </c>
      <c r="AB48" s="330">
        <v>81</v>
      </c>
      <c r="AC48" s="330">
        <v>24</v>
      </c>
      <c r="AD48" s="334">
        <v>15222</v>
      </c>
      <c r="AE48" s="334">
        <v>126</v>
      </c>
      <c r="AF48" s="334">
        <v>39</v>
      </c>
      <c r="AG48" s="334">
        <v>165</v>
      </c>
    </row>
    <row r="49" spans="1:33" x14ac:dyDescent="0.25">
      <c r="A49" s="329" t="s">
        <v>156</v>
      </c>
      <c r="B49" s="335" t="s">
        <v>157</v>
      </c>
      <c r="C49" s="331">
        <v>3238</v>
      </c>
      <c r="D49" s="331">
        <v>0</v>
      </c>
      <c r="E49" s="331">
        <v>92</v>
      </c>
      <c r="F49" s="331">
        <v>995</v>
      </c>
      <c r="G49" s="331">
        <v>382</v>
      </c>
      <c r="H49" s="331">
        <v>4707</v>
      </c>
      <c r="I49" s="330">
        <v>4325</v>
      </c>
      <c r="J49" s="330">
        <v>0</v>
      </c>
      <c r="K49" s="332">
        <v>92.31</v>
      </c>
      <c r="L49" s="332">
        <v>92.29</v>
      </c>
      <c r="M49" s="332">
        <v>4.24</v>
      </c>
      <c r="N49" s="332">
        <v>94.62</v>
      </c>
      <c r="O49" s="333">
        <v>2876</v>
      </c>
      <c r="P49" s="330">
        <v>84.38</v>
      </c>
      <c r="Q49" s="330">
        <v>85.18</v>
      </c>
      <c r="R49" s="330">
        <v>21.01</v>
      </c>
      <c r="S49" s="330">
        <v>105.33</v>
      </c>
      <c r="T49" s="330">
        <v>1012</v>
      </c>
      <c r="U49" s="330">
        <v>114.43</v>
      </c>
      <c r="V49" s="330">
        <v>316</v>
      </c>
      <c r="W49" s="330">
        <v>0</v>
      </c>
      <c r="X49" s="330">
        <v>0</v>
      </c>
      <c r="Y49" s="330">
        <v>0</v>
      </c>
      <c r="Z49" s="330">
        <v>5</v>
      </c>
      <c r="AA49" s="330">
        <v>12</v>
      </c>
      <c r="AB49" s="330">
        <v>47</v>
      </c>
      <c r="AC49" s="330">
        <v>10</v>
      </c>
      <c r="AD49" s="334">
        <v>3238</v>
      </c>
      <c r="AE49" s="334">
        <v>16</v>
      </c>
      <c r="AF49" s="334">
        <v>1</v>
      </c>
      <c r="AG49" s="334">
        <v>17</v>
      </c>
    </row>
    <row r="50" spans="1:33" x14ac:dyDescent="0.25">
      <c r="A50" s="329" t="s">
        <v>158</v>
      </c>
      <c r="B50" s="335" t="s">
        <v>159</v>
      </c>
      <c r="C50" s="331">
        <v>4715</v>
      </c>
      <c r="D50" s="331">
        <v>0</v>
      </c>
      <c r="E50" s="331">
        <v>115</v>
      </c>
      <c r="F50" s="331">
        <v>413</v>
      </c>
      <c r="G50" s="331">
        <v>390</v>
      </c>
      <c r="H50" s="331">
        <v>5633</v>
      </c>
      <c r="I50" s="330">
        <v>5243</v>
      </c>
      <c r="J50" s="330">
        <v>13</v>
      </c>
      <c r="K50" s="332">
        <v>116.83</v>
      </c>
      <c r="L50" s="332">
        <v>112.8</v>
      </c>
      <c r="M50" s="332">
        <v>6.39</v>
      </c>
      <c r="N50" s="332">
        <v>120.49</v>
      </c>
      <c r="O50" s="333">
        <v>4098</v>
      </c>
      <c r="P50" s="330">
        <v>101.95</v>
      </c>
      <c r="Q50" s="330">
        <v>97.31</v>
      </c>
      <c r="R50" s="330">
        <v>32.340000000000003</v>
      </c>
      <c r="S50" s="330">
        <v>134.05000000000001</v>
      </c>
      <c r="T50" s="330">
        <v>528</v>
      </c>
      <c r="U50" s="330">
        <v>160.93</v>
      </c>
      <c r="V50" s="330">
        <v>584</v>
      </c>
      <c r="W50" s="330">
        <v>0</v>
      </c>
      <c r="X50" s="330">
        <v>0</v>
      </c>
      <c r="Y50" s="330">
        <v>0</v>
      </c>
      <c r="Z50" s="330">
        <v>9</v>
      </c>
      <c r="AA50" s="330">
        <v>0</v>
      </c>
      <c r="AB50" s="330">
        <v>9</v>
      </c>
      <c r="AC50" s="330">
        <v>17</v>
      </c>
      <c r="AD50" s="334">
        <v>4715</v>
      </c>
      <c r="AE50" s="334">
        <v>19</v>
      </c>
      <c r="AF50" s="334">
        <v>30</v>
      </c>
      <c r="AG50" s="334">
        <v>49</v>
      </c>
    </row>
    <row r="51" spans="1:33" x14ac:dyDescent="0.25">
      <c r="A51" s="329" t="s">
        <v>160</v>
      </c>
      <c r="B51" s="335" t="s">
        <v>161</v>
      </c>
      <c r="C51" s="331">
        <v>1062</v>
      </c>
      <c r="D51" s="331">
        <v>0</v>
      </c>
      <c r="E51" s="331">
        <v>104</v>
      </c>
      <c r="F51" s="331">
        <v>108</v>
      </c>
      <c r="G51" s="331">
        <v>75</v>
      </c>
      <c r="H51" s="331">
        <v>1349</v>
      </c>
      <c r="I51" s="330">
        <v>1274</v>
      </c>
      <c r="J51" s="330">
        <v>2</v>
      </c>
      <c r="K51" s="332">
        <v>81.23</v>
      </c>
      <c r="L51" s="332">
        <v>80.05</v>
      </c>
      <c r="M51" s="332">
        <v>7.19</v>
      </c>
      <c r="N51" s="332">
        <v>87.23</v>
      </c>
      <c r="O51" s="333">
        <v>925</v>
      </c>
      <c r="P51" s="330">
        <v>92.03</v>
      </c>
      <c r="Q51" s="330">
        <v>70.97</v>
      </c>
      <c r="R51" s="330">
        <v>36.6</v>
      </c>
      <c r="S51" s="330">
        <v>125.74</v>
      </c>
      <c r="T51" s="330">
        <v>152</v>
      </c>
      <c r="U51" s="330">
        <v>96.98</v>
      </c>
      <c r="V51" s="330">
        <v>122</v>
      </c>
      <c r="W51" s="330">
        <v>189.8</v>
      </c>
      <c r="X51" s="330">
        <v>27</v>
      </c>
      <c r="Y51" s="330">
        <v>0</v>
      </c>
      <c r="Z51" s="330">
        <v>1</v>
      </c>
      <c r="AA51" s="330">
        <v>0</v>
      </c>
      <c r="AB51" s="330">
        <v>5</v>
      </c>
      <c r="AC51" s="330">
        <v>1</v>
      </c>
      <c r="AD51" s="334">
        <v>1062</v>
      </c>
      <c r="AE51" s="334">
        <v>2</v>
      </c>
      <c r="AF51" s="334">
        <v>2</v>
      </c>
      <c r="AG51" s="334">
        <v>4</v>
      </c>
    </row>
    <row r="52" spans="1:33" x14ac:dyDescent="0.25">
      <c r="A52" s="329" t="s">
        <v>775</v>
      </c>
      <c r="B52" s="335" t="s">
        <v>770</v>
      </c>
      <c r="C52" s="331">
        <v>24142</v>
      </c>
      <c r="D52" s="331">
        <v>27</v>
      </c>
      <c r="E52" s="331">
        <v>927</v>
      </c>
      <c r="F52" s="331">
        <v>3263</v>
      </c>
      <c r="G52" s="331">
        <v>2048</v>
      </c>
      <c r="H52" s="331">
        <v>30407</v>
      </c>
      <c r="I52" s="330">
        <v>28359</v>
      </c>
      <c r="J52" s="330">
        <v>173</v>
      </c>
      <c r="K52" s="332">
        <v>111.78</v>
      </c>
      <c r="L52" s="332">
        <v>111.11</v>
      </c>
      <c r="M52" s="332">
        <v>4.59</v>
      </c>
      <c r="N52" s="332">
        <v>114.72</v>
      </c>
      <c r="O52" s="333">
        <v>21379</v>
      </c>
      <c r="P52" s="330">
        <v>102.28</v>
      </c>
      <c r="Q52" s="330">
        <v>100.79</v>
      </c>
      <c r="R52" s="330">
        <v>26.33</v>
      </c>
      <c r="S52" s="330">
        <v>126.35</v>
      </c>
      <c r="T52" s="330">
        <v>3861</v>
      </c>
      <c r="U52" s="330">
        <v>155.62</v>
      </c>
      <c r="V52" s="330">
        <v>2375</v>
      </c>
      <c r="W52" s="330">
        <v>151.13999999999999</v>
      </c>
      <c r="X52" s="330">
        <v>44</v>
      </c>
      <c r="Y52" s="330">
        <v>15</v>
      </c>
      <c r="Z52" s="330">
        <v>79</v>
      </c>
      <c r="AA52" s="330">
        <v>10</v>
      </c>
      <c r="AB52" s="330">
        <v>134</v>
      </c>
      <c r="AC52" s="330">
        <v>76</v>
      </c>
      <c r="AD52" s="334">
        <v>23802</v>
      </c>
      <c r="AE52" s="334">
        <v>82</v>
      </c>
      <c r="AF52" s="334">
        <v>178</v>
      </c>
      <c r="AG52" s="334">
        <v>260</v>
      </c>
    </row>
    <row r="53" spans="1:33" x14ac:dyDescent="0.25">
      <c r="A53" s="329" t="s">
        <v>162</v>
      </c>
      <c r="B53" s="335" t="s">
        <v>163</v>
      </c>
      <c r="C53" s="331">
        <v>4269</v>
      </c>
      <c r="D53" s="331">
        <v>0</v>
      </c>
      <c r="E53" s="331">
        <v>215</v>
      </c>
      <c r="F53" s="331">
        <v>1470</v>
      </c>
      <c r="G53" s="331">
        <v>12</v>
      </c>
      <c r="H53" s="331">
        <v>5966</v>
      </c>
      <c r="I53" s="330">
        <v>5954</v>
      </c>
      <c r="J53" s="330">
        <v>23</v>
      </c>
      <c r="K53" s="332">
        <v>81.66</v>
      </c>
      <c r="L53" s="332">
        <v>78.58</v>
      </c>
      <c r="M53" s="332">
        <v>2.35</v>
      </c>
      <c r="N53" s="332">
        <v>83.8</v>
      </c>
      <c r="O53" s="333">
        <v>3945</v>
      </c>
      <c r="P53" s="330">
        <v>80.78</v>
      </c>
      <c r="Q53" s="330">
        <v>70.61</v>
      </c>
      <c r="R53" s="330">
        <v>18.87</v>
      </c>
      <c r="S53" s="330">
        <v>99.19</v>
      </c>
      <c r="T53" s="330">
        <v>1566</v>
      </c>
      <c r="U53" s="330">
        <v>96.27</v>
      </c>
      <c r="V53" s="330">
        <v>311</v>
      </c>
      <c r="W53" s="330">
        <v>115.34</v>
      </c>
      <c r="X53" s="330">
        <v>14</v>
      </c>
      <c r="Y53" s="330">
        <v>0</v>
      </c>
      <c r="Z53" s="330">
        <v>15</v>
      </c>
      <c r="AA53" s="330">
        <v>0</v>
      </c>
      <c r="AB53" s="330">
        <v>0</v>
      </c>
      <c r="AC53" s="330">
        <v>0</v>
      </c>
      <c r="AD53" s="334">
        <v>4269</v>
      </c>
      <c r="AE53" s="334">
        <v>67</v>
      </c>
      <c r="AF53" s="334">
        <v>11</v>
      </c>
      <c r="AG53" s="334">
        <v>78</v>
      </c>
    </row>
    <row r="54" spans="1:33" x14ac:dyDescent="0.25">
      <c r="A54" s="329" t="s">
        <v>164</v>
      </c>
      <c r="B54" s="335" t="s">
        <v>165</v>
      </c>
      <c r="C54" s="331">
        <v>3819</v>
      </c>
      <c r="D54" s="331">
        <v>0</v>
      </c>
      <c r="E54" s="331">
        <v>370</v>
      </c>
      <c r="F54" s="331">
        <v>557</v>
      </c>
      <c r="G54" s="331">
        <v>139</v>
      </c>
      <c r="H54" s="331">
        <v>4885</v>
      </c>
      <c r="I54" s="330">
        <v>4746</v>
      </c>
      <c r="J54" s="330">
        <v>0</v>
      </c>
      <c r="K54" s="332">
        <v>82.65</v>
      </c>
      <c r="L54" s="332">
        <v>82.35</v>
      </c>
      <c r="M54" s="332">
        <v>6.19</v>
      </c>
      <c r="N54" s="332">
        <v>86.34</v>
      </c>
      <c r="O54" s="333">
        <v>3168</v>
      </c>
      <c r="P54" s="330">
        <v>89.32</v>
      </c>
      <c r="Q54" s="330">
        <v>77.47</v>
      </c>
      <c r="R54" s="330">
        <v>36.06</v>
      </c>
      <c r="S54" s="330">
        <v>122.31</v>
      </c>
      <c r="T54" s="330">
        <v>716</v>
      </c>
      <c r="U54" s="330">
        <v>104.47</v>
      </c>
      <c r="V54" s="330">
        <v>371</v>
      </c>
      <c r="W54" s="330">
        <v>126.87</v>
      </c>
      <c r="X54" s="330">
        <v>17</v>
      </c>
      <c r="Y54" s="330">
        <v>13</v>
      </c>
      <c r="Z54" s="330">
        <v>5</v>
      </c>
      <c r="AA54" s="330">
        <v>18</v>
      </c>
      <c r="AB54" s="330">
        <v>3</v>
      </c>
      <c r="AC54" s="330">
        <v>9</v>
      </c>
      <c r="AD54" s="334">
        <v>3506</v>
      </c>
      <c r="AE54" s="334">
        <v>22</v>
      </c>
      <c r="AF54" s="334">
        <v>22</v>
      </c>
      <c r="AG54" s="334">
        <v>44</v>
      </c>
    </row>
    <row r="55" spans="1:33" x14ac:dyDescent="0.25">
      <c r="A55" s="329" t="s">
        <v>166</v>
      </c>
      <c r="B55" s="335" t="s">
        <v>167</v>
      </c>
      <c r="C55" s="331">
        <v>13025</v>
      </c>
      <c r="D55" s="331">
        <v>2</v>
      </c>
      <c r="E55" s="331">
        <v>202</v>
      </c>
      <c r="F55" s="331">
        <v>921</v>
      </c>
      <c r="G55" s="331">
        <v>167</v>
      </c>
      <c r="H55" s="331">
        <v>14317</v>
      </c>
      <c r="I55" s="330">
        <v>14150</v>
      </c>
      <c r="J55" s="330">
        <v>71</v>
      </c>
      <c r="K55" s="332">
        <v>78.45</v>
      </c>
      <c r="L55" s="332">
        <v>80.650000000000006</v>
      </c>
      <c r="M55" s="332">
        <v>7.44</v>
      </c>
      <c r="N55" s="332">
        <v>85.55</v>
      </c>
      <c r="O55" s="333">
        <v>12489</v>
      </c>
      <c r="P55" s="330">
        <v>84.18</v>
      </c>
      <c r="Q55" s="330">
        <v>78.760000000000005</v>
      </c>
      <c r="R55" s="330">
        <v>34</v>
      </c>
      <c r="S55" s="330">
        <v>117.89</v>
      </c>
      <c r="T55" s="330">
        <v>1039</v>
      </c>
      <c r="U55" s="330">
        <v>97.57</v>
      </c>
      <c r="V55" s="330">
        <v>458</v>
      </c>
      <c r="W55" s="330">
        <v>0</v>
      </c>
      <c r="X55" s="330">
        <v>0</v>
      </c>
      <c r="Y55" s="330">
        <v>0</v>
      </c>
      <c r="Z55" s="330">
        <v>49</v>
      </c>
      <c r="AA55" s="330">
        <v>4</v>
      </c>
      <c r="AB55" s="330">
        <v>0</v>
      </c>
      <c r="AC55" s="330">
        <v>8</v>
      </c>
      <c r="AD55" s="334">
        <v>13001</v>
      </c>
      <c r="AE55" s="334">
        <v>343</v>
      </c>
      <c r="AF55" s="334">
        <v>176</v>
      </c>
      <c r="AG55" s="334">
        <v>519</v>
      </c>
    </row>
    <row r="56" spans="1:33" x14ac:dyDescent="0.25">
      <c r="A56" s="329" t="s">
        <v>168</v>
      </c>
      <c r="B56" s="335" t="s">
        <v>169</v>
      </c>
      <c r="C56" s="331">
        <v>3409</v>
      </c>
      <c r="D56" s="331">
        <v>607</v>
      </c>
      <c r="E56" s="331">
        <v>497</v>
      </c>
      <c r="F56" s="331">
        <v>478</v>
      </c>
      <c r="G56" s="331">
        <v>478</v>
      </c>
      <c r="H56" s="331">
        <v>5469</v>
      </c>
      <c r="I56" s="330">
        <v>4991</v>
      </c>
      <c r="J56" s="330">
        <v>1</v>
      </c>
      <c r="K56" s="332">
        <v>110.52</v>
      </c>
      <c r="L56" s="332">
        <v>105.6</v>
      </c>
      <c r="M56" s="332">
        <v>7.21</v>
      </c>
      <c r="N56" s="332">
        <v>115.11</v>
      </c>
      <c r="O56" s="333">
        <v>2458</v>
      </c>
      <c r="P56" s="330">
        <v>94.56</v>
      </c>
      <c r="Q56" s="330">
        <v>94.1</v>
      </c>
      <c r="R56" s="330">
        <v>57.54</v>
      </c>
      <c r="S56" s="330">
        <v>149.25</v>
      </c>
      <c r="T56" s="330">
        <v>827</v>
      </c>
      <c r="U56" s="330">
        <v>148.34</v>
      </c>
      <c r="V56" s="330">
        <v>530</v>
      </c>
      <c r="W56" s="330">
        <v>130.22</v>
      </c>
      <c r="X56" s="330">
        <v>2</v>
      </c>
      <c r="Y56" s="330">
        <v>0</v>
      </c>
      <c r="Z56" s="330">
        <v>0</v>
      </c>
      <c r="AA56" s="330">
        <v>0</v>
      </c>
      <c r="AB56" s="330">
        <v>86</v>
      </c>
      <c r="AC56" s="330">
        <v>30</v>
      </c>
      <c r="AD56" s="334">
        <v>3135</v>
      </c>
      <c r="AE56" s="334">
        <v>24</v>
      </c>
      <c r="AF56" s="334">
        <v>4</v>
      </c>
      <c r="AG56" s="334">
        <v>28</v>
      </c>
    </row>
    <row r="57" spans="1:33" x14ac:dyDescent="0.25">
      <c r="A57" s="329" t="s">
        <v>170</v>
      </c>
      <c r="B57" s="335" t="s">
        <v>171</v>
      </c>
      <c r="C57" s="331">
        <v>7955</v>
      </c>
      <c r="D57" s="331">
        <v>730</v>
      </c>
      <c r="E57" s="331">
        <v>1565</v>
      </c>
      <c r="F57" s="331">
        <v>968</v>
      </c>
      <c r="G57" s="331">
        <v>491</v>
      </c>
      <c r="H57" s="331">
        <v>11709</v>
      </c>
      <c r="I57" s="330">
        <v>11218</v>
      </c>
      <c r="J57" s="330">
        <v>173</v>
      </c>
      <c r="K57" s="332">
        <v>135.57</v>
      </c>
      <c r="L57" s="332">
        <v>129.63999999999999</v>
      </c>
      <c r="M57" s="332">
        <v>11.77</v>
      </c>
      <c r="N57" s="332">
        <v>145.69999999999999</v>
      </c>
      <c r="O57" s="333">
        <v>6166</v>
      </c>
      <c r="P57" s="330">
        <v>116.27</v>
      </c>
      <c r="Q57" s="330">
        <v>111.02</v>
      </c>
      <c r="R57" s="330">
        <v>62.21</v>
      </c>
      <c r="S57" s="330">
        <v>168.91</v>
      </c>
      <c r="T57" s="330">
        <v>2374</v>
      </c>
      <c r="U57" s="330">
        <v>215.62</v>
      </c>
      <c r="V57" s="330">
        <v>266</v>
      </c>
      <c r="W57" s="330">
        <v>0</v>
      </c>
      <c r="X57" s="330">
        <v>0</v>
      </c>
      <c r="Y57" s="330">
        <v>12</v>
      </c>
      <c r="Z57" s="330">
        <v>2</v>
      </c>
      <c r="AA57" s="330">
        <v>5</v>
      </c>
      <c r="AB57" s="330">
        <v>20</v>
      </c>
      <c r="AC57" s="330">
        <v>94</v>
      </c>
      <c r="AD57" s="334">
        <v>6571</v>
      </c>
      <c r="AE57" s="334">
        <v>43</v>
      </c>
      <c r="AF57" s="334">
        <v>39</v>
      </c>
      <c r="AG57" s="334">
        <v>82</v>
      </c>
    </row>
    <row r="58" spans="1:33" x14ac:dyDescent="0.25">
      <c r="A58" s="329" t="s">
        <v>172</v>
      </c>
      <c r="B58" s="335" t="s">
        <v>173</v>
      </c>
      <c r="C58" s="331">
        <v>1370</v>
      </c>
      <c r="D58" s="331">
        <v>3</v>
      </c>
      <c r="E58" s="331">
        <v>219</v>
      </c>
      <c r="F58" s="331">
        <v>270</v>
      </c>
      <c r="G58" s="331">
        <v>255</v>
      </c>
      <c r="H58" s="331">
        <v>2117</v>
      </c>
      <c r="I58" s="330">
        <v>1862</v>
      </c>
      <c r="J58" s="330">
        <v>0</v>
      </c>
      <c r="K58" s="332">
        <v>91.56</v>
      </c>
      <c r="L58" s="332">
        <v>91.37</v>
      </c>
      <c r="M58" s="332">
        <v>5.01</v>
      </c>
      <c r="N58" s="332">
        <v>94.73</v>
      </c>
      <c r="O58" s="333">
        <v>1209</v>
      </c>
      <c r="P58" s="330">
        <v>87.4</v>
      </c>
      <c r="Q58" s="330">
        <v>86.7</v>
      </c>
      <c r="R58" s="330">
        <v>55.73</v>
      </c>
      <c r="S58" s="330">
        <v>142.31</v>
      </c>
      <c r="T58" s="330">
        <v>340</v>
      </c>
      <c r="U58" s="330">
        <v>110.83</v>
      </c>
      <c r="V58" s="330">
        <v>123</v>
      </c>
      <c r="W58" s="330">
        <v>157.52000000000001</v>
      </c>
      <c r="X58" s="330">
        <v>77</v>
      </c>
      <c r="Y58" s="330">
        <v>0</v>
      </c>
      <c r="Z58" s="330">
        <v>3</v>
      </c>
      <c r="AA58" s="330">
        <v>0</v>
      </c>
      <c r="AB58" s="330">
        <v>14</v>
      </c>
      <c r="AC58" s="330">
        <v>3</v>
      </c>
      <c r="AD58" s="334">
        <v>1351</v>
      </c>
      <c r="AE58" s="334">
        <v>8</v>
      </c>
      <c r="AF58" s="334">
        <v>3</v>
      </c>
      <c r="AG58" s="334">
        <v>11</v>
      </c>
    </row>
    <row r="59" spans="1:33" x14ac:dyDescent="0.25">
      <c r="A59" s="329" t="s">
        <v>174</v>
      </c>
      <c r="B59" s="335" t="s">
        <v>175</v>
      </c>
      <c r="C59" s="331">
        <v>1930</v>
      </c>
      <c r="D59" s="331">
        <v>0</v>
      </c>
      <c r="E59" s="331">
        <v>139</v>
      </c>
      <c r="F59" s="331">
        <v>380</v>
      </c>
      <c r="G59" s="331">
        <v>447</v>
      </c>
      <c r="H59" s="331">
        <v>2896</v>
      </c>
      <c r="I59" s="330">
        <v>2449</v>
      </c>
      <c r="J59" s="330">
        <v>7</v>
      </c>
      <c r="K59" s="332">
        <v>104.11</v>
      </c>
      <c r="L59" s="332">
        <v>103.77</v>
      </c>
      <c r="M59" s="332">
        <v>7.68</v>
      </c>
      <c r="N59" s="332">
        <v>110.45</v>
      </c>
      <c r="O59" s="333">
        <v>1371</v>
      </c>
      <c r="P59" s="330">
        <v>85.54</v>
      </c>
      <c r="Q59" s="330">
        <v>84.51</v>
      </c>
      <c r="R59" s="330">
        <v>45.5</v>
      </c>
      <c r="S59" s="330">
        <v>129.52000000000001</v>
      </c>
      <c r="T59" s="330">
        <v>509</v>
      </c>
      <c r="U59" s="330">
        <v>146.12</v>
      </c>
      <c r="V59" s="330">
        <v>277</v>
      </c>
      <c r="W59" s="330">
        <v>0</v>
      </c>
      <c r="X59" s="330">
        <v>0</v>
      </c>
      <c r="Y59" s="330">
        <v>0</v>
      </c>
      <c r="Z59" s="330">
        <v>2</v>
      </c>
      <c r="AA59" s="330">
        <v>0</v>
      </c>
      <c r="AB59" s="330">
        <v>12</v>
      </c>
      <c r="AC59" s="330">
        <v>9</v>
      </c>
      <c r="AD59" s="334">
        <v>1745</v>
      </c>
      <c r="AE59" s="334">
        <v>1</v>
      </c>
      <c r="AF59" s="334">
        <v>3</v>
      </c>
      <c r="AG59" s="334">
        <v>4</v>
      </c>
    </row>
    <row r="60" spans="1:33" x14ac:dyDescent="0.25">
      <c r="A60" s="329" t="s">
        <v>176</v>
      </c>
      <c r="B60" s="335" t="s">
        <v>177</v>
      </c>
      <c r="C60" s="331">
        <v>7023</v>
      </c>
      <c r="D60" s="331">
        <v>11</v>
      </c>
      <c r="E60" s="331">
        <v>249</v>
      </c>
      <c r="F60" s="331">
        <v>376</v>
      </c>
      <c r="G60" s="331">
        <v>349</v>
      </c>
      <c r="H60" s="331">
        <v>8008</v>
      </c>
      <c r="I60" s="330">
        <v>7659</v>
      </c>
      <c r="J60" s="330">
        <v>2</v>
      </c>
      <c r="K60" s="332">
        <v>82.81</v>
      </c>
      <c r="L60" s="332">
        <v>79.97</v>
      </c>
      <c r="M60" s="332">
        <v>3.38</v>
      </c>
      <c r="N60" s="332">
        <v>85.26</v>
      </c>
      <c r="O60" s="333">
        <v>6030</v>
      </c>
      <c r="P60" s="330">
        <v>89.24</v>
      </c>
      <c r="Q60" s="330">
        <v>77.290000000000006</v>
      </c>
      <c r="R60" s="330">
        <v>29.43</v>
      </c>
      <c r="S60" s="330">
        <v>114.52</v>
      </c>
      <c r="T60" s="330">
        <v>574</v>
      </c>
      <c r="U60" s="330">
        <v>92.41</v>
      </c>
      <c r="V60" s="330">
        <v>974</v>
      </c>
      <c r="W60" s="330">
        <v>0</v>
      </c>
      <c r="X60" s="330">
        <v>0</v>
      </c>
      <c r="Y60" s="330">
        <v>32</v>
      </c>
      <c r="Z60" s="330">
        <v>18</v>
      </c>
      <c r="AA60" s="330">
        <v>16</v>
      </c>
      <c r="AB60" s="330">
        <v>0</v>
      </c>
      <c r="AC60" s="330">
        <v>4</v>
      </c>
      <c r="AD60" s="334">
        <v>7007</v>
      </c>
      <c r="AE60" s="334">
        <v>100</v>
      </c>
      <c r="AF60" s="334">
        <v>28</v>
      </c>
      <c r="AG60" s="334">
        <v>128</v>
      </c>
    </row>
    <row r="61" spans="1:33" x14ac:dyDescent="0.25">
      <c r="A61" s="329" t="s">
        <v>178</v>
      </c>
      <c r="B61" s="335" t="s">
        <v>179</v>
      </c>
      <c r="C61" s="331">
        <v>452</v>
      </c>
      <c r="D61" s="331">
        <v>0</v>
      </c>
      <c r="E61" s="331">
        <v>52</v>
      </c>
      <c r="F61" s="331">
        <v>73</v>
      </c>
      <c r="G61" s="331">
        <v>72</v>
      </c>
      <c r="H61" s="331">
        <v>649</v>
      </c>
      <c r="I61" s="330">
        <v>577</v>
      </c>
      <c r="J61" s="330">
        <v>0</v>
      </c>
      <c r="K61" s="332">
        <v>108.98</v>
      </c>
      <c r="L61" s="332">
        <v>108.6</v>
      </c>
      <c r="M61" s="332">
        <v>6.33</v>
      </c>
      <c r="N61" s="332">
        <v>112.66</v>
      </c>
      <c r="O61" s="333">
        <v>381</v>
      </c>
      <c r="P61" s="330">
        <v>89.83</v>
      </c>
      <c r="Q61" s="330">
        <v>85.59</v>
      </c>
      <c r="R61" s="330">
        <v>56.88</v>
      </c>
      <c r="S61" s="330">
        <v>145.68</v>
      </c>
      <c r="T61" s="330">
        <v>110</v>
      </c>
      <c r="U61" s="330">
        <v>146.6</v>
      </c>
      <c r="V61" s="330">
        <v>60</v>
      </c>
      <c r="W61" s="330">
        <v>0</v>
      </c>
      <c r="X61" s="330">
        <v>0</v>
      </c>
      <c r="Y61" s="330">
        <v>0</v>
      </c>
      <c r="Z61" s="330">
        <v>0</v>
      </c>
      <c r="AA61" s="330">
        <v>1</v>
      </c>
      <c r="AB61" s="330">
        <v>5</v>
      </c>
      <c r="AC61" s="330">
        <v>4</v>
      </c>
      <c r="AD61" s="334">
        <v>452</v>
      </c>
      <c r="AE61" s="334">
        <v>3</v>
      </c>
      <c r="AF61" s="334">
        <v>2</v>
      </c>
      <c r="AG61" s="334">
        <v>5</v>
      </c>
    </row>
    <row r="62" spans="1:33" x14ac:dyDescent="0.25">
      <c r="A62" s="329" t="s">
        <v>180</v>
      </c>
      <c r="B62" s="335" t="s">
        <v>181</v>
      </c>
      <c r="C62" s="331">
        <v>8335</v>
      </c>
      <c r="D62" s="331">
        <v>0</v>
      </c>
      <c r="E62" s="331">
        <v>272</v>
      </c>
      <c r="F62" s="331">
        <v>1643</v>
      </c>
      <c r="G62" s="331">
        <v>1298</v>
      </c>
      <c r="H62" s="331">
        <v>11548</v>
      </c>
      <c r="I62" s="330">
        <v>10250</v>
      </c>
      <c r="J62" s="330">
        <v>16</v>
      </c>
      <c r="K62" s="332">
        <v>104.99</v>
      </c>
      <c r="L62" s="332">
        <v>105.82</v>
      </c>
      <c r="M62" s="332">
        <v>4.6399999999999997</v>
      </c>
      <c r="N62" s="332">
        <v>106.43</v>
      </c>
      <c r="O62" s="333">
        <v>7518</v>
      </c>
      <c r="P62" s="330">
        <v>92.13</v>
      </c>
      <c r="Q62" s="330">
        <v>89.48</v>
      </c>
      <c r="R62" s="330">
        <v>26.57</v>
      </c>
      <c r="S62" s="330">
        <v>105.4</v>
      </c>
      <c r="T62" s="330">
        <v>1819</v>
      </c>
      <c r="U62" s="330">
        <v>136.72999999999999</v>
      </c>
      <c r="V62" s="330">
        <v>664</v>
      </c>
      <c r="W62" s="330">
        <v>121.78</v>
      </c>
      <c r="X62" s="330">
        <v>50</v>
      </c>
      <c r="Y62" s="330">
        <v>0</v>
      </c>
      <c r="Z62" s="330">
        <v>11</v>
      </c>
      <c r="AA62" s="330">
        <v>0</v>
      </c>
      <c r="AB62" s="330">
        <v>91</v>
      </c>
      <c r="AC62" s="330">
        <v>37</v>
      </c>
      <c r="AD62" s="334">
        <v>8259</v>
      </c>
      <c r="AE62" s="334">
        <v>19</v>
      </c>
      <c r="AF62" s="334">
        <v>13</v>
      </c>
      <c r="AG62" s="334">
        <v>32</v>
      </c>
    </row>
    <row r="63" spans="1:33" x14ac:dyDescent="0.25">
      <c r="A63" s="329" t="s">
        <v>182</v>
      </c>
      <c r="B63" s="335" t="s">
        <v>183</v>
      </c>
      <c r="C63" s="331">
        <v>2719</v>
      </c>
      <c r="D63" s="331">
        <v>0</v>
      </c>
      <c r="E63" s="331">
        <v>273</v>
      </c>
      <c r="F63" s="331">
        <v>265</v>
      </c>
      <c r="G63" s="331">
        <v>553</v>
      </c>
      <c r="H63" s="331">
        <v>3810</v>
      </c>
      <c r="I63" s="330">
        <v>3257</v>
      </c>
      <c r="J63" s="330">
        <v>4</v>
      </c>
      <c r="K63" s="332">
        <v>93.47</v>
      </c>
      <c r="L63" s="332">
        <v>91.47</v>
      </c>
      <c r="M63" s="332">
        <v>6.38</v>
      </c>
      <c r="N63" s="332">
        <v>98.37</v>
      </c>
      <c r="O63" s="333">
        <v>2276</v>
      </c>
      <c r="P63" s="330">
        <v>87.89</v>
      </c>
      <c r="Q63" s="330">
        <v>83.52</v>
      </c>
      <c r="R63" s="330">
        <v>51.66</v>
      </c>
      <c r="S63" s="330">
        <v>138.87</v>
      </c>
      <c r="T63" s="330">
        <v>457</v>
      </c>
      <c r="U63" s="330">
        <v>104.91</v>
      </c>
      <c r="V63" s="330">
        <v>380</v>
      </c>
      <c r="W63" s="330">
        <v>0</v>
      </c>
      <c r="X63" s="330">
        <v>0</v>
      </c>
      <c r="Y63" s="330">
        <v>146</v>
      </c>
      <c r="Z63" s="330">
        <v>7</v>
      </c>
      <c r="AA63" s="330">
        <v>10</v>
      </c>
      <c r="AB63" s="330">
        <v>55</v>
      </c>
      <c r="AC63" s="330">
        <v>17</v>
      </c>
      <c r="AD63" s="334">
        <v>2719</v>
      </c>
      <c r="AE63" s="334">
        <v>12</v>
      </c>
      <c r="AF63" s="334">
        <v>18</v>
      </c>
      <c r="AG63" s="334">
        <v>30</v>
      </c>
    </row>
    <row r="64" spans="1:33" x14ac:dyDescent="0.25">
      <c r="A64" s="329" t="s">
        <v>184</v>
      </c>
      <c r="B64" s="335" t="s">
        <v>185</v>
      </c>
      <c r="C64" s="331">
        <v>7207</v>
      </c>
      <c r="D64" s="331">
        <v>250</v>
      </c>
      <c r="E64" s="331">
        <v>1205</v>
      </c>
      <c r="F64" s="331">
        <v>1519</v>
      </c>
      <c r="G64" s="331">
        <v>483</v>
      </c>
      <c r="H64" s="331">
        <v>10664</v>
      </c>
      <c r="I64" s="330">
        <v>10181</v>
      </c>
      <c r="J64" s="330">
        <v>1</v>
      </c>
      <c r="K64" s="332">
        <v>105.39</v>
      </c>
      <c r="L64" s="332">
        <v>105.4</v>
      </c>
      <c r="M64" s="332">
        <v>6.98</v>
      </c>
      <c r="N64" s="332">
        <v>108.47</v>
      </c>
      <c r="O64" s="333">
        <v>6501</v>
      </c>
      <c r="P64" s="330">
        <v>91.44</v>
      </c>
      <c r="Q64" s="330">
        <v>91.17</v>
      </c>
      <c r="R64" s="330">
        <v>24.99</v>
      </c>
      <c r="S64" s="330">
        <v>109.5</v>
      </c>
      <c r="T64" s="330">
        <v>2636</v>
      </c>
      <c r="U64" s="330">
        <v>132.87</v>
      </c>
      <c r="V64" s="330">
        <v>553</v>
      </c>
      <c r="W64" s="330">
        <v>0</v>
      </c>
      <c r="X64" s="330">
        <v>0</v>
      </c>
      <c r="Y64" s="330">
        <v>0</v>
      </c>
      <c r="Z64" s="330">
        <v>15</v>
      </c>
      <c r="AA64" s="330">
        <v>12</v>
      </c>
      <c r="AB64" s="330">
        <v>64</v>
      </c>
      <c r="AC64" s="330">
        <v>6</v>
      </c>
      <c r="AD64" s="334">
        <v>7199</v>
      </c>
      <c r="AE64" s="334">
        <v>32</v>
      </c>
      <c r="AF64" s="334">
        <v>20</v>
      </c>
      <c r="AG64" s="334">
        <v>52</v>
      </c>
    </row>
    <row r="65" spans="1:33" x14ac:dyDescent="0.25">
      <c r="A65" s="329" t="s">
        <v>186</v>
      </c>
      <c r="B65" s="335" t="s">
        <v>187</v>
      </c>
      <c r="C65" s="331">
        <v>1736</v>
      </c>
      <c r="D65" s="331">
        <v>3</v>
      </c>
      <c r="E65" s="331">
        <v>389</v>
      </c>
      <c r="F65" s="331">
        <v>215</v>
      </c>
      <c r="G65" s="331">
        <v>309</v>
      </c>
      <c r="H65" s="331">
        <v>2652</v>
      </c>
      <c r="I65" s="330">
        <v>2343</v>
      </c>
      <c r="J65" s="330">
        <v>0</v>
      </c>
      <c r="K65" s="332">
        <v>96.09</v>
      </c>
      <c r="L65" s="332">
        <v>93.65</v>
      </c>
      <c r="M65" s="332">
        <v>5.25</v>
      </c>
      <c r="N65" s="332">
        <v>100.54</v>
      </c>
      <c r="O65" s="333">
        <v>1467</v>
      </c>
      <c r="P65" s="330">
        <v>87.69</v>
      </c>
      <c r="Q65" s="330">
        <v>84.91</v>
      </c>
      <c r="R65" s="330">
        <v>52.49</v>
      </c>
      <c r="S65" s="330">
        <v>136.30000000000001</v>
      </c>
      <c r="T65" s="330">
        <v>460</v>
      </c>
      <c r="U65" s="330">
        <v>132.74</v>
      </c>
      <c r="V65" s="330">
        <v>176</v>
      </c>
      <c r="W65" s="330">
        <v>202.73</v>
      </c>
      <c r="X65" s="330">
        <v>110</v>
      </c>
      <c r="Y65" s="330">
        <v>0</v>
      </c>
      <c r="Z65" s="330">
        <v>1</v>
      </c>
      <c r="AA65" s="330">
        <v>12</v>
      </c>
      <c r="AB65" s="330">
        <v>2</v>
      </c>
      <c r="AC65" s="330">
        <v>12</v>
      </c>
      <c r="AD65" s="334">
        <v>1613</v>
      </c>
      <c r="AE65" s="334">
        <v>6</v>
      </c>
      <c r="AF65" s="334">
        <v>4</v>
      </c>
      <c r="AG65" s="334">
        <v>10</v>
      </c>
    </row>
    <row r="66" spans="1:33" x14ac:dyDescent="0.25">
      <c r="A66" s="329" t="s">
        <v>188</v>
      </c>
      <c r="B66" s="335" t="s">
        <v>189</v>
      </c>
      <c r="C66" s="331">
        <v>6048</v>
      </c>
      <c r="D66" s="331">
        <v>10</v>
      </c>
      <c r="E66" s="331">
        <v>199</v>
      </c>
      <c r="F66" s="331">
        <v>1487</v>
      </c>
      <c r="G66" s="331">
        <v>538</v>
      </c>
      <c r="H66" s="331">
        <v>8282</v>
      </c>
      <c r="I66" s="330">
        <v>7744</v>
      </c>
      <c r="J66" s="330">
        <v>10</v>
      </c>
      <c r="K66" s="332">
        <v>106.72</v>
      </c>
      <c r="L66" s="332">
        <v>101.97</v>
      </c>
      <c r="M66" s="332">
        <v>5.89</v>
      </c>
      <c r="N66" s="332">
        <v>108.56</v>
      </c>
      <c r="O66" s="333">
        <v>5081</v>
      </c>
      <c r="P66" s="330">
        <v>95.42</v>
      </c>
      <c r="Q66" s="330">
        <v>93.11</v>
      </c>
      <c r="R66" s="330">
        <v>21.78</v>
      </c>
      <c r="S66" s="330">
        <v>116.4</v>
      </c>
      <c r="T66" s="330">
        <v>1562</v>
      </c>
      <c r="U66" s="330">
        <v>154.02000000000001</v>
      </c>
      <c r="V66" s="330">
        <v>898</v>
      </c>
      <c r="W66" s="330">
        <v>201.52</v>
      </c>
      <c r="X66" s="330">
        <v>95</v>
      </c>
      <c r="Y66" s="330">
        <v>0</v>
      </c>
      <c r="Z66" s="330">
        <v>15</v>
      </c>
      <c r="AA66" s="330">
        <v>13</v>
      </c>
      <c r="AB66" s="330">
        <v>80</v>
      </c>
      <c r="AC66" s="330">
        <v>17</v>
      </c>
      <c r="AD66" s="334">
        <v>6000</v>
      </c>
      <c r="AE66" s="334">
        <v>11</v>
      </c>
      <c r="AF66" s="334">
        <v>11</v>
      </c>
      <c r="AG66" s="334">
        <v>22</v>
      </c>
    </row>
    <row r="67" spans="1:33" x14ac:dyDescent="0.25">
      <c r="A67" s="329" t="s">
        <v>190</v>
      </c>
      <c r="B67" s="335" t="s">
        <v>191</v>
      </c>
      <c r="C67" s="331">
        <v>15370</v>
      </c>
      <c r="D67" s="331">
        <v>4</v>
      </c>
      <c r="E67" s="331">
        <v>819</v>
      </c>
      <c r="F67" s="331">
        <v>3963</v>
      </c>
      <c r="G67" s="331">
        <v>785</v>
      </c>
      <c r="H67" s="331">
        <v>20941</v>
      </c>
      <c r="I67" s="330">
        <v>20156</v>
      </c>
      <c r="J67" s="330">
        <v>92</v>
      </c>
      <c r="K67" s="332">
        <v>90.28</v>
      </c>
      <c r="L67" s="332">
        <v>90.42</v>
      </c>
      <c r="M67" s="332">
        <v>6.28</v>
      </c>
      <c r="N67" s="332">
        <v>92.52</v>
      </c>
      <c r="O67" s="333">
        <v>12352</v>
      </c>
      <c r="P67" s="330">
        <v>88.62</v>
      </c>
      <c r="Q67" s="330">
        <v>86.73</v>
      </c>
      <c r="R67" s="330">
        <v>21.02</v>
      </c>
      <c r="S67" s="330">
        <v>106.71</v>
      </c>
      <c r="T67" s="330">
        <v>4424</v>
      </c>
      <c r="U67" s="330">
        <v>109.95</v>
      </c>
      <c r="V67" s="330">
        <v>2959</v>
      </c>
      <c r="W67" s="330">
        <v>108.05</v>
      </c>
      <c r="X67" s="330">
        <v>140</v>
      </c>
      <c r="Y67" s="330">
        <v>4</v>
      </c>
      <c r="Z67" s="330">
        <v>41</v>
      </c>
      <c r="AA67" s="330">
        <v>0</v>
      </c>
      <c r="AB67" s="330">
        <v>65</v>
      </c>
      <c r="AC67" s="330">
        <v>16</v>
      </c>
      <c r="AD67" s="334">
        <v>15362</v>
      </c>
      <c r="AE67" s="334">
        <v>62</v>
      </c>
      <c r="AF67" s="334">
        <v>49</v>
      </c>
      <c r="AG67" s="334">
        <v>111</v>
      </c>
    </row>
    <row r="68" spans="1:33" x14ac:dyDescent="0.25">
      <c r="A68" s="329" t="s">
        <v>192</v>
      </c>
      <c r="B68" s="335" t="s">
        <v>193</v>
      </c>
      <c r="C68" s="330">
        <v>13900</v>
      </c>
      <c r="D68" s="330">
        <v>12</v>
      </c>
      <c r="E68" s="330">
        <v>526</v>
      </c>
      <c r="F68" s="330">
        <v>3305</v>
      </c>
      <c r="G68" s="330">
        <v>1298</v>
      </c>
      <c r="H68" s="330">
        <v>19041</v>
      </c>
      <c r="I68" s="330">
        <v>17743</v>
      </c>
      <c r="J68" s="330">
        <v>1</v>
      </c>
      <c r="K68" s="330">
        <v>93.33</v>
      </c>
      <c r="L68" s="330">
        <v>94.1</v>
      </c>
      <c r="M68" s="330">
        <v>4.55</v>
      </c>
      <c r="N68" s="330">
        <v>94.84</v>
      </c>
      <c r="O68" s="333">
        <v>12020</v>
      </c>
      <c r="P68" s="330">
        <v>89.27</v>
      </c>
      <c r="Q68" s="330">
        <v>85.82</v>
      </c>
      <c r="R68" s="330">
        <v>26.88</v>
      </c>
      <c r="S68" s="330">
        <v>108.47</v>
      </c>
      <c r="T68" s="330">
        <v>3230</v>
      </c>
      <c r="U68" s="330">
        <v>112.8</v>
      </c>
      <c r="V68" s="330">
        <v>1633</v>
      </c>
      <c r="W68" s="330">
        <v>148.65</v>
      </c>
      <c r="X68" s="330">
        <v>388</v>
      </c>
      <c r="Y68" s="330">
        <v>4</v>
      </c>
      <c r="Z68" s="330">
        <v>51</v>
      </c>
      <c r="AA68" s="330">
        <v>7</v>
      </c>
      <c r="AB68" s="330">
        <v>119</v>
      </c>
      <c r="AC68" s="330">
        <v>14</v>
      </c>
      <c r="AD68" s="330">
        <v>13760</v>
      </c>
      <c r="AE68" s="330">
        <v>49</v>
      </c>
      <c r="AF68" s="330">
        <v>36</v>
      </c>
      <c r="AG68" s="330">
        <v>85</v>
      </c>
    </row>
    <row r="69" spans="1:33" x14ac:dyDescent="0.25">
      <c r="A69" s="329" t="s">
        <v>194</v>
      </c>
      <c r="B69" s="335" t="s">
        <v>195</v>
      </c>
      <c r="C69" s="330">
        <v>825</v>
      </c>
      <c r="D69" s="330">
        <v>0</v>
      </c>
      <c r="E69" s="330">
        <v>122</v>
      </c>
      <c r="F69" s="330">
        <v>492</v>
      </c>
      <c r="G69" s="330">
        <v>87</v>
      </c>
      <c r="H69" s="330">
        <v>1526</v>
      </c>
      <c r="I69" s="330">
        <v>1439</v>
      </c>
      <c r="J69" s="330">
        <v>0</v>
      </c>
      <c r="K69" s="330">
        <v>88.25</v>
      </c>
      <c r="L69" s="332">
        <v>86.81</v>
      </c>
      <c r="M69" s="332">
        <v>6.4</v>
      </c>
      <c r="N69" s="332">
        <v>90.96</v>
      </c>
      <c r="O69" s="333">
        <v>654</v>
      </c>
      <c r="P69" s="330">
        <v>88.18</v>
      </c>
      <c r="Q69" s="330">
        <v>82.55</v>
      </c>
      <c r="R69" s="330">
        <v>24.84</v>
      </c>
      <c r="S69" s="330">
        <v>112.08</v>
      </c>
      <c r="T69" s="330">
        <v>578</v>
      </c>
      <c r="U69" s="330">
        <v>94.33</v>
      </c>
      <c r="V69" s="330">
        <v>59</v>
      </c>
      <c r="W69" s="330">
        <v>0</v>
      </c>
      <c r="X69" s="330">
        <v>0</v>
      </c>
      <c r="Y69" s="330">
        <v>0</v>
      </c>
      <c r="Z69" s="330">
        <v>0</v>
      </c>
      <c r="AA69" s="330">
        <v>0</v>
      </c>
      <c r="AB69" s="330">
        <v>0</v>
      </c>
      <c r="AC69" s="330">
        <v>3</v>
      </c>
      <c r="AD69" s="330">
        <v>711</v>
      </c>
      <c r="AE69" s="330">
        <v>4</v>
      </c>
      <c r="AF69" s="330">
        <v>4</v>
      </c>
      <c r="AG69" s="330">
        <v>8</v>
      </c>
    </row>
    <row r="70" spans="1:33" ht="14.5" x14ac:dyDescent="0.35">
      <c r="A70" s="336" t="s">
        <v>196</v>
      </c>
      <c r="B70" s="336" t="s">
        <v>197</v>
      </c>
      <c r="C70" s="330">
        <v>7073</v>
      </c>
      <c r="D70" s="330">
        <v>0</v>
      </c>
      <c r="E70" s="330">
        <v>183</v>
      </c>
      <c r="F70" s="330">
        <v>731</v>
      </c>
      <c r="G70" s="330">
        <v>503</v>
      </c>
      <c r="H70" s="330">
        <v>8490</v>
      </c>
      <c r="I70" s="330">
        <v>7987</v>
      </c>
      <c r="J70" s="330">
        <v>98</v>
      </c>
      <c r="K70" s="337">
        <v>101.87</v>
      </c>
      <c r="L70" s="337">
        <v>108.1</v>
      </c>
      <c r="M70" s="337">
        <v>5.87</v>
      </c>
      <c r="N70" s="337">
        <v>104.66</v>
      </c>
      <c r="O70" s="330">
        <v>6312</v>
      </c>
      <c r="P70" s="337">
        <v>95.44</v>
      </c>
      <c r="Q70" s="337">
        <v>95.97</v>
      </c>
      <c r="R70" s="337">
        <v>30.32</v>
      </c>
      <c r="S70" s="337">
        <v>124.78</v>
      </c>
      <c r="T70" s="330">
        <v>714</v>
      </c>
      <c r="U70" s="337">
        <v>152.1</v>
      </c>
      <c r="V70" s="330">
        <v>712</v>
      </c>
      <c r="W70" s="337">
        <v>0</v>
      </c>
      <c r="X70" s="330">
        <v>0</v>
      </c>
      <c r="Y70" s="330">
        <v>38</v>
      </c>
      <c r="Z70" s="330">
        <v>4</v>
      </c>
      <c r="AA70" s="330">
        <v>1</v>
      </c>
      <c r="AB70" s="330">
        <v>64</v>
      </c>
      <c r="AC70" s="330">
        <v>16</v>
      </c>
      <c r="AD70" s="330">
        <v>7009</v>
      </c>
      <c r="AE70" s="330">
        <v>58</v>
      </c>
      <c r="AF70" s="330">
        <v>24</v>
      </c>
      <c r="AG70" s="330">
        <v>82</v>
      </c>
    </row>
    <row r="71" spans="1:33" x14ac:dyDescent="0.25">
      <c r="A71" s="329" t="s">
        <v>198</v>
      </c>
      <c r="B71" s="335" t="s">
        <v>199</v>
      </c>
      <c r="C71" s="331">
        <v>5818</v>
      </c>
      <c r="D71" s="331">
        <v>2</v>
      </c>
      <c r="E71" s="331">
        <v>309</v>
      </c>
      <c r="F71" s="331">
        <v>529</v>
      </c>
      <c r="G71" s="331">
        <v>147</v>
      </c>
      <c r="H71" s="331">
        <v>6805</v>
      </c>
      <c r="I71" s="330">
        <v>6658</v>
      </c>
      <c r="J71" s="330">
        <v>41</v>
      </c>
      <c r="K71" s="332">
        <v>80.260000000000005</v>
      </c>
      <c r="L71" s="332">
        <v>78.61</v>
      </c>
      <c r="M71" s="332">
        <v>5.68</v>
      </c>
      <c r="N71" s="332">
        <v>84.11</v>
      </c>
      <c r="O71" s="333">
        <v>5285</v>
      </c>
      <c r="P71" s="330">
        <v>88.86</v>
      </c>
      <c r="Q71" s="330">
        <v>71.13</v>
      </c>
      <c r="R71" s="330">
        <v>25.95</v>
      </c>
      <c r="S71" s="330">
        <v>114.67</v>
      </c>
      <c r="T71" s="330">
        <v>767</v>
      </c>
      <c r="U71" s="330">
        <v>102.15</v>
      </c>
      <c r="V71" s="330">
        <v>490</v>
      </c>
      <c r="W71" s="330">
        <v>0</v>
      </c>
      <c r="X71" s="330">
        <v>0</v>
      </c>
      <c r="Y71" s="330">
        <v>46</v>
      </c>
      <c r="Z71" s="330">
        <v>15</v>
      </c>
      <c r="AA71" s="330">
        <v>0</v>
      </c>
      <c r="AB71" s="330">
        <v>30</v>
      </c>
      <c r="AC71" s="330">
        <v>1</v>
      </c>
      <c r="AD71" s="334">
        <v>5793</v>
      </c>
      <c r="AE71" s="334">
        <v>15</v>
      </c>
      <c r="AF71" s="334">
        <v>15</v>
      </c>
      <c r="AG71" s="334">
        <v>30</v>
      </c>
    </row>
    <row r="72" spans="1:33" x14ac:dyDescent="0.25">
      <c r="A72" s="329" t="s">
        <v>200</v>
      </c>
      <c r="B72" s="335" t="s">
        <v>201</v>
      </c>
      <c r="C72" s="331">
        <v>194</v>
      </c>
      <c r="D72" s="331">
        <v>0</v>
      </c>
      <c r="E72" s="331">
        <v>0</v>
      </c>
      <c r="F72" s="331">
        <v>18</v>
      </c>
      <c r="G72" s="331">
        <v>0</v>
      </c>
      <c r="H72" s="331">
        <v>212</v>
      </c>
      <c r="I72" s="330">
        <v>212</v>
      </c>
      <c r="J72" s="330">
        <v>0</v>
      </c>
      <c r="K72" s="332">
        <v>126.93</v>
      </c>
      <c r="L72" s="332">
        <v>129.47999999999999</v>
      </c>
      <c r="M72" s="332">
        <v>12.04</v>
      </c>
      <c r="N72" s="332">
        <v>138.76</v>
      </c>
      <c r="O72" s="333">
        <v>170</v>
      </c>
      <c r="P72" s="330">
        <v>109.98</v>
      </c>
      <c r="Q72" s="330">
        <v>121.63</v>
      </c>
      <c r="R72" s="330">
        <v>34.76</v>
      </c>
      <c r="S72" s="330">
        <v>144.74</v>
      </c>
      <c r="T72" s="330">
        <v>18</v>
      </c>
      <c r="U72" s="330">
        <v>218.67</v>
      </c>
      <c r="V72" s="330">
        <v>24</v>
      </c>
      <c r="W72" s="330">
        <v>0</v>
      </c>
      <c r="X72" s="330">
        <v>0</v>
      </c>
      <c r="Y72" s="330">
        <v>0</v>
      </c>
      <c r="Z72" s="330">
        <v>0</v>
      </c>
      <c r="AA72" s="330">
        <v>0</v>
      </c>
      <c r="AB72" s="330">
        <v>0</v>
      </c>
      <c r="AC72" s="330">
        <v>0</v>
      </c>
      <c r="AD72" s="334">
        <v>194</v>
      </c>
      <c r="AE72" s="334">
        <v>2</v>
      </c>
      <c r="AF72" s="334">
        <v>5</v>
      </c>
      <c r="AG72" s="334">
        <v>7</v>
      </c>
    </row>
    <row r="73" spans="1:33" x14ac:dyDescent="0.25">
      <c r="A73" s="329" t="s">
        <v>202</v>
      </c>
      <c r="B73" s="335" t="s">
        <v>203</v>
      </c>
      <c r="C73" s="331">
        <v>3885</v>
      </c>
      <c r="D73" s="331">
        <v>184</v>
      </c>
      <c r="E73" s="331">
        <v>588</v>
      </c>
      <c r="F73" s="331">
        <v>355</v>
      </c>
      <c r="G73" s="331">
        <v>266</v>
      </c>
      <c r="H73" s="331">
        <v>5278</v>
      </c>
      <c r="I73" s="330">
        <v>5012</v>
      </c>
      <c r="J73" s="330">
        <v>18</v>
      </c>
      <c r="K73" s="332">
        <v>104.22</v>
      </c>
      <c r="L73" s="332">
        <v>103.73</v>
      </c>
      <c r="M73" s="332">
        <v>5.62</v>
      </c>
      <c r="N73" s="332">
        <v>108.77</v>
      </c>
      <c r="O73" s="333">
        <v>2827</v>
      </c>
      <c r="P73" s="330">
        <v>98.45</v>
      </c>
      <c r="Q73" s="330">
        <v>86.9</v>
      </c>
      <c r="R73" s="330">
        <v>43.38</v>
      </c>
      <c r="S73" s="330">
        <v>135.35</v>
      </c>
      <c r="T73" s="330">
        <v>642</v>
      </c>
      <c r="U73" s="330">
        <v>131.15</v>
      </c>
      <c r="V73" s="330">
        <v>775</v>
      </c>
      <c r="W73" s="330">
        <v>112.77</v>
      </c>
      <c r="X73" s="330">
        <v>34</v>
      </c>
      <c r="Y73" s="330">
        <v>43</v>
      </c>
      <c r="Z73" s="330">
        <v>1</v>
      </c>
      <c r="AA73" s="330">
        <v>3</v>
      </c>
      <c r="AB73" s="330">
        <v>13</v>
      </c>
      <c r="AC73" s="330">
        <v>9</v>
      </c>
      <c r="AD73" s="334">
        <v>3824</v>
      </c>
      <c r="AE73" s="334">
        <v>18</v>
      </c>
      <c r="AF73" s="334">
        <v>24</v>
      </c>
      <c r="AG73" s="334">
        <v>42</v>
      </c>
    </row>
    <row r="74" spans="1:33" x14ac:dyDescent="0.25">
      <c r="A74" s="329" t="s">
        <v>204</v>
      </c>
      <c r="B74" s="335" t="s">
        <v>205</v>
      </c>
      <c r="C74" s="331">
        <v>5673</v>
      </c>
      <c r="D74" s="331">
        <v>33</v>
      </c>
      <c r="E74" s="331">
        <v>61</v>
      </c>
      <c r="F74" s="331">
        <v>307</v>
      </c>
      <c r="G74" s="331">
        <v>46</v>
      </c>
      <c r="H74" s="331">
        <v>6120</v>
      </c>
      <c r="I74" s="330">
        <v>6074</v>
      </c>
      <c r="J74" s="330">
        <v>6</v>
      </c>
      <c r="K74" s="332">
        <v>86.25</v>
      </c>
      <c r="L74" s="332">
        <v>87.51</v>
      </c>
      <c r="M74" s="332">
        <v>1.2</v>
      </c>
      <c r="N74" s="332">
        <v>87.32</v>
      </c>
      <c r="O74" s="333">
        <v>5503</v>
      </c>
      <c r="P74" s="330">
        <v>79.42</v>
      </c>
      <c r="Q74" s="330">
        <v>77.88</v>
      </c>
      <c r="R74" s="330">
        <v>36.69</v>
      </c>
      <c r="S74" s="330">
        <v>115.7</v>
      </c>
      <c r="T74" s="330">
        <v>361</v>
      </c>
      <c r="U74" s="330">
        <v>94.59</v>
      </c>
      <c r="V74" s="330">
        <v>171</v>
      </c>
      <c r="W74" s="330">
        <v>0</v>
      </c>
      <c r="X74" s="330">
        <v>0</v>
      </c>
      <c r="Y74" s="330">
        <v>0</v>
      </c>
      <c r="Z74" s="330">
        <v>1</v>
      </c>
      <c r="AA74" s="330">
        <v>0</v>
      </c>
      <c r="AB74" s="330">
        <v>0</v>
      </c>
      <c r="AC74" s="330">
        <v>1</v>
      </c>
      <c r="AD74" s="334">
        <v>5641</v>
      </c>
      <c r="AE74" s="334">
        <v>87</v>
      </c>
      <c r="AF74" s="334">
        <v>68</v>
      </c>
      <c r="AG74" s="334">
        <v>155</v>
      </c>
    </row>
    <row r="75" spans="1:33" x14ac:dyDescent="0.25">
      <c r="A75" s="329" t="s">
        <v>206</v>
      </c>
      <c r="B75" s="335" t="s">
        <v>207</v>
      </c>
      <c r="C75" s="331">
        <v>18246</v>
      </c>
      <c r="D75" s="331">
        <v>14</v>
      </c>
      <c r="E75" s="331">
        <v>910</v>
      </c>
      <c r="F75" s="331">
        <v>2010</v>
      </c>
      <c r="G75" s="331">
        <v>1853</v>
      </c>
      <c r="H75" s="331">
        <v>23033</v>
      </c>
      <c r="I75" s="330">
        <v>21180</v>
      </c>
      <c r="J75" s="330">
        <v>12</v>
      </c>
      <c r="K75" s="332">
        <v>85.16</v>
      </c>
      <c r="L75" s="332">
        <v>80.680000000000007</v>
      </c>
      <c r="M75" s="332">
        <v>3.71</v>
      </c>
      <c r="N75" s="332">
        <v>88.25</v>
      </c>
      <c r="O75" s="333">
        <v>14915</v>
      </c>
      <c r="P75" s="330">
        <v>79.94</v>
      </c>
      <c r="Q75" s="330">
        <v>71.63</v>
      </c>
      <c r="R75" s="330">
        <v>40.35</v>
      </c>
      <c r="S75" s="330">
        <v>118.12</v>
      </c>
      <c r="T75" s="330">
        <v>2689</v>
      </c>
      <c r="U75" s="330">
        <v>118.21</v>
      </c>
      <c r="V75" s="330">
        <v>2278</v>
      </c>
      <c r="W75" s="330">
        <v>129.81</v>
      </c>
      <c r="X75" s="330">
        <v>62</v>
      </c>
      <c r="Y75" s="330">
        <v>10</v>
      </c>
      <c r="Z75" s="330">
        <v>26</v>
      </c>
      <c r="AA75" s="330">
        <v>0</v>
      </c>
      <c r="AB75" s="330">
        <v>186</v>
      </c>
      <c r="AC75" s="330">
        <v>23</v>
      </c>
      <c r="AD75" s="334">
        <v>17841</v>
      </c>
      <c r="AE75" s="334">
        <v>26</v>
      </c>
      <c r="AF75" s="334">
        <v>17</v>
      </c>
      <c r="AG75" s="334">
        <v>43</v>
      </c>
    </row>
    <row r="76" spans="1:33" x14ac:dyDescent="0.25">
      <c r="A76" s="329" t="s">
        <v>208</v>
      </c>
      <c r="B76" s="335" t="s">
        <v>209</v>
      </c>
      <c r="C76" s="331">
        <v>5173</v>
      </c>
      <c r="D76" s="331">
        <v>2</v>
      </c>
      <c r="E76" s="331">
        <v>57</v>
      </c>
      <c r="F76" s="331">
        <v>577</v>
      </c>
      <c r="G76" s="331">
        <v>583</v>
      </c>
      <c r="H76" s="331">
        <v>6392</v>
      </c>
      <c r="I76" s="330">
        <v>5809</v>
      </c>
      <c r="J76" s="330">
        <v>0</v>
      </c>
      <c r="K76" s="332">
        <v>105.08</v>
      </c>
      <c r="L76" s="332">
        <v>104.63</v>
      </c>
      <c r="M76" s="332">
        <v>4.3</v>
      </c>
      <c r="N76" s="332">
        <v>106.61</v>
      </c>
      <c r="O76" s="333">
        <v>4410</v>
      </c>
      <c r="P76" s="330">
        <v>97.43</v>
      </c>
      <c r="Q76" s="330">
        <v>96.91</v>
      </c>
      <c r="R76" s="330">
        <v>22.49</v>
      </c>
      <c r="S76" s="330">
        <v>118.99</v>
      </c>
      <c r="T76" s="330">
        <v>556</v>
      </c>
      <c r="U76" s="330">
        <v>136.47</v>
      </c>
      <c r="V76" s="330">
        <v>546</v>
      </c>
      <c r="W76" s="330">
        <v>175.69</v>
      </c>
      <c r="X76" s="330">
        <v>48</v>
      </c>
      <c r="Y76" s="330">
        <v>0</v>
      </c>
      <c r="Z76" s="330">
        <v>5</v>
      </c>
      <c r="AA76" s="330">
        <v>16</v>
      </c>
      <c r="AB76" s="330">
        <v>58</v>
      </c>
      <c r="AC76" s="330">
        <v>15</v>
      </c>
      <c r="AD76" s="334">
        <v>4947</v>
      </c>
      <c r="AE76" s="334">
        <v>19</v>
      </c>
      <c r="AF76" s="334">
        <v>33</v>
      </c>
      <c r="AG76" s="334">
        <v>52</v>
      </c>
    </row>
    <row r="77" spans="1:33" x14ac:dyDescent="0.25">
      <c r="A77" s="329" t="s">
        <v>210</v>
      </c>
      <c r="B77" s="335" t="s">
        <v>211</v>
      </c>
      <c r="C77" s="331">
        <v>45408</v>
      </c>
      <c r="D77" s="331">
        <v>106</v>
      </c>
      <c r="E77" s="331">
        <v>825</v>
      </c>
      <c r="F77" s="331">
        <v>1423</v>
      </c>
      <c r="G77" s="331">
        <v>211</v>
      </c>
      <c r="H77" s="331">
        <v>47973</v>
      </c>
      <c r="I77" s="330">
        <v>47762</v>
      </c>
      <c r="J77" s="330">
        <v>130</v>
      </c>
      <c r="K77" s="332">
        <v>73.25</v>
      </c>
      <c r="L77" s="332">
        <v>73.900000000000006</v>
      </c>
      <c r="M77" s="332">
        <v>8.69</v>
      </c>
      <c r="N77" s="332">
        <v>74.55</v>
      </c>
      <c r="O77" s="333">
        <v>41947</v>
      </c>
      <c r="P77" s="330">
        <v>94.55</v>
      </c>
      <c r="Q77" s="330">
        <v>78.47</v>
      </c>
      <c r="R77" s="330">
        <v>51.17</v>
      </c>
      <c r="S77" s="330">
        <v>143.18</v>
      </c>
      <c r="T77" s="330">
        <v>1942</v>
      </c>
      <c r="U77" s="330">
        <v>90.4</v>
      </c>
      <c r="V77" s="330">
        <v>2854</v>
      </c>
      <c r="W77" s="330">
        <v>143.36000000000001</v>
      </c>
      <c r="X77" s="330">
        <v>153</v>
      </c>
      <c r="Y77" s="330">
        <v>0</v>
      </c>
      <c r="Z77" s="330">
        <v>231</v>
      </c>
      <c r="AA77" s="330">
        <v>115</v>
      </c>
      <c r="AB77" s="330">
        <v>9</v>
      </c>
      <c r="AC77" s="330">
        <v>14</v>
      </c>
      <c r="AD77" s="334">
        <v>44544</v>
      </c>
      <c r="AE77" s="334">
        <v>366</v>
      </c>
      <c r="AF77" s="334">
        <v>402</v>
      </c>
      <c r="AG77" s="334">
        <v>768</v>
      </c>
    </row>
    <row r="78" spans="1:33" x14ac:dyDescent="0.25">
      <c r="A78" s="329" t="s">
        <v>212</v>
      </c>
      <c r="B78" s="335" t="s">
        <v>213</v>
      </c>
      <c r="C78" s="331">
        <v>22230</v>
      </c>
      <c r="D78" s="331">
        <v>1</v>
      </c>
      <c r="E78" s="331">
        <v>704</v>
      </c>
      <c r="F78" s="331">
        <v>1851</v>
      </c>
      <c r="G78" s="331">
        <v>588</v>
      </c>
      <c r="H78" s="331">
        <v>25374</v>
      </c>
      <c r="I78" s="330">
        <v>24786</v>
      </c>
      <c r="J78" s="330">
        <v>41</v>
      </c>
      <c r="K78" s="332">
        <v>86.35</v>
      </c>
      <c r="L78" s="332">
        <v>86.1</v>
      </c>
      <c r="M78" s="332">
        <v>5.25</v>
      </c>
      <c r="N78" s="332">
        <v>91.21</v>
      </c>
      <c r="O78" s="333">
        <v>20007</v>
      </c>
      <c r="P78" s="330">
        <v>88.64</v>
      </c>
      <c r="Q78" s="330">
        <v>87.78</v>
      </c>
      <c r="R78" s="330">
        <v>46.05</v>
      </c>
      <c r="S78" s="330">
        <v>132.79</v>
      </c>
      <c r="T78" s="330">
        <v>2254</v>
      </c>
      <c r="U78" s="330">
        <v>108</v>
      </c>
      <c r="V78" s="330">
        <v>1724</v>
      </c>
      <c r="W78" s="330">
        <v>0</v>
      </c>
      <c r="X78" s="330">
        <v>0</v>
      </c>
      <c r="Y78" s="330">
        <v>0</v>
      </c>
      <c r="Z78" s="330">
        <v>90</v>
      </c>
      <c r="AA78" s="330">
        <v>1</v>
      </c>
      <c r="AB78" s="330">
        <v>8</v>
      </c>
      <c r="AC78" s="330">
        <v>29</v>
      </c>
      <c r="AD78" s="334">
        <v>21941</v>
      </c>
      <c r="AE78" s="334">
        <v>96</v>
      </c>
      <c r="AF78" s="334">
        <v>123</v>
      </c>
      <c r="AG78" s="334">
        <v>219</v>
      </c>
    </row>
    <row r="79" spans="1:33" x14ac:dyDescent="0.25">
      <c r="A79" s="329" t="s">
        <v>214</v>
      </c>
      <c r="B79" s="335" t="s">
        <v>215</v>
      </c>
      <c r="C79" s="331">
        <v>2225</v>
      </c>
      <c r="D79" s="331">
        <v>22</v>
      </c>
      <c r="E79" s="331">
        <v>37</v>
      </c>
      <c r="F79" s="331">
        <v>206</v>
      </c>
      <c r="G79" s="331">
        <v>44</v>
      </c>
      <c r="H79" s="331">
        <v>2534</v>
      </c>
      <c r="I79" s="330">
        <v>2490</v>
      </c>
      <c r="J79" s="330">
        <v>5</v>
      </c>
      <c r="K79" s="332">
        <v>86.86</v>
      </c>
      <c r="L79" s="332">
        <v>83.6</v>
      </c>
      <c r="M79" s="332">
        <v>8.1</v>
      </c>
      <c r="N79" s="332">
        <v>91.97</v>
      </c>
      <c r="O79" s="333">
        <v>1611</v>
      </c>
      <c r="P79" s="330">
        <v>80.16</v>
      </c>
      <c r="Q79" s="330">
        <v>68.78</v>
      </c>
      <c r="R79" s="330">
        <v>45.06</v>
      </c>
      <c r="S79" s="330">
        <v>122.73</v>
      </c>
      <c r="T79" s="330">
        <v>199</v>
      </c>
      <c r="U79" s="330">
        <v>97.54</v>
      </c>
      <c r="V79" s="330">
        <v>584</v>
      </c>
      <c r="W79" s="330">
        <v>155.22</v>
      </c>
      <c r="X79" s="330">
        <v>34</v>
      </c>
      <c r="Y79" s="330">
        <v>0</v>
      </c>
      <c r="Z79" s="330">
        <v>4</v>
      </c>
      <c r="AA79" s="330">
        <v>0</v>
      </c>
      <c r="AB79" s="330">
        <v>0</v>
      </c>
      <c r="AC79" s="330">
        <v>0</v>
      </c>
      <c r="AD79" s="334">
        <v>2209</v>
      </c>
      <c r="AE79" s="334">
        <v>6</v>
      </c>
      <c r="AF79" s="334">
        <v>5</v>
      </c>
      <c r="AG79" s="334">
        <v>11</v>
      </c>
    </row>
    <row r="80" spans="1:33" x14ac:dyDescent="0.25">
      <c r="A80" s="329" t="s">
        <v>216</v>
      </c>
      <c r="B80" s="335" t="s">
        <v>217</v>
      </c>
      <c r="C80" s="331">
        <v>2025</v>
      </c>
      <c r="D80" s="331">
        <v>0</v>
      </c>
      <c r="E80" s="331">
        <v>186</v>
      </c>
      <c r="F80" s="331">
        <v>285</v>
      </c>
      <c r="G80" s="331">
        <v>377</v>
      </c>
      <c r="H80" s="331">
        <v>2873</v>
      </c>
      <c r="I80" s="330">
        <v>2496</v>
      </c>
      <c r="J80" s="330">
        <v>1</v>
      </c>
      <c r="K80" s="332">
        <v>108.65</v>
      </c>
      <c r="L80" s="332">
        <v>106.98</v>
      </c>
      <c r="M80" s="332">
        <v>8.81</v>
      </c>
      <c r="N80" s="332">
        <v>116.75</v>
      </c>
      <c r="O80" s="333">
        <v>1555</v>
      </c>
      <c r="P80" s="330">
        <v>103.43</v>
      </c>
      <c r="Q80" s="330">
        <v>97.36</v>
      </c>
      <c r="R80" s="330">
        <v>30.44</v>
      </c>
      <c r="S80" s="330">
        <v>132.58000000000001</v>
      </c>
      <c r="T80" s="330">
        <v>211</v>
      </c>
      <c r="U80" s="330">
        <v>154.51</v>
      </c>
      <c r="V80" s="330">
        <v>361</v>
      </c>
      <c r="W80" s="330">
        <v>221.01</v>
      </c>
      <c r="X80" s="330">
        <v>49</v>
      </c>
      <c r="Y80" s="330">
        <v>0</v>
      </c>
      <c r="Z80" s="330">
        <v>1</v>
      </c>
      <c r="AA80" s="330">
        <v>0</v>
      </c>
      <c r="AB80" s="330">
        <v>15</v>
      </c>
      <c r="AC80" s="330">
        <v>16</v>
      </c>
      <c r="AD80" s="334">
        <v>1996</v>
      </c>
      <c r="AE80" s="334">
        <v>10</v>
      </c>
      <c r="AF80" s="334">
        <v>6</v>
      </c>
      <c r="AG80" s="334">
        <v>16</v>
      </c>
    </row>
    <row r="81" spans="1:33" x14ac:dyDescent="0.25">
      <c r="A81" s="329" t="s">
        <v>218</v>
      </c>
      <c r="B81" s="335" t="s">
        <v>219</v>
      </c>
      <c r="C81" s="331">
        <v>10879</v>
      </c>
      <c r="D81" s="331">
        <v>56</v>
      </c>
      <c r="E81" s="331">
        <v>1020</v>
      </c>
      <c r="F81" s="331">
        <v>799</v>
      </c>
      <c r="G81" s="331">
        <v>1814</v>
      </c>
      <c r="H81" s="331">
        <v>14568</v>
      </c>
      <c r="I81" s="330">
        <v>12754</v>
      </c>
      <c r="J81" s="330">
        <v>39</v>
      </c>
      <c r="K81" s="332">
        <v>124.37</v>
      </c>
      <c r="L81" s="332">
        <v>124.24</v>
      </c>
      <c r="M81" s="332">
        <v>8.11</v>
      </c>
      <c r="N81" s="332">
        <v>129.91</v>
      </c>
      <c r="O81" s="333">
        <v>8942</v>
      </c>
      <c r="P81" s="330">
        <v>102.1</v>
      </c>
      <c r="Q81" s="330">
        <v>98.06</v>
      </c>
      <c r="R81" s="330">
        <v>53.74</v>
      </c>
      <c r="S81" s="330">
        <v>152.96</v>
      </c>
      <c r="T81" s="330">
        <v>1157</v>
      </c>
      <c r="U81" s="330">
        <v>182.81</v>
      </c>
      <c r="V81" s="330">
        <v>1537</v>
      </c>
      <c r="W81" s="330">
        <v>216.99</v>
      </c>
      <c r="X81" s="330">
        <v>21</v>
      </c>
      <c r="Y81" s="330">
        <v>0</v>
      </c>
      <c r="Z81" s="330">
        <v>2</v>
      </c>
      <c r="AA81" s="330">
        <v>9</v>
      </c>
      <c r="AB81" s="330">
        <v>94</v>
      </c>
      <c r="AC81" s="330">
        <v>54</v>
      </c>
      <c r="AD81" s="334">
        <v>10658</v>
      </c>
      <c r="AE81" s="334">
        <v>39</v>
      </c>
      <c r="AF81" s="334">
        <v>52</v>
      </c>
      <c r="AG81" s="334">
        <v>91</v>
      </c>
    </row>
    <row r="82" spans="1:33" x14ac:dyDescent="0.25">
      <c r="A82" s="329" t="s">
        <v>220</v>
      </c>
      <c r="B82" s="335" t="s">
        <v>221</v>
      </c>
      <c r="C82" s="331">
        <v>2562</v>
      </c>
      <c r="D82" s="331">
        <v>0</v>
      </c>
      <c r="E82" s="331">
        <v>261</v>
      </c>
      <c r="F82" s="331">
        <v>275</v>
      </c>
      <c r="G82" s="331">
        <v>335</v>
      </c>
      <c r="H82" s="331">
        <v>3433</v>
      </c>
      <c r="I82" s="330">
        <v>3098</v>
      </c>
      <c r="J82" s="330">
        <v>14</v>
      </c>
      <c r="K82" s="332">
        <v>117.96</v>
      </c>
      <c r="L82" s="332">
        <v>116.46</v>
      </c>
      <c r="M82" s="332">
        <v>6.69</v>
      </c>
      <c r="N82" s="332">
        <v>123.66</v>
      </c>
      <c r="O82" s="333">
        <v>1965</v>
      </c>
      <c r="P82" s="330">
        <v>113.78</v>
      </c>
      <c r="Q82" s="330">
        <v>97.95</v>
      </c>
      <c r="R82" s="330">
        <v>32.130000000000003</v>
      </c>
      <c r="S82" s="330">
        <v>144.94</v>
      </c>
      <c r="T82" s="330">
        <v>432</v>
      </c>
      <c r="U82" s="330">
        <v>160.96</v>
      </c>
      <c r="V82" s="330">
        <v>459</v>
      </c>
      <c r="W82" s="330">
        <v>156.91999999999999</v>
      </c>
      <c r="X82" s="330">
        <v>8</v>
      </c>
      <c r="Y82" s="330">
        <v>0</v>
      </c>
      <c r="Z82" s="330">
        <v>1</v>
      </c>
      <c r="AA82" s="330">
        <v>2</v>
      </c>
      <c r="AB82" s="330">
        <v>18</v>
      </c>
      <c r="AC82" s="330">
        <v>15</v>
      </c>
      <c r="AD82" s="334">
        <v>2529</v>
      </c>
      <c r="AE82" s="334">
        <v>7</v>
      </c>
      <c r="AF82" s="334">
        <v>2</v>
      </c>
      <c r="AG82" s="334">
        <v>9</v>
      </c>
    </row>
    <row r="83" spans="1:33" x14ac:dyDescent="0.25">
      <c r="A83" s="329" t="s">
        <v>222</v>
      </c>
      <c r="B83" s="335" t="s">
        <v>223</v>
      </c>
      <c r="C83" s="331">
        <v>1808</v>
      </c>
      <c r="D83" s="331">
        <v>39</v>
      </c>
      <c r="E83" s="331">
        <v>286</v>
      </c>
      <c r="F83" s="331">
        <v>505</v>
      </c>
      <c r="G83" s="331">
        <v>116</v>
      </c>
      <c r="H83" s="331">
        <v>2754</v>
      </c>
      <c r="I83" s="330">
        <v>2638</v>
      </c>
      <c r="J83" s="330">
        <v>59</v>
      </c>
      <c r="K83" s="332">
        <v>80.87</v>
      </c>
      <c r="L83" s="332">
        <v>79.34</v>
      </c>
      <c r="M83" s="332">
        <v>5.23</v>
      </c>
      <c r="N83" s="332">
        <v>84.23</v>
      </c>
      <c r="O83" s="333">
        <v>1199</v>
      </c>
      <c r="P83" s="330">
        <v>87.54</v>
      </c>
      <c r="Q83" s="330">
        <v>74.819999999999993</v>
      </c>
      <c r="R83" s="330">
        <v>43.72</v>
      </c>
      <c r="S83" s="330">
        <v>131.26</v>
      </c>
      <c r="T83" s="330">
        <v>557</v>
      </c>
      <c r="U83" s="330">
        <v>94.12</v>
      </c>
      <c r="V83" s="330">
        <v>318</v>
      </c>
      <c r="W83" s="330">
        <v>91.37</v>
      </c>
      <c r="X83" s="330">
        <v>10</v>
      </c>
      <c r="Y83" s="330">
        <v>2</v>
      </c>
      <c r="Z83" s="330">
        <v>1</v>
      </c>
      <c r="AA83" s="330">
        <v>0</v>
      </c>
      <c r="AB83" s="330">
        <v>19</v>
      </c>
      <c r="AC83" s="330">
        <v>2</v>
      </c>
      <c r="AD83" s="334">
        <v>1591</v>
      </c>
      <c r="AE83" s="334">
        <v>20</v>
      </c>
      <c r="AF83" s="334">
        <v>4</v>
      </c>
      <c r="AG83" s="334">
        <v>24</v>
      </c>
    </row>
    <row r="84" spans="1:33" x14ac:dyDescent="0.25">
      <c r="A84" s="329" t="s">
        <v>224</v>
      </c>
      <c r="B84" s="335" t="s">
        <v>225</v>
      </c>
      <c r="C84" s="331">
        <v>1582</v>
      </c>
      <c r="D84" s="331">
        <v>12</v>
      </c>
      <c r="E84" s="331">
        <v>148</v>
      </c>
      <c r="F84" s="331">
        <v>107</v>
      </c>
      <c r="G84" s="331">
        <v>654</v>
      </c>
      <c r="H84" s="331">
        <v>2503</v>
      </c>
      <c r="I84" s="330">
        <v>1849</v>
      </c>
      <c r="J84" s="330">
        <v>3</v>
      </c>
      <c r="K84" s="332">
        <v>109.67</v>
      </c>
      <c r="L84" s="332">
        <v>107.91</v>
      </c>
      <c r="M84" s="332">
        <v>5.81</v>
      </c>
      <c r="N84" s="332">
        <v>114.97</v>
      </c>
      <c r="O84" s="333">
        <v>858</v>
      </c>
      <c r="P84" s="330">
        <v>123.63</v>
      </c>
      <c r="Q84" s="330">
        <v>88.69</v>
      </c>
      <c r="R84" s="330">
        <v>38.61</v>
      </c>
      <c r="S84" s="330">
        <v>161.68</v>
      </c>
      <c r="T84" s="330">
        <v>139</v>
      </c>
      <c r="U84" s="330">
        <v>151.71</v>
      </c>
      <c r="V84" s="330">
        <v>287</v>
      </c>
      <c r="W84" s="330">
        <v>0</v>
      </c>
      <c r="X84" s="330">
        <v>0</v>
      </c>
      <c r="Y84" s="330">
        <v>1</v>
      </c>
      <c r="Z84" s="330">
        <v>1</v>
      </c>
      <c r="AA84" s="330">
        <v>0</v>
      </c>
      <c r="AB84" s="330">
        <v>103</v>
      </c>
      <c r="AC84" s="330">
        <v>22</v>
      </c>
      <c r="AD84" s="334">
        <v>1203</v>
      </c>
      <c r="AE84" s="334">
        <v>2</v>
      </c>
      <c r="AF84" s="334">
        <v>7</v>
      </c>
      <c r="AG84" s="334">
        <v>9</v>
      </c>
    </row>
    <row r="85" spans="1:33" x14ac:dyDescent="0.25">
      <c r="A85" s="329" t="s">
        <v>226</v>
      </c>
      <c r="B85" s="335" t="s">
        <v>227</v>
      </c>
      <c r="C85" s="331">
        <v>5922</v>
      </c>
      <c r="D85" s="331">
        <v>18</v>
      </c>
      <c r="E85" s="331">
        <v>531</v>
      </c>
      <c r="F85" s="331">
        <v>1319</v>
      </c>
      <c r="G85" s="331">
        <v>539</v>
      </c>
      <c r="H85" s="331">
        <v>8329</v>
      </c>
      <c r="I85" s="330">
        <v>7790</v>
      </c>
      <c r="J85" s="330">
        <v>7</v>
      </c>
      <c r="K85" s="332">
        <v>89.15</v>
      </c>
      <c r="L85" s="332">
        <v>88.01</v>
      </c>
      <c r="M85" s="332">
        <v>6.02</v>
      </c>
      <c r="N85" s="332">
        <v>93.38</v>
      </c>
      <c r="O85" s="333">
        <v>5425</v>
      </c>
      <c r="P85" s="330">
        <v>81.75</v>
      </c>
      <c r="Q85" s="330">
        <v>82.34</v>
      </c>
      <c r="R85" s="330">
        <v>45.11</v>
      </c>
      <c r="S85" s="330">
        <v>124.49</v>
      </c>
      <c r="T85" s="330">
        <v>1426</v>
      </c>
      <c r="U85" s="330">
        <v>100.03</v>
      </c>
      <c r="V85" s="330">
        <v>286</v>
      </c>
      <c r="W85" s="330">
        <v>155.82</v>
      </c>
      <c r="X85" s="330">
        <v>101</v>
      </c>
      <c r="Y85" s="330">
        <v>0</v>
      </c>
      <c r="Z85" s="330">
        <v>0</v>
      </c>
      <c r="AA85" s="330">
        <v>0</v>
      </c>
      <c r="AB85" s="330">
        <v>5</v>
      </c>
      <c r="AC85" s="330">
        <v>24</v>
      </c>
      <c r="AD85" s="334">
        <v>5777</v>
      </c>
      <c r="AE85" s="334">
        <v>35</v>
      </c>
      <c r="AF85" s="334">
        <v>33</v>
      </c>
      <c r="AG85" s="334">
        <v>68</v>
      </c>
    </row>
    <row r="86" spans="1:33" x14ac:dyDescent="0.25">
      <c r="A86" s="329" t="s">
        <v>228</v>
      </c>
      <c r="B86" s="335" t="s">
        <v>229</v>
      </c>
      <c r="C86" s="331">
        <v>2971</v>
      </c>
      <c r="D86" s="331">
        <v>0</v>
      </c>
      <c r="E86" s="331">
        <v>61</v>
      </c>
      <c r="F86" s="331">
        <v>979</v>
      </c>
      <c r="G86" s="331">
        <v>166</v>
      </c>
      <c r="H86" s="331">
        <v>4177</v>
      </c>
      <c r="I86" s="330">
        <v>4011</v>
      </c>
      <c r="J86" s="330">
        <v>0</v>
      </c>
      <c r="K86" s="332">
        <v>95.13</v>
      </c>
      <c r="L86" s="332">
        <v>94.59</v>
      </c>
      <c r="M86" s="332">
        <v>2.39</v>
      </c>
      <c r="N86" s="332">
        <v>97.16</v>
      </c>
      <c r="O86" s="333">
        <v>2704</v>
      </c>
      <c r="P86" s="330">
        <v>85.34</v>
      </c>
      <c r="Q86" s="330">
        <v>84.46</v>
      </c>
      <c r="R86" s="330">
        <v>10.25</v>
      </c>
      <c r="S86" s="330">
        <v>95.2</v>
      </c>
      <c r="T86" s="330">
        <v>1028</v>
      </c>
      <c r="U86" s="330">
        <v>114.1</v>
      </c>
      <c r="V86" s="330">
        <v>159</v>
      </c>
      <c r="W86" s="330">
        <v>199.42</v>
      </c>
      <c r="X86" s="330">
        <v>2</v>
      </c>
      <c r="Y86" s="330">
        <v>0</v>
      </c>
      <c r="Z86" s="330">
        <v>15</v>
      </c>
      <c r="AA86" s="330">
        <v>0</v>
      </c>
      <c r="AB86" s="330">
        <v>12</v>
      </c>
      <c r="AC86" s="330">
        <v>2</v>
      </c>
      <c r="AD86" s="334">
        <v>2856</v>
      </c>
      <c r="AE86" s="334">
        <v>18</v>
      </c>
      <c r="AF86" s="334">
        <v>31</v>
      </c>
      <c r="AG86" s="334">
        <v>49</v>
      </c>
    </row>
    <row r="87" spans="1:33" x14ac:dyDescent="0.25">
      <c r="A87" s="329" t="s">
        <v>230</v>
      </c>
      <c r="B87" s="335" t="s">
        <v>231</v>
      </c>
      <c r="C87" s="331">
        <v>2255</v>
      </c>
      <c r="D87" s="331">
        <v>0</v>
      </c>
      <c r="E87" s="331">
        <v>694</v>
      </c>
      <c r="F87" s="331">
        <v>892</v>
      </c>
      <c r="G87" s="331">
        <v>224</v>
      </c>
      <c r="H87" s="331">
        <v>4065</v>
      </c>
      <c r="I87" s="330">
        <v>3841</v>
      </c>
      <c r="J87" s="330">
        <v>0</v>
      </c>
      <c r="K87" s="332">
        <v>82.77</v>
      </c>
      <c r="L87" s="332">
        <v>80.86</v>
      </c>
      <c r="M87" s="332">
        <v>5.73</v>
      </c>
      <c r="N87" s="332">
        <v>86.17</v>
      </c>
      <c r="O87" s="333">
        <v>1737</v>
      </c>
      <c r="P87" s="330">
        <v>98.34</v>
      </c>
      <c r="Q87" s="330">
        <v>77.83</v>
      </c>
      <c r="R87" s="330">
        <v>30.91</v>
      </c>
      <c r="S87" s="330">
        <v>128.25</v>
      </c>
      <c r="T87" s="330">
        <v>1289</v>
      </c>
      <c r="U87" s="330">
        <v>92.44</v>
      </c>
      <c r="V87" s="330">
        <v>398</v>
      </c>
      <c r="W87" s="330">
        <v>141.54</v>
      </c>
      <c r="X87" s="330">
        <v>89</v>
      </c>
      <c r="Y87" s="330">
        <v>0</v>
      </c>
      <c r="Z87" s="330">
        <v>0</v>
      </c>
      <c r="AA87" s="330">
        <v>0</v>
      </c>
      <c r="AB87" s="330">
        <v>11</v>
      </c>
      <c r="AC87" s="330">
        <v>5</v>
      </c>
      <c r="AD87" s="334">
        <v>2197</v>
      </c>
      <c r="AE87" s="334">
        <v>20</v>
      </c>
      <c r="AF87" s="334">
        <v>12</v>
      </c>
      <c r="AG87" s="334">
        <v>32</v>
      </c>
    </row>
    <row r="88" spans="1:33" x14ac:dyDescent="0.25">
      <c r="A88" s="329" t="s">
        <v>232</v>
      </c>
      <c r="B88" s="335" t="s">
        <v>233</v>
      </c>
      <c r="C88" s="331">
        <v>15868</v>
      </c>
      <c r="D88" s="331">
        <v>39</v>
      </c>
      <c r="E88" s="331">
        <v>697</v>
      </c>
      <c r="F88" s="331">
        <v>4130</v>
      </c>
      <c r="G88" s="331">
        <v>970</v>
      </c>
      <c r="H88" s="331">
        <v>21704</v>
      </c>
      <c r="I88" s="330">
        <v>20734</v>
      </c>
      <c r="J88" s="330">
        <v>3</v>
      </c>
      <c r="K88" s="332">
        <v>100.71</v>
      </c>
      <c r="L88" s="332">
        <v>100.44</v>
      </c>
      <c r="M88" s="332">
        <v>3.66</v>
      </c>
      <c r="N88" s="332">
        <v>103.06</v>
      </c>
      <c r="O88" s="333">
        <v>14534</v>
      </c>
      <c r="P88" s="330">
        <v>89.58</v>
      </c>
      <c r="Q88" s="330">
        <v>89.6</v>
      </c>
      <c r="R88" s="330">
        <v>19.88</v>
      </c>
      <c r="S88" s="330">
        <v>109.11</v>
      </c>
      <c r="T88" s="330">
        <v>4257</v>
      </c>
      <c r="U88" s="330">
        <v>136</v>
      </c>
      <c r="V88" s="330">
        <v>1242</v>
      </c>
      <c r="W88" s="330">
        <v>151.79</v>
      </c>
      <c r="X88" s="330">
        <v>37</v>
      </c>
      <c r="Y88" s="330">
        <v>14</v>
      </c>
      <c r="Z88" s="330">
        <v>20</v>
      </c>
      <c r="AA88" s="330">
        <v>0</v>
      </c>
      <c r="AB88" s="330">
        <v>84</v>
      </c>
      <c r="AC88" s="330">
        <v>9</v>
      </c>
      <c r="AD88" s="334">
        <v>15758</v>
      </c>
      <c r="AE88" s="334">
        <v>35</v>
      </c>
      <c r="AF88" s="334">
        <v>46</v>
      </c>
      <c r="AG88" s="334">
        <v>81</v>
      </c>
    </row>
    <row r="89" spans="1:33" x14ac:dyDescent="0.25">
      <c r="A89" s="329" t="s">
        <v>234</v>
      </c>
      <c r="B89" s="335" t="s">
        <v>235</v>
      </c>
      <c r="C89" s="331">
        <v>2101</v>
      </c>
      <c r="D89" s="331">
        <v>5</v>
      </c>
      <c r="E89" s="331">
        <v>115</v>
      </c>
      <c r="F89" s="331">
        <v>458</v>
      </c>
      <c r="G89" s="331">
        <v>207</v>
      </c>
      <c r="H89" s="331">
        <v>2886</v>
      </c>
      <c r="I89" s="330">
        <v>2679</v>
      </c>
      <c r="J89" s="330">
        <v>0</v>
      </c>
      <c r="K89" s="332">
        <v>90.72</v>
      </c>
      <c r="L89" s="332">
        <v>89.63</v>
      </c>
      <c r="M89" s="332">
        <v>6.47</v>
      </c>
      <c r="N89" s="332">
        <v>95.59</v>
      </c>
      <c r="O89" s="333">
        <v>1799</v>
      </c>
      <c r="P89" s="330">
        <v>103.41</v>
      </c>
      <c r="Q89" s="330">
        <v>89.89</v>
      </c>
      <c r="R89" s="330">
        <v>39.29</v>
      </c>
      <c r="S89" s="330">
        <v>141.77000000000001</v>
      </c>
      <c r="T89" s="330">
        <v>555</v>
      </c>
      <c r="U89" s="330">
        <v>117.32</v>
      </c>
      <c r="V89" s="330">
        <v>190</v>
      </c>
      <c r="W89" s="330">
        <v>0</v>
      </c>
      <c r="X89" s="330">
        <v>0</v>
      </c>
      <c r="Y89" s="330">
        <v>0</v>
      </c>
      <c r="Z89" s="330">
        <v>0</v>
      </c>
      <c r="AA89" s="330">
        <v>0</v>
      </c>
      <c r="AB89" s="330">
        <v>26</v>
      </c>
      <c r="AC89" s="330">
        <v>0</v>
      </c>
      <c r="AD89" s="334">
        <v>2022</v>
      </c>
      <c r="AE89" s="334">
        <v>3</v>
      </c>
      <c r="AF89" s="334">
        <v>8</v>
      </c>
      <c r="AG89" s="334">
        <v>11</v>
      </c>
    </row>
    <row r="90" spans="1:33" x14ac:dyDescent="0.25">
      <c r="A90" s="329" t="s">
        <v>236</v>
      </c>
      <c r="B90" s="335" t="s">
        <v>237</v>
      </c>
      <c r="C90" s="331">
        <v>3551</v>
      </c>
      <c r="D90" s="331">
        <v>0</v>
      </c>
      <c r="E90" s="331">
        <v>417</v>
      </c>
      <c r="F90" s="331">
        <v>819</v>
      </c>
      <c r="G90" s="331">
        <v>707</v>
      </c>
      <c r="H90" s="331">
        <v>5494</v>
      </c>
      <c r="I90" s="330">
        <v>4787</v>
      </c>
      <c r="J90" s="330">
        <v>3</v>
      </c>
      <c r="K90" s="332">
        <v>94.87</v>
      </c>
      <c r="L90" s="332">
        <v>93.83</v>
      </c>
      <c r="M90" s="332">
        <v>6.46</v>
      </c>
      <c r="N90" s="332">
        <v>100.16</v>
      </c>
      <c r="O90" s="333">
        <v>3255</v>
      </c>
      <c r="P90" s="330">
        <v>96.19</v>
      </c>
      <c r="Q90" s="330">
        <v>94.51</v>
      </c>
      <c r="R90" s="330">
        <v>44.15</v>
      </c>
      <c r="S90" s="330">
        <v>139.33000000000001</v>
      </c>
      <c r="T90" s="330">
        <v>829</v>
      </c>
      <c r="U90" s="330">
        <v>109.19</v>
      </c>
      <c r="V90" s="330">
        <v>216</v>
      </c>
      <c r="W90" s="330">
        <v>181.27</v>
      </c>
      <c r="X90" s="330">
        <v>158</v>
      </c>
      <c r="Y90" s="330">
        <v>0</v>
      </c>
      <c r="Z90" s="330">
        <v>4</v>
      </c>
      <c r="AA90" s="330">
        <v>1</v>
      </c>
      <c r="AB90" s="330">
        <v>3</v>
      </c>
      <c r="AC90" s="330">
        <v>17</v>
      </c>
      <c r="AD90" s="334">
        <v>3551</v>
      </c>
      <c r="AE90" s="334">
        <v>19</v>
      </c>
      <c r="AF90" s="334">
        <v>12</v>
      </c>
      <c r="AG90" s="334">
        <v>31</v>
      </c>
    </row>
    <row r="91" spans="1:33" x14ac:dyDescent="0.25">
      <c r="A91" s="329" t="s">
        <v>238</v>
      </c>
      <c r="B91" s="335" t="s">
        <v>239</v>
      </c>
      <c r="C91" s="331">
        <v>9484</v>
      </c>
      <c r="D91" s="331">
        <v>309</v>
      </c>
      <c r="E91" s="331">
        <v>878</v>
      </c>
      <c r="F91" s="331">
        <v>786</v>
      </c>
      <c r="G91" s="331">
        <v>2037</v>
      </c>
      <c r="H91" s="331">
        <v>13494</v>
      </c>
      <c r="I91" s="330">
        <v>11457</v>
      </c>
      <c r="J91" s="330">
        <v>90</v>
      </c>
      <c r="K91" s="332">
        <v>132.16</v>
      </c>
      <c r="L91" s="332">
        <v>128.91999999999999</v>
      </c>
      <c r="M91" s="332">
        <v>9.91</v>
      </c>
      <c r="N91" s="332">
        <v>139.19</v>
      </c>
      <c r="O91" s="333">
        <v>8343</v>
      </c>
      <c r="P91" s="330">
        <v>118.73</v>
      </c>
      <c r="Q91" s="330">
        <v>112.36</v>
      </c>
      <c r="R91" s="330">
        <v>43.44</v>
      </c>
      <c r="S91" s="330">
        <v>157.1</v>
      </c>
      <c r="T91" s="330">
        <v>1096</v>
      </c>
      <c r="U91" s="330">
        <v>195.11</v>
      </c>
      <c r="V91" s="330">
        <v>698</v>
      </c>
      <c r="W91" s="330">
        <v>199.64</v>
      </c>
      <c r="X91" s="330">
        <v>34</v>
      </c>
      <c r="Y91" s="330">
        <v>1</v>
      </c>
      <c r="Z91" s="330">
        <v>2</v>
      </c>
      <c r="AA91" s="330">
        <v>5</v>
      </c>
      <c r="AB91" s="330">
        <v>37</v>
      </c>
      <c r="AC91" s="330">
        <v>88</v>
      </c>
      <c r="AD91" s="334">
        <v>9189</v>
      </c>
      <c r="AE91" s="334">
        <v>37</v>
      </c>
      <c r="AF91" s="334">
        <v>48</v>
      </c>
      <c r="AG91" s="334">
        <v>85</v>
      </c>
    </row>
    <row r="92" spans="1:33" x14ac:dyDescent="0.25">
      <c r="A92" s="329" t="s">
        <v>240</v>
      </c>
      <c r="B92" s="335" t="s">
        <v>241</v>
      </c>
      <c r="C92" s="331">
        <v>4035</v>
      </c>
      <c r="D92" s="331">
        <v>5</v>
      </c>
      <c r="E92" s="331">
        <v>111</v>
      </c>
      <c r="F92" s="331">
        <v>1030</v>
      </c>
      <c r="G92" s="331">
        <v>393</v>
      </c>
      <c r="H92" s="331">
        <v>5574</v>
      </c>
      <c r="I92" s="330">
        <v>5181</v>
      </c>
      <c r="J92" s="330">
        <v>3</v>
      </c>
      <c r="K92" s="332">
        <v>103.34</v>
      </c>
      <c r="L92" s="332">
        <v>96.64</v>
      </c>
      <c r="M92" s="332">
        <v>3.02</v>
      </c>
      <c r="N92" s="332">
        <v>104.49</v>
      </c>
      <c r="O92" s="333">
        <v>3666</v>
      </c>
      <c r="P92" s="330">
        <v>96.05</v>
      </c>
      <c r="Q92" s="330">
        <v>91.18</v>
      </c>
      <c r="R92" s="330">
        <v>19.66</v>
      </c>
      <c r="S92" s="330">
        <v>115.66</v>
      </c>
      <c r="T92" s="330">
        <v>1130</v>
      </c>
      <c r="U92" s="330">
        <v>123.78</v>
      </c>
      <c r="V92" s="330">
        <v>326</v>
      </c>
      <c r="W92" s="330">
        <v>0</v>
      </c>
      <c r="X92" s="330">
        <v>0</v>
      </c>
      <c r="Y92" s="330">
        <v>0</v>
      </c>
      <c r="Z92" s="330">
        <v>4</v>
      </c>
      <c r="AA92" s="330">
        <v>0</v>
      </c>
      <c r="AB92" s="330">
        <v>5</v>
      </c>
      <c r="AC92" s="330">
        <v>11</v>
      </c>
      <c r="AD92" s="334">
        <v>4027</v>
      </c>
      <c r="AE92" s="334">
        <v>1</v>
      </c>
      <c r="AF92" s="334">
        <v>9</v>
      </c>
      <c r="AG92" s="334">
        <v>10</v>
      </c>
    </row>
    <row r="93" spans="1:33" x14ac:dyDescent="0.25">
      <c r="A93" s="329" t="s">
        <v>242</v>
      </c>
      <c r="B93" s="335" t="s">
        <v>243</v>
      </c>
      <c r="C93" s="331">
        <v>2010</v>
      </c>
      <c r="D93" s="331">
        <v>0</v>
      </c>
      <c r="E93" s="331">
        <v>143</v>
      </c>
      <c r="F93" s="331">
        <v>168</v>
      </c>
      <c r="G93" s="331">
        <v>445</v>
      </c>
      <c r="H93" s="331">
        <v>2766</v>
      </c>
      <c r="I93" s="330">
        <v>2321</v>
      </c>
      <c r="J93" s="330">
        <v>9</v>
      </c>
      <c r="K93" s="332">
        <v>95.24</v>
      </c>
      <c r="L93" s="332">
        <v>92.83</v>
      </c>
      <c r="M93" s="332">
        <v>3.73</v>
      </c>
      <c r="N93" s="332">
        <v>98.03</v>
      </c>
      <c r="O93" s="333">
        <v>1411</v>
      </c>
      <c r="P93" s="330">
        <v>96.52</v>
      </c>
      <c r="Q93" s="330">
        <v>74.17</v>
      </c>
      <c r="R93" s="330">
        <v>48.02</v>
      </c>
      <c r="S93" s="330">
        <v>138.27000000000001</v>
      </c>
      <c r="T93" s="330">
        <v>222</v>
      </c>
      <c r="U93" s="330">
        <v>127.44</v>
      </c>
      <c r="V93" s="330">
        <v>441</v>
      </c>
      <c r="W93" s="330">
        <v>0</v>
      </c>
      <c r="X93" s="330">
        <v>0</v>
      </c>
      <c r="Y93" s="330">
        <v>0</v>
      </c>
      <c r="Z93" s="330">
        <v>0</v>
      </c>
      <c r="AA93" s="330">
        <v>0</v>
      </c>
      <c r="AB93" s="330">
        <v>34</v>
      </c>
      <c r="AC93" s="330">
        <v>5</v>
      </c>
      <c r="AD93" s="334">
        <v>1943</v>
      </c>
      <c r="AE93" s="334">
        <v>3</v>
      </c>
      <c r="AF93" s="334">
        <v>4</v>
      </c>
      <c r="AG93" s="334">
        <v>7</v>
      </c>
    </row>
    <row r="94" spans="1:33" x14ac:dyDescent="0.25">
      <c r="A94" s="329" t="s">
        <v>244</v>
      </c>
      <c r="B94" s="335" t="s">
        <v>245</v>
      </c>
      <c r="C94" s="331">
        <v>5281</v>
      </c>
      <c r="D94" s="331">
        <v>18</v>
      </c>
      <c r="E94" s="331">
        <v>97</v>
      </c>
      <c r="F94" s="331">
        <v>820</v>
      </c>
      <c r="G94" s="331">
        <v>420</v>
      </c>
      <c r="H94" s="331">
        <v>6636</v>
      </c>
      <c r="I94" s="330">
        <v>6216</v>
      </c>
      <c r="J94" s="330">
        <v>0</v>
      </c>
      <c r="K94" s="332">
        <v>116.9</v>
      </c>
      <c r="L94" s="332">
        <v>115</v>
      </c>
      <c r="M94" s="332">
        <v>4.55</v>
      </c>
      <c r="N94" s="332">
        <v>118.3</v>
      </c>
      <c r="O94" s="333">
        <v>4241</v>
      </c>
      <c r="P94" s="330">
        <v>96.71</v>
      </c>
      <c r="Q94" s="330">
        <v>94.52</v>
      </c>
      <c r="R94" s="330">
        <v>14.4</v>
      </c>
      <c r="S94" s="330">
        <v>110.64</v>
      </c>
      <c r="T94" s="330">
        <v>881</v>
      </c>
      <c r="U94" s="330">
        <v>145.96</v>
      </c>
      <c r="V94" s="330">
        <v>657</v>
      </c>
      <c r="W94" s="330">
        <v>144.36000000000001</v>
      </c>
      <c r="X94" s="330">
        <v>1</v>
      </c>
      <c r="Y94" s="330">
        <v>223</v>
      </c>
      <c r="Z94" s="330">
        <v>3</v>
      </c>
      <c r="AA94" s="330">
        <v>0</v>
      </c>
      <c r="AB94" s="330">
        <v>31</v>
      </c>
      <c r="AC94" s="330">
        <v>21</v>
      </c>
      <c r="AD94" s="334">
        <v>5000</v>
      </c>
      <c r="AE94" s="334">
        <v>17</v>
      </c>
      <c r="AF94" s="334">
        <v>8</v>
      </c>
      <c r="AG94" s="334">
        <v>25</v>
      </c>
    </row>
    <row r="95" spans="1:33" x14ac:dyDescent="0.25">
      <c r="A95" s="329" t="s">
        <v>246</v>
      </c>
      <c r="B95" s="335" t="s">
        <v>247</v>
      </c>
      <c r="C95" s="331">
        <v>6649</v>
      </c>
      <c r="D95" s="331">
        <v>6</v>
      </c>
      <c r="E95" s="331">
        <v>196</v>
      </c>
      <c r="F95" s="331">
        <v>1060</v>
      </c>
      <c r="G95" s="331">
        <v>572</v>
      </c>
      <c r="H95" s="331">
        <v>8483</v>
      </c>
      <c r="I95" s="330">
        <v>7911</v>
      </c>
      <c r="J95" s="330">
        <v>11</v>
      </c>
      <c r="K95" s="332">
        <v>117.71</v>
      </c>
      <c r="L95" s="332">
        <v>117.32</v>
      </c>
      <c r="M95" s="332">
        <v>5.2</v>
      </c>
      <c r="N95" s="332">
        <v>119.53</v>
      </c>
      <c r="O95" s="333">
        <v>5213</v>
      </c>
      <c r="P95" s="330">
        <v>104.57</v>
      </c>
      <c r="Q95" s="330">
        <v>103.5</v>
      </c>
      <c r="R95" s="330">
        <v>26.44</v>
      </c>
      <c r="S95" s="330">
        <v>129.82</v>
      </c>
      <c r="T95" s="330">
        <v>785</v>
      </c>
      <c r="U95" s="330">
        <v>157.41</v>
      </c>
      <c r="V95" s="330">
        <v>1322</v>
      </c>
      <c r="W95" s="330">
        <v>0</v>
      </c>
      <c r="X95" s="330">
        <v>0</v>
      </c>
      <c r="Y95" s="330">
        <v>0</v>
      </c>
      <c r="Z95" s="330">
        <v>19</v>
      </c>
      <c r="AA95" s="330">
        <v>0</v>
      </c>
      <c r="AB95" s="330">
        <v>58</v>
      </c>
      <c r="AC95" s="330">
        <v>12</v>
      </c>
      <c r="AD95" s="334">
        <v>6649</v>
      </c>
      <c r="AE95" s="334">
        <v>41</v>
      </c>
      <c r="AF95" s="334">
        <v>9</v>
      </c>
      <c r="AG95" s="334">
        <v>50</v>
      </c>
    </row>
    <row r="96" spans="1:33" x14ac:dyDescent="0.25">
      <c r="A96" s="329" t="s">
        <v>248</v>
      </c>
      <c r="B96" s="335" t="s">
        <v>249</v>
      </c>
      <c r="C96" s="331">
        <v>6329</v>
      </c>
      <c r="D96" s="331">
        <v>11</v>
      </c>
      <c r="E96" s="331">
        <v>207</v>
      </c>
      <c r="F96" s="331">
        <v>826</v>
      </c>
      <c r="G96" s="331">
        <v>480</v>
      </c>
      <c r="H96" s="331">
        <v>7853</v>
      </c>
      <c r="I96" s="330">
        <v>7373</v>
      </c>
      <c r="J96" s="330">
        <v>0</v>
      </c>
      <c r="K96" s="332">
        <v>84.26</v>
      </c>
      <c r="L96" s="332">
        <v>84.35</v>
      </c>
      <c r="M96" s="332">
        <v>2.2200000000000002</v>
      </c>
      <c r="N96" s="332">
        <v>86.06</v>
      </c>
      <c r="O96" s="333">
        <v>5068</v>
      </c>
      <c r="P96" s="330">
        <v>81.91</v>
      </c>
      <c r="Q96" s="330">
        <v>78.040000000000006</v>
      </c>
      <c r="R96" s="330">
        <v>23.97</v>
      </c>
      <c r="S96" s="330">
        <v>105.06</v>
      </c>
      <c r="T96" s="330">
        <v>987</v>
      </c>
      <c r="U96" s="330">
        <v>92.69</v>
      </c>
      <c r="V96" s="330">
        <v>1079</v>
      </c>
      <c r="W96" s="330">
        <v>145.65</v>
      </c>
      <c r="X96" s="330">
        <v>40</v>
      </c>
      <c r="Y96" s="330">
        <v>0</v>
      </c>
      <c r="Z96" s="330">
        <v>11</v>
      </c>
      <c r="AA96" s="330">
        <v>0</v>
      </c>
      <c r="AB96" s="330">
        <v>57</v>
      </c>
      <c r="AC96" s="330">
        <v>3</v>
      </c>
      <c r="AD96" s="334">
        <v>6202</v>
      </c>
      <c r="AE96" s="334">
        <v>30</v>
      </c>
      <c r="AF96" s="334">
        <v>10</v>
      </c>
      <c r="AG96" s="334">
        <v>40</v>
      </c>
    </row>
    <row r="97" spans="1:33" x14ac:dyDescent="0.25">
      <c r="A97" s="329" t="s">
        <v>250</v>
      </c>
      <c r="B97" s="335" t="s">
        <v>251</v>
      </c>
      <c r="C97" s="331">
        <v>1821</v>
      </c>
      <c r="D97" s="331">
        <v>1</v>
      </c>
      <c r="E97" s="331">
        <v>230</v>
      </c>
      <c r="F97" s="331">
        <v>633</v>
      </c>
      <c r="G97" s="331">
        <v>117</v>
      </c>
      <c r="H97" s="331">
        <v>2802</v>
      </c>
      <c r="I97" s="330">
        <v>2685</v>
      </c>
      <c r="J97" s="330">
        <v>8</v>
      </c>
      <c r="K97" s="332">
        <v>90.5</v>
      </c>
      <c r="L97" s="332">
        <v>90.14</v>
      </c>
      <c r="M97" s="332">
        <v>4.1399999999999997</v>
      </c>
      <c r="N97" s="332">
        <v>93.19</v>
      </c>
      <c r="O97" s="333">
        <v>1395</v>
      </c>
      <c r="P97" s="330">
        <v>87.26</v>
      </c>
      <c r="Q97" s="330">
        <v>78.92</v>
      </c>
      <c r="R97" s="330">
        <v>34.71</v>
      </c>
      <c r="S97" s="330">
        <v>121.26</v>
      </c>
      <c r="T97" s="330">
        <v>733</v>
      </c>
      <c r="U97" s="330">
        <v>103.44</v>
      </c>
      <c r="V97" s="330">
        <v>161</v>
      </c>
      <c r="W97" s="330">
        <v>121.62</v>
      </c>
      <c r="X97" s="330">
        <v>30</v>
      </c>
      <c r="Y97" s="330">
        <v>20</v>
      </c>
      <c r="Z97" s="330">
        <v>1</v>
      </c>
      <c r="AA97" s="330">
        <v>0</v>
      </c>
      <c r="AB97" s="330">
        <v>9</v>
      </c>
      <c r="AC97" s="330">
        <v>0</v>
      </c>
      <c r="AD97" s="334">
        <v>1682</v>
      </c>
      <c r="AE97" s="334">
        <v>13</v>
      </c>
      <c r="AF97" s="334">
        <v>3</v>
      </c>
      <c r="AG97" s="334">
        <v>16</v>
      </c>
    </row>
    <row r="98" spans="1:33" x14ac:dyDescent="0.25">
      <c r="A98" s="329" t="s">
        <v>252</v>
      </c>
      <c r="B98" s="335" t="s">
        <v>253</v>
      </c>
      <c r="C98" s="331">
        <v>6029</v>
      </c>
      <c r="D98" s="331">
        <v>4</v>
      </c>
      <c r="E98" s="331">
        <v>143</v>
      </c>
      <c r="F98" s="331">
        <v>465</v>
      </c>
      <c r="G98" s="331">
        <v>174</v>
      </c>
      <c r="H98" s="331">
        <v>6815</v>
      </c>
      <c r="I98" s="330">
        <v>6641</v>
      </c>
      <c r="J98" s="330">
        <v>7</v>
      </c>
      <c r="K98" s="332">
        <v>82.89</v>
      </c>
      <c r="L98" s="332">
        <v>79.94</v>
      </c>
      <c r="M98" s="332">
        <v>7.15</v>
      </c>
      <c r="N98" s="332">
        <v>85.66</v>
      </c>
      <c r="O98" s="333">
        <v>4964</v>
      </c>
      <c r="P98" s="330">
        <v>79.12</v>
      </c>
      <c r="Q98" s="330">
        <v>77.8</v>
      </c>
      <c r="R98" s="330">
        <v>43.94</v>
      </c>
      <c r="S98" s="330">
        <v>122.26</v>
      </c>
      <c r="T98" s="330">
        <v>608</v>
      </c>
      <c r="U98" s="330">
        <v>93.91</v>
      </c>
      <c r="V98" s="330">
        <v>1024</v>
      </c>
      <c r="W98" s="330">
        <v>0</v>
      </c>
      <c r="X98" s="330">
        <v>0</v>
      </c>
      <c r="Y98" s="330">
        <v>0</v>
      </c>
      <c r="Z98" s="330">
        <v>32</v>
      </c>
      <c r="AA98" s="330">
        <v>0</v>
      </c>
      <c r="AB98" s="330">
        <v>18</v>
      </c>
      <c r="AC98" s="330">
        <v>3</v>
      </c>
      <c r="AD98" s="334">
        <v>6029</v>
      </c>
      <c r="AE98" s="334">
        <v>29</v>
      </c>
      <c r="AF98" s="334">
        <v>11</v>
      </c>
      <c r="AG98" s="334">
        <v>40</v>
      </c>
    </row>
    <row r="99" spans="1:33" x14ac:dyDescent="0.25">
      <c r="A99" s="329" t="s">
        <v>254</v>
      </c>
      <c r="B99" s="335" t="s">
        <v>255</v>
      </c>
      <c r="C99" s="331">
        <v>7815</v>
      </c>
      <c r="D99" s="331">
        <v>0</v>
      </c>
      <c r="E99" s="331">
        <v>405</v>
      </c>
      <c r="F99" s="331">
        <v>1431</v>
      </c>
      <c r="G99" s="331">
        <v>258</v>
      </c>
      <c r="H99" s="331">
        <v>9909</v>
      </c>
      <c r="I99" s="330">
        <v>9651</v>
      </c>
      <c r="J99" s="330">
        <v>58</v>
      </c>
      <c r="K99" s="332">
        <v>92.12</v>
      </c>
      <c r="L99" s="332">
        <v>92.15</v>
      </c>
      <c r="M99" s="332">
        <v>3.74</v>
      </c>
      <c r="N99" s="332">
        <v>93.6</v>
      </c>
      <c r="O99" s="333">
        <v>6994</v>
      </c>
      <c r="P99" s="330">
        <v>82.03</v>
      </c>
      <c r="Q99" s="330">
        <v>77.239999999999995</v>
      </c>
      <c r="R99" s="330">
        <v>33.89</v>
      </c>
      <c r="S99" s="330">
        <v>114.71</v>
      </c>
      <c r="T99" s="330">
        <v>1710</v>
      </c>
      <c r="U99" s="330">
        <v>102.68</v>
      </c>
      <c r="V99" s="330">
        <v>625</v>
      </c>
      <c r="W99" s="330">
        <v>170.18</v>
      </c>
      <c r="X99" s="330">
        <v>25</v>
      </c>
      <c r="Y99" s="330">
        <v>0</v>
      </c>
      <c r="Z99" s="330">
        <v>10</v>
      </c>
      <c r="AA99" s="330">
        <v>0</v>
      </c>
      <c r="AB99" s="330">
        <v>12</v>
      </c>
      <c r="AC99" s="330">
        <v>10</v>
      </c>
      <c r="AD99" s="334">
        <v>7801</v>
      </c>
      <c r="AE99" s="334">
        <v>41</v>
      </c>
      <c r="AF99" s="334">
        <v>3</v>
      </c>
      <c r="AG99" s="334">
        <v>44</v>
      </c>
    </row>
    <row r="100" spans="1:33" x14ac:dyDescent="0.25">
      <c r="A100" s="329" t="s">
        <v>256</v>
      </c>
      <c r="B100" s="335" t="s">
        <v>257</v>
      </c>
      <c r="C100" s="331">
        <v>1734</v>
      </c>
      <c r="D100" s="331">
        <v>12</v>
      </c>
      <c r="E100" s="331">
        <v>323</v>
      </c>
      <c r="F100" s="331">
        <v>507</v>
      </c>
      <c r="G100" s="331">
        <v>147</v>
      </c>
      <c r="H100" s="331">
        <v>2723</v>
      </c>
      <c r="I100" s="330">
        <v>2576</v>
      </c>
      <c r="J100" s="330">
        <v>5</v>
      </c>
      <c r="K100" s="332">
        <v>94.21</v>
      </c>
      <c r="L100" s="332">
        <v>92.34</v>
      </c>
      <c r="M100" s="332">
        <v>7.66</v>
      </c>
      <c r="N100" s="332">
        <v>100.45</v>
      </c>
      <c r="O100" s="333">
        <v>1512</v>
      </c>
      <c r="P100" s="330">
        <v>79.45</v>
      </c>
      <c r="Q100" s="330">
        <v>76.41</v>
      </c>
      <c r="R100" s="330">
        <v>39.65</v>
      </c>
      <c r="S100" s="330">
        <v>118.74</v>
      </c>
      <c r="T100" s="330">
        <v>669</v>
      </c>
      <c r="U100" s="330">
        <v>134.61000000000001</v>
      </c>
      <c r="V100" s="330">
        <v>220</v>
      </c>
      <c r="W100" s="330">
        <v>130.35</v>
      </c>
      <c r="X100" s="330">
        <v>18</v>
      </c>
      <c r="Y100" s="330">
        <v>19</v>
      </c>
      <c r="Z100" s="330">
        <v>0</v>
      </c>
      <c r="AA100" s="330">
        <v>0</v>
      </c>
      <c r="AB100" s="330">
        <v>8</v>
      </c>
      <c r="AC100" s="330">
        <v>1</v>
      </c>
      <c r="AD100" s="334">
        <v>1734</v>
      </c>
      <c r="AE100" s="334">
        <v>3</v>
      </c>
      <c r="AF100" s="334">
        <v>2</v>
      </c>
      <c r="AG100" s="334">
        <v>5</v>
      </c>
    </row>
    <row r="101" spans="1:33" x14ac:dyDescent="0.25">
      <c r="A101" s="329" t="s">
        <v>258</v>
      </c>
      <c r="B101" s="335" t="s">
        <v>259</v>
      </c>
      <c r="C101" s="331">
        <v>5397</v>
      </c>
      <c r="D101" s="331">
        <v>0</v>
      </c>
      <c r="E101" s="331">
        <v>171</v>
      </c>
      <c r="F101" s="331">
        <v>1189</v>
      </c>
      <c r="G101" s="331">
        <v>558</v>
      </c>
      <c r="H101" s="331">
        <v>7315</v>
      </c>
      <c r="I101" s="330">
        <v>6757</v>
      </c>
      <c r="J101" s="330">
        <v>6</v>
      </c>
      <c r="K101" s="332">
        <v>109.71</v>
      </c>
      <c r="L101" s="332">
        <v>109.28</v>
      </c>
      <c r="M101" s="332">
        <v>4.78</v>
      </c>
      <c r="N101" s="332">
        <v>112.05</v>
      </c>
      <c r="O101" s="333">
        <v>4331</v>
      </c>
      <c r="P101" s="330">
        <v>98.72</v>
      </c>
      <c r="Q101" s="330">
        <v>93.98</v>
      </c>
      <c r="R101" s="330">
        <v>23.06</v>
      </c>
      <c r="S101" s="330">
        <v>118.91</v>
      </c>
      <c r="T101" s="330">
        <v>1111</v>
      </c>
      <c r="U101" s="330">
        <v>145.32</v>
      </c>
      <c r="V101" s="330">
        <v>940</v>
      </c>
      <c r="W101" s="330">
        <v>147.74</v>
      </c>
      <c r="X101" s="330">
        <v>189</v>
      </c>
      <c r="Y101" s="330">
        <v>53</v>
      </c>
      <c r="Z101" s="330">
        <v>13</v>
      </c>
      <c r="AA101" s="330">
        <v>0</v>
      </c>
      <c r="AB101" s="330">
        <v>33</v>
      </c>
      <c r="AC101" s="330">
        <v>31</v>
      </c>
      <c r="AD101" s="334">
        <v>5397</v>
      </c>
      <c r="AE101" s="334">
        <v>8</v>
      </c>
      <c r="AF101" s="334">
        <v>6</v>
      </c>
      <c r="AG101" s="334">
        <v>14</v>
      </c>
    </row>
    <row r="102" spans="1:33" x14ac:dyDescent="0.25">
      <c r="A102" s="329" t="s">
        <v>260</v>
      </c>
      <c r="B102" s="335" t="s">
        <v>261</v>
      </c>
      <c r="C102" s="331">
        <v>2158</v>
      </c>
      <c r="D102" s="331">
        <v>9</v>
      </c>
      <c r="E102" s="331">
        <v>159</v>
      </c>
      <c r="F102" s="331">
        <v>185</v>
      </c>
      <c r="G102" s="331">
        <v>185</v>
      </c>
      <c r="H102" s="331">
        <v>2696</v>
      </c>
      <c r="I102" s="330">
        <v>2511</v>
      </c>
      <c r="J102" s="330">
        <v>32</v>
      </c>
      <c r="K102" s="332">
        <v>97.13</v>
      </c>
      <c r="L102" s="332">
        <v>96.36</v>
      </c>
      <c r="M102" s="332">
        <v>4.7300000000000004</v>
      </c>
      <c r="N102" s="332">
        <v>98.95</v>
      </c>
      <c r="O102" s="333">
        <v>1949</v>
      </c>
      <c r="P102" s="330">
        <v>85.77</v>
      </c>
      <c r="Q102" s="330">
        <v>80.150000000000006</v>
      </c>
      <c r="R102" s="330">
        <v>27.52</v>
      </c>
      <c r="S102" s="330">
        <v>112.24</v>
      </c>
      <c r="T102" s="330">
        <v>341</v>
      </c>
      <c r="U102" s="330">
        <v>106.49</v>
      </c>
      <c r="V102" s="330">
        <v>181</v>
      </c>
      <c r="W102" s="330">
        <v>0</v>
      </c>
      <c r="X102" s="330">
        <v>0</v>
      </c>
      <c r="Y102" s="330">
        <v>0</v>
      </c>
      <c r="Z102" s="330">
        <v>6</v>
      </c>
      <c r="AA102" s="330">
        <v>7</v>
      </c>
      <c r="AB102" s="330">
        <v>0</v>
      </c>
      <c r="AC102" s="330">
        <v>1</v>
      </c>
      <c r="AD102" s="334">
        <v>2121</v>
      </c>
      <c r="AE102" s="334">
        <v>25</v>
      </c>
      <c r="AF102" s="334">
        <v>5</v>
      </c>
      <c r="AG102" s="334">
        <v>30</v>
      </c>
    </row>
    <row r="103" spans="1:33" x14ac:dyDescent="0.25">
      <c r="A103" s="329" t="s">
        <v>262</v>
      </c>
      <c r="B103" s="335" t="s">
        <v>263</v>
      </c>
      <c r="C103" s="331">
        <v>4486</v>
      </c>
      <c r="D103" s="331">
        <v>5</v>
      </c>
      <c r="E103" s="331">
        <v>99</v>
      </c>
      <c r="F103" s="331">
        <v>958</v>
      </c>
      <c r="G103" s="331">
        <v>370</v>
      </c>
      <c r="H103" s="331">
        <v>5918</v>
      </c>
      <c r="I103" s="330">
        <v>5548</v>
      </c>
      <c r="J103" s="330">
        <v>1</v>
      </c>
      <c r="K103" s="332">
        <v>127.68</v>
      </c>
      <c r="L103" s="332">
        <v>130.88</v>
      </c>
      <c r="M103" s="332">
        <v>7.63</v>
      </c>
      <c r="N103" s="332">
        <v>131.52000000000001</v>
      </c>
      <c r="O103" s="333">
        <v>3770</v>
      </c>
      <c r="P103" s="330">
        <v>114.21</v>
      </c>
      <c r="Q103" s="330">
        <v>109.12</v>
      </c>
      <c r="R103" s="330">
        <v>22.06</v>
      </c>
      <c r="S103" s="330">
        <v>135.96</v>
      </c>
      <c r="T103" s="330">
        <v>794</v>
      </c>
      <c r="U103" s="330">
        <v>197.42</v>
      </c>
      <c r="V103" s="330">
        <v>484</v>
      </c>
      <c r="W103" s="330">
        <v>153.68</v>
      </c>
      <c r="X103" s="330">
        <v>9</v>
      </c>
      <c r="Y103" s="330">
        <v>41</v>
      </c>
      <c r="Z103" s="330">
        <v>4</v>
      </c>
      <c r="AA103" s="330">
        <v>2</v>
      </c>
      <c r="AB103" s="330">
        <v>0</v>
      </c>
      <c r="AC103" s="330">
        <v>12</v>
      </c>
      <c r="AD103" s="334">
        <v>4366</v>
      </c>
      <c r="AE103" s="334">
        <v>13</v>
      </c>
      <c r="AF103" s="334">
        <v>34</v>
      </c>
      <c r="AG103" s="334">
        <v>47</v>
      </c>
    </row>
    <row r="104" spans="1:33" x14ac:dyDescent="0.25">
      <c r="A104" s="329" t="s">
        <v>264</v>
      </c>
      <c r="B104" s="335" t="s">
        <v>265</v>
      </c>
      <c r="C104" s="331">
        <v>6825</v>
      </c>
      <c r="D104" s="331">
        <v>318</v>
      </c>
      <c r="E104" s="331">
        <v>592</v>
      </c>
      <c r="F104" s="331">
        <v>700</v>
      </c>
      <c r="G104" s="331">
        <v>1186</v>
      </c>
      <c r="H104" s="331">
        <v>9621</v>
      </c>
      <c r="I104" s="330">
        <v>8435</v>
      </c>
      <c r="J104" s="330">
        <v>30</v>
      </c>
      <c r="K104" s="332">
        <v>125.36</v>
      </c>
      <c r="L104" s="332">
        <v>122.57</v>
      </c>
      <c r="M104" s="332">
        <v>12.71</v>
      </c>
      <c r="N104" s="332">
        <v>134.07</v>
      </c>
      <c r="O104" s="333">
        <v>5827</v>
      </c>
      <c r="P104" s="330">
        <v>112.68</v>
      </c>
      <c r="Q104" s="330">
        <v>105.12</v>
      </c>
      <c r="R104" s="330">
        <v>62.75</v>
      </c>
      <c r="S104" s="330">
        <v>170.37</v>
      </c>
      <c r="T104" s="330">
        <v>1201</v>
      </c>
      <c r="U104" s="330">
        <v>192.87</v>
      </c>
      <c r="V104" s="330">
        <v>588</v>
      </c>
      <c r="W104" s="330">
        <v>0</v>
      </c>
      <c r="X104" s="330">
        <v>0</v>
      </c>
      <c r="Y104" s="330">
        <v>0</v>
      </c>
      <c r="Z104" s="330">
        <v>5</v>
      </c>
      <c r="AA104" s="330">
        <v>23</v>
      </c>
      <c r="AB104" s="330">
        <v>100</v>
      </c>
      <c r="AC104" s="330">
        <v>88</v>
      </c>
      <c r="AD104" s="334">
        <v>6536</v>
      </c>
      <c r="AE104" s="334">
        <v>41</v>
      </c>
      <c r="AF104" s="334">
        <v>26</v>
      </c>
      <c r="AG104" s="334">
        <v>67</v>
      </c>
    </row>
    <row r="105" spans="1:33" x14ac:dyDescent="0.25">
      <c r="A105" s="329" t="s">
        <v>266</v>
      </c>
      <c r="B105" s="335" t="s">
        <v>267</v>
      </c>
      <c r="C105" s="331">
        <v>1376</v>
      </c>
      <c r="D105" s="331">
        <v>0</v>
      </c>
      <c r="E105" s="331">
        <v>188</v>
      </c>
      <c r="F105" s="331">
        <v>188</v>
      </c>
      <c r="G105" s="331">
        <v>245</v>
      </c>
      <c r="H105" s="331">
        <v>1997</v>
      </c>
      <c r="I105" s="330">
        <v>1752</v>
      </c>
      <c r="J105" s="330">
        <v>3</v>
      </c>
      <c r="K105" s="332">
        <v>121.79</v>
      </c>
      <c r="L105" s="332">
        <v>121.36</v>
      </c>
      <c r="M105" s="332">
        <v>4.93</v>
      </c>
      <c r="N105" s="332">
        <v>126.04</v>
      </c>
      <c r="O105" s="333">
        <v>1231</v>
      </c>
      <c r="P105" s="330">
        <v>97.56</v>
      </c>
      <c r="Q105" s="330">
        <v>93.33</v>
      </c>
      <c r="R105" s="330">
        <v>56.48</v>
      </c>
      <c r="S105" s="330">
        <v>153.65</v>
      </c>
      <c r="T105" s="330">
        <v>286</v>
      </c>
      <c r="U105" s="330">
        <v>172.32</v>
      </c>
      <c r="V105" s="330">
        <v>127</v>
      </c>
      <c r="W105" s="330">
        <v>0</v>
      </c>
      <c r="X105" s="330">
        <v>0</v>
      </c>
      <c r="Y105" s="330">
        <v>0</v>
      </c>
      <c r="Z105" s="330">
        <v>0</v>
      </c>
      <c r="AA105" s="330">
        <v>0</v>
      </c>
      <c r="AB105" s="330">
        <v>3</v>
      </c>
      <c r="AC105" s="330">
        <v>6</v>
      </c>
      <c r="AD105" s="334">
        <v>1375</v>
      </c>
      <c r="AE105" s="334">
        <v>2</v>
      </c>
      <c r="AF105" s="334">
        <v>2</v>
      </c>
      <c r="AG105" s="334">
        <v>4</v>
      </c>
    </row>
    <row r="106" spans="1:33" x14ac:dyDescent="0.25">
      <c r="A106" s="329" t="s">
        <v>268</v>
      </c>
      <c r="B106" s="335" t="s">
        <v>269</v>
      </c>
      <c r="C106" s="331">
        <v>2099</v>
      </c>
      <c r="D106" s="331">
        <v>0</v>
      </c>
      <c r="E106" s="331">
        <v>123</v>
      </c>
      <c r="F106" s="331">
        <v>382</v>
      </c>
      <c r="G106" s="331">
        <v>340</v>
      </c>
      <c r="H106" s="331">
        <v>2944</v>
      </c>
      <c r="I106" s="330">
        <v>2604</v>
      </c>
      <c r="J106" s="330">
        <v>33</v>
      </c>
      <c r="K106" s="332">
        <v>119.78</v>
      </c>
      <c r="L106" s="332">
        <v>116.58</v>
      </c>
      <c r="M106" s="332">
        <v>8.3699999999999992</v>
      </c>
      <c r="N106" s="332">
        <v>124.31</v>
      </c>
      <c r="O106" s="333">
        <v>1883</v>
      </c>
      <c r="P106" s="330">
        <v>100.52</v>
      </c>
      <c r="Q106" s="330">
        <v>98.91</v>
      </c>
      <c r="R106" s="330">
        <v>21.51</v>
      </c>
      <c r="S106" s="330">
        <v>121.96</v>
      </c>
      <c r="T106" s="330">
        <v>308</v>
      </c>
      <c r="U106" s="330">
        <v>187.5</v>
      </c>
      <c r="V106" s="330">
        <v>199</v>
      </c>
      <c r="W106" s="330">
        <v>214.14</v>
      </c>
      <c r="X106" s="330">
        <v>47</v>
      </c>
      <c r="Y106" s="330">
        <v>0</v>
      </c>
      <c r="Z106" s="330">
        <v>3</v>
      </c>
      <c r="AA106" s="330">
        <v>0</v>
      </c>
      <c r="AB106" s="330">
        <v>32</v>
      </c>
      <c r="AC106" s="330">
        <v>16</v>
      </c>
      <c r="AD106" s="334">
        <v>2099</v>
      </c>
      <c r="AE106" s="334">
        <v>1</v>
      </c>
      <c r="AF106" s="334">
        <v>7</v>
      </c>
      <c r="AG106" s="334">
        <v>8</v>
      </c>
    </row>
    <row r="107" spans="1:33" x14ac:dyDescent="0.25">
      <c r="A107" s="329" t="s">
        <v>270</v>
      </c>
      <c r="B107" s="335" t="s">
        <v>271</v>
      </c>
      <c r="C107" s="331">
        <v>4579</v>
      </c>
      <c r="D107" s="331">
        <v>0</v>
      </c>
      <c r="E107" s="331">
        <v>66</v>
      </c>
      <c r="F107" s="331">
        <v>1903</v>
      </c>
      <c r="G107" s="331">
        <v>164</v>
      </c>
      <c r="H107" s="331">
        <v>6712</v>
      </c>
      <c r="I107" s="330">
        <v>6548</v>
      </c>
      <c r="J107" s="330">
        <v>0</v>
      </c>
      <c r="K107" s="332">
        <v>89.71</v>
      </c>
      <c r="L107" s="332">
        <v>89.41</v>
      </c>
      <c r="M107" s="332">
        <v>2.96</v>
      </c>
      <c r="N107" s="332">
        <v>91.4</v>
      </c>
      <c r="O107" s="333">
        <v>4397</v>
      </c>
      <c r="P107" s="330">
        <v>80.38</v>
      </c>
      <c r="Q107" s="330">
        <v>80.08</v>
      </c>
      <c r="R107" s="330">
        <v>7.18</v>
      </c>
      <c r="S107" s="330">
        <v>87.23</v>
      </c>
      <c r="T107" s="330">
        <v>1962</v>
      </c>
      <c r="U107" s="330">
        <v>94.46</v>
      </c>
      <c r="V107" s="330">
        <v>130</v>
      </c>
      <c r="W107" s="330">
        <v>0</v>
      </c>
      <c r="X107" s="330">
        <v>0</v>
      </c>
      <c r="Y107" s="330">
        <v>0</v>
      </c>
      <c r="Z107" s="330">
        <v>23</v>
      </c>
      <c r="AA107" s="330">
        <v>0</v>
      </c>
      <c r="AB107" s="330">
        <v>6</v>
      </c>
      <c r="AC107" s="330">
        <v>2</v>
      </c>
      <c r="AD107" s="334">
        <v>4578</v>
      </c>
      <c r="AE107" s="334">
        <v>25</v>
      </c>
      <c r="AF107" s="334">
        <v>12</v>
      </c>
      <c r="AG107" s="334">
        <v>37</v>
      </c>
    </row>
    <row r="108" spans="1:33" x14ac:dyDescent="0.25">
      <c r="A108" s="329" t="s">
        <v>272</v>
      </c>
      <c r="B108" s="335" t="s">
        <v>273</v>
      </c>
      <c r="C108" s="331">
        <v>3396</v>
      </c>
      <c r="D108" s="331">
        <v>0</v>
      </c>
      <c r="E108" s="331">
        <v>570</v>
      </c>
      <c r="F108" s="331">
        <v>381</v>
      </c>
      <c r="G108" s="331">
        <v>415</v>
      </c>
      <c r="H108" s="331">
        <v>4762</v>
      </c>
      <c r="I108" s="330">
        <v>4347</v>
      </c>
      <c r="J108" s="330">
        <v>1</v>
      </c>
      <c r="K108" s="332">
        <v>88.62</v>
      </c>
      <c r="L108" s="332">
        <v>86.97</v>
      </c>
      <c r="M108" s="332">
        <v>6.94</v>
      </c>
      <c r="N108" s="332">
        <v>93.8</v>
      </c>
      <c r="O108" s="333">
        <v>3151</v>
      </c>
      <c r="P108" s="330">
        <v>92.95</v>
      </c>
      <c r="Q108" s="330">
        <v>52.5</v>
      </c>
      <c r="R108" s="330">
        <v>52.25</v>
      </c>
      <c r="S108" s="330">
        <v>137.41999999999999</v>
      </c>
      <c r="T108" s="330">
        <v>423</v>
      </c>
      <c r="U108" s="330">
        <v>122.24</v>
      </c>
      <c r="V108" s="330">
        <v>189</v>
      </c>
      <c r="W108" s="330">
        <v>120.67</v>
      </c>
      <c r="X108" s="330">
        <v>37</v>
      </c>
      <c r="Y108" s="330">
        <v>0</v>
      </c>
      <c r="Z108" s="330">
        <v>0</v>
      </c>
      <c r="AA108" s="330">
        <v>1</v>
      </c>
      <c r="AB108" s="330">
        <v>23</v>
      </c>
      <c r="AC108" s="330">
        <v>9</v>
      </c>
      <c r="AD108" s="334">
        <v>3374</v>
      </c>
      <c r="AE108" s="334">
        <v>7</v>
      </c>
      <c r="AF108" s="334">
        <v>58</v>
      </c>
      <c r="AG108" s="334">
        <v>65</v>
      </c>
    </row>
    <row r="109" spans="1:33" x14ac:dyDescent="0.25">
      <c r="A109" s="329" t="s">
        <v>274</v>
      </c>
      <c r="B109" s="335" t="s">
        <v>275</v>
      </c>
      <c r="C109" s="331">
        <v>1376</v>
      </c>
      <c r="D109" s="331">
        <v>0</v>
      </c>
      <c r="E109" s="331">
        <v>179</v>
      </c>
      <c r="F109" s="331">
        <v>151</v>
      </c>
      <c r="G109" s="331">
        <v>276</v>
      </c>
      <c r="H109" s="331">
        <v>1982</v>
      </c>
      <c r="I109" s="330">
        <v>1706</v>
      </c>
      <c r="J109" s="330">
        <v>7</v>
      </c>
      <c r="K109" s="332">
        <v>108.15</v>
      </c>
      <c r="L109" s="332">
        <v>107.16</v>
      </c>
      <c r="M109" s="332">
        <v>7.83</v>
      </c>
      <c r="N109" s="332">
        <v>113.79</v>
      </c>
      <c r="O109" s="333">
        <v>1034</v>
      </c>
      <c r="P109" s="330">
        <v>94.55</v>
      </c>
      <c r="Q109" s="330">
        <v>91.01</v>
      </c>
      <c r="R109" s="330">
        <v>41.09</v>
      </c>
      <c r="S109" s="330">
        <v>132.55000000000001</v>
      </c>
      <c r="T109" s="330">
        <v>199</v>
      </c>
      <c r="U109" s="330">
        <v>144.44</v>
      </c>
      <c r="V109" s="330">
        <v>237</v>
      </c>
      <c r="W109" s="330">
        <v>0</v>
      </c>
      <c r="X109" s="330">
        <v>0</v>
      </c>
      <c r="Y109" s="330">
        <v>256</v>
      </c>
      <c r="Z109" s="330">
        <v>0</v>
      </c>
      <c r="AA109" s="330">
        <v>1</v>
      </c>
      <c r="AB109" s="330">
        <v>22</v>
      </c>
      <c r="AC109" s="330">
        <v>7</v>
      </c>
      <c r="AD109" s="334">
        <v>1364</v>
      </c>
      <c r="AE109" s="334">
        <v>9</v>
      </c>
      <c r="AF109" s="334">
        <v>2</v>
      </c>
      <c r="AG109" s="334">
        <v>11</v>
      </c>
    </row>
    <row r="110" spans="1:33" x14ac:dyDescent="0.25">
      <c r="A110" s="329" t="s">
        <v>276</v>
      </c>
      <c r="B110" s="335" t="s">
        <v>277</v>
      </c>
      <c r="C110" s="331">
        <v>4767</v>
      </c>
      <c r="D110" s="331">
        <v>0</v>
      </c>
      <c r="E110" s="331">
        <v>207</v>
      </c>
      <c r="F110" s="331">
        <v>680</v>
      </c>
      <c r="G110" s="331">
        <v>162</v>
      </c>
      <c r="H110" s="331">
        <v>5816</v>
      </c>
      <c r="I110" s="330">
        <v>5654</v>
      </c>
      <c r="J110" s="330">
        <v>17</v>
      </c>
      <c r="K110" s="332">
        <v>91.06</v>
      </c>
      <c r="L110" s="332">
        <v>90.66</v>
      </c>
      <c r="M110" s="332">
        <v>4.1100000000000003</v>
      </c>
      <c r="N110" s="332">
        <v>92.36</v>
      </c>
      <c r="O110" s="333">
        <v>4422</v>
      </c>
      <c r="P110" s="330">
        <v>89.05</v>
      </c>
      <c r="Q110" s="330">
        <v>84.58</v>
      </c>
      <c r="R110" s="330">
        <v>37.35</v>
      </c>
      <c r="S110" s="330">
        <v>126.18</v>
      </c>
      <c r="T110" s="330">
        <v>838</v>
      </c>
      <c r="U110" s="330">
        <v>113.3</v>
      </c>
      <c r="V110" s="330">
        <v>329</v>
      </c>
      <c r="W110" s="330">
        <v>0</v>
      </c>
      <c r="X110" s="330">
        <v>0</v>
      </c>
      <c r="Y110" s="330">
        <v>0</v>
      </c>
      <c r="Z110" s="330">
        <v>32</v>
      </c>
      <c r="AA110" s="330">
        <v>0</v>
      </c>
      <c r="AB110" s="330">
        <v>8</v>
      </c>
      <c r="AC110" s="330">
        <v>1</v>
      </c>
      <c r="AD110" s="334">
        <v>4764</v>
      </c>
      <c r="AE110" s="334">
        <v>52</v>
      </c>
      <c r="AF110" s="334">
        <v>29</v>
      </c>
      <c r="AG110" s="334">
        <v>81</v>
      </c>
    </row>
    <row r="111" spans="1:33" x14ac:dyDescent="0.25">
      <c r="A111" s="329" t="s">
        <v>278</v>
      </c>
      <c r="B111" s="335" t="s">
        <v>279</v>
      </c>
      <c r="C111" s="331">
        <v>1526</v>
      </c>
      <c r="D111" s="331">
        <v>0</v>
      </c>
      <c r="E111" s="331">
        <v>111</v>
      </c>
      <c r="F111" s="331">
        <v>293</v>
      </c>
      <c r="G111" s="331">
        <v>235</v>
      </c>
      <c r="H111" s="331">
        <v>2165</v>
      </c>
      <c r="I111" s="330">
        <v>1930</v>
      </c>
      <c r="J111" s="330">
        <v>17</v>
      </c>
      <c r="K111" s="332">
        <v>94.85</v>
      </c>
      <c r="L111" s="332">
        <v>94</v>
      </c>
      <c r="M111" s="332">
        <v>6.64</v>
      </c>
      <c r="N111" s="332">
        <v>99.69</v>
      </c>
      <c r="O111" s="333">
        <v>1222</v>
      </c>
      <c r="P111" s="330">
        <v>97.57</v>
      </c>
      <c r="Q111" s="330">
        <v>85</v>
      </c>
      <c r="R111" s="330">
        <v>38.82</v>
      </c>
      <c r="S111" s="330">
        <v>133.11000000000001</v>
      </c>
      <c r="T111" s="330">
        <v>366</v>
      </c>
      <c r="U111" s="330">
        <v>139.61000000000001</v>
      </c>
      <c r="V111" s="330">
        <v>160</v>
      </c>
      <c r="W111" s="330">
        <v>0</v>
      </c>
      <c r="X111" s="330">
        <v>0</v>
      </c>
      <c r="Y111" s="330">
        <v>0</v>
      </c>
      <c r="Z111" s="330">
        <v>1</v>
      </c>
      <c r="AA111" s="330">
        <v>0</v>
      </c>
      <c r="AB111" s="330">
        <v>26</v>
      </c>
      <c r="AC111" s="330">
        <v>4</v>
      </c>
      <c r="AD111" s="334">
        <v>1394</v>
      </c>
      <c r="AE111" s="334">
        <v>7</v>
      </c>
      <c r="AF111" s="334">
        <v>41</v>
      </c>
      <c r="AG111" s="334">
        <v>48</v>
      </c>
    </row>
    <row r="112" spans="1:33" x14ac:dyDescent="0.25">
      <c r="A112" s="329" t="s">
        <v>280</v>
      </c>
      <c r="B112" s="335" t="s">
        <v>281</v>
      </c>
      <c r="C112" s="331">
        <v>4152</v>
      </c>
      <c r="D112" s="331">
        <v>16</v>
      </c>
      <c r="E112" s="331">
        <v>74</v>
      </c>
      <c r="F112" s="331">
        <v>787</v>
      </c>
      <c r="G112" s="331">
        <v>184</v>
      </c>
      <c r="H112" s="331">
        <v>5213</v>
      </c>
      <c r="I112" s="330">
        <v>5029</v>
      </c>
      <c r="J112" s="330">
        <v>8</v>
      </c>
      <c r="K112" s="332">
        <v>95.33</v>
      </c>
      <c r="L112" s="332">
        <v>92.09</v>
      </c>
      <c r="M112" s="332">
        <v>1.89</v>
      </c>
      <c r="N112" s="332">
        <v>96.95</v>
      </c>
      <c r="O112" s="333">
        <v>3375</v>
      </c>
      <c r="P112" s="330">
        <v>93.2</v>
      </c>
      <c r="Q112" s="330">
        <v>79.989999999999995</v>
      </c>
      <c r="R112" s="330">
        <v>24.64</v>
      </c>
      <c r="S112" s="330">
        <v>117.74</v>
      </c>
      <c r="T112" s="330">
        <v>771</v>
      </c>
      <c r="U112" s="330">
        <v>109.32</v>
      </c>
      <c r="V112" s="330">
        <v>367</v>
      </c>
      <c r="W112" s="330">
        <v>203.72</v>
      </c>
      <c r="X112" s="330">
        <v>68</v>
      </c>
      <c r="Y112" s="330">
        <v>32</v>
      </c>
      <c r="Z112" s="330">
        <v>17</v>
      </c>
      <c r="AA112" s="330">
        <v>0</v>
      </c>
      <c r="AB112" s="330">
        <v>9</v>
      </c>
      <c r="AC112" s="330">
        <v>4</v>
      </c>
      <c r="AD112" s="334">
        <v>3725</v>
      </c>
      <c r="AE112" s="334">
        <v>5</v>
      </c>
      <c r="AF112" s="334">
        <v>8</v>
      </c>
      <c r="AG112" s="334">
        <v>13</v>
      </c>
    </row>
    <row r="113" spans="1:33" x14ac:dyDescent="0.25">
      <c r="A113" s="329" t="s">
        <v>282</v>
      </c>
      <c r="B113" s="335" t="s">
        <v>283</v>
      </c>
      <c r="C113" s="331">
        <v>2009</v>
      </c>
      <c r="D113" s="331">
        <v>2</v>
      </c>
      <c r="E113" s="331">
        <v>130</v>
      </c>
      <c r="F113" s="331">
        <v>543</v>
      </c>
      <c r="G113" s="331">
        <v>62</v>
      </c>
      <c r="H113" s="331">
        <v>2746</v>
      </c>
      <c r="I113" s="330">
        <v>2684</v>
      </c>
      <c r="J113" s="330">
        <v>0</v>
      </c>
      <c r="K113" s="332">
        <v>87.85</v>
      </c>
      <c r="L113" s="332">
        <v>87.68</v>
      </c>
      <c r="M113" s="332">
        <v>3.31</v>
      </c>
      <c r="N113" s="332">
        <v>90.87</v>
      </c>
      <c r="O113" s="333">
        <v>1748</v>
      </c>
      <c r="P113" s="330">
        <v>91.01</v>
      </c>
      <c r="Q113" s="330">
        <v>80.150000000000006</v>
      </c>
      <c r="R113" s="330">
        <v>23.41</v>
      </c>
      <c r="S113" s="330">
        <v>114.35</v>
      </c>
      <c r="T113" s="330">
        <v>638</v>
      </c>
      <c r="U113" s="330">
        <v>108.28</v>
      </c>
      <c r="V113" s="330">
        <v>251</v>
      </c>
      <c r="W113" s="330">
        <v>0</v>
      </c>
      <c r="X113" s="330">
        <v>0</v>
      </c>
      <c r="Y113" s="330">
        <v>0</v>
      </c>
      <c r="Z113" s="330">
        <v>1</v>
      </c>
      <c r="AA113" s="330">
        <v>0</v>
      </c>
      <c r="AB113" s="330">
        <v>3</v>
      </c>
      <c r="AC113" s="330">
        <v>4</v>
      </c>
      <c r="AD113" s="334">
        <v>2009</v>
      </c>
      <c r="AE113" s="334">
        <v>11</v>
      </c>
      <c r="AF113" s="334">
        <v>1</v>
      </c>
      <c r="AG113" s="334">
        <v>12</v>
      </c>
    </row>
    <row r="114" spans="1:33" x14ac:dyDescent="0.25">
      <c r="A114" s="329" t="s">
        <v>284</v>
      </c>
      <c r="B114" s="335" t="s">
        <v>285</v>
      </c>
      <c r="C114" s="331">
        <v>3880</v>
      </c>
      <c r="D114" s="331">
        <v>48</v>
      </c>
      <c r="E114" s="331">
        <v>235</v>
      </c>
      <c r="F114" s="331">
        <v>984</v>
      </c>
      <c r="G114" s="331">
        <v>230</v>
      </c>
      <c r="H114" s="331">
        <v>5377</v>
      </c>
      <c r="I114" s="330">
        <v>5147</v>
      </c>
      <c r="J114" s="330">
        <v>2</v>
      </c>
      <c r="K114" s="332">
        <v>79.150000000000006</v>
      </c>
      <c r="L114" s="332">
        <v>78.03</v>
      </c>
      <c r="M114" s="332">
        <v>7.39</v>
      </c>
      <c r="N114" s="332">
        <v>83.47</v>
      </c>
      <c r="O114" s="333">
        <v>3090</v>
      </c>
      <c r="P114" s="330">
        <v>89.74</v>
      </c>
      <c r="Q114" s="330">
        <v>78.73</v>
      </c>
      <c r="R114" s="330">
        <v>41.24</v>
      </c>
      <c r="S114" s="330">
        <v>128.87</v>
      </c>
      <c r="T114" s="330">
        <v>1015</v>
      </c>
      <c r="U114" s="330">
        <v>94.36</v>
      </c>
      <c r="V114" s="330">
        <v>821</v>
      </c>
      <c r="W114" s="330">
        <v>147.99</v>
      </c>
      <c r="X114" s="330">
        <v>191</v>
      </c>
      <c r="Y114" s="330">
        <v>5</v>
      </c>
      <c r="Z114" s="330">
        <v>4</v>
      </c>
      <c r="AA114" s="330">
        <v>0</v>
      </c>
      <c r="AB114" s="330">
        <v>13</v>
      </c>
      <c r="AC114" s="330">
        <v>19</v>
      </c>
      <c r="AD114" s="334">
        <v>3701</v>
      </c>
      <c r="AE114" s="334">
        <v>45</v>
      </c>
      <c r="AF114" s="334">
        <v>6</v>
      </c>
      <c r="AG114" s="334">
        <v>51</v>
      </c>
    </row>
    <row r="115" spans="1:33" x14ac:dyDescent="0.25">
      <c r="A115" s="329" t="s">
        <v>286</v>
      </c>
      <c r="B115" s="335" t="s">
        <v>287</v>
      </c>
      <c r="C115" s="331">
        <v>3736</v>
      </c>
      <c r="D115" s="331">
        <v>0</v>
      </c>
      <c r="E115" s="331">
        <v>164</v>
      </c>
      <c r="F115" s="331">
        <v>1189</v>
      </c>
      <c r="G115" s="331">
        <v>186</v>
      </c>
      <c r="H115" s="331">
        <v>5275</v>
      </c>
      <c r="I115" s="330">
        <v>5089</v>
      </c>
      <c r="J115" s="330">
        <v>77</v>
      </c>
      <c r="K115" s="332">
        <v>83.89</v>
      </c>
      <c r="L115" s="332">
        <v>82.68</v>
      </c>
      <c r="M115" s="332">
        <v>4.8899999999999997</v>
      </c>
      <c r="N115" s="332">
        <v>85.72</v>
      </c>
      <c r="O115" s="333">
        <v>3604</v>
      </c>
      <c r="P115" s="330">
        <v>82.99</v>
      </c>
      <c r="Q115" s="330">
        <v>71.72</v>
      </c>
      <c r="R115" s="330">
        <v>20.53</v>
      </c>
      <c r="S115" s="330">
        <v>103.28</v>
      </c>
      <c r="T115" s="330">
        <v>1282</v>
      </c>
      <c r="U115" s="330">
        <v>108.4</v>
      </c>
      <c r="V115" s="330">
        <v>115</v>
      </c>
      <c r="W115" s="330">
        <v>178.44</v>
      </c>
      <c r="X115" s="330">
        <v>6</v>
      </c>
      <c r="Y115" s="330">
        <v>1</v>
      </c>
      <c r="Z115" s="330">
        <v>34</v>
      </c>
      <c r="AA115" s="330">
        <v>0</v>
      </c>
      <c r="AB115" s="330">
        <v>5</v>
      </c>
      <c r="AC115" s="330">
        <v>5</v>
      </c>
      <c r="AD115" s="334">
        <v>3736</v>
      </c>
      <c r="AE115" s="334">
        <v>34</v>
      </c>
      <c r="AF115" s="334">
        <v>5</v>
      </c>
      <c r="AG115" s="334">
        <v>39</v>
      </c>
    </row>
    <row r="116" spans="1:33" x14ac:dyDescent="0.25">
      <c r="A116" s="329" t="s">
        <v>288</v>
      </c>
      <c r="B116" s="335" t="s">
        <v>289</v>
      </c>
      <c r="C116" s="331">
        <v>6543</v>
      </c>
      <c r="D116" s="331">
        <v>10</v>
      </c>
      <c r="E116" s="331">
        <v>536</v>
      </c>
      <c r="F116" s="331">
        <v>946</v>
      </c>
      <c r="G116" s="331">
        <v>489</v>
      </c>
      <c r="H116" s="331">
        <v>8524</v>
      </c>
      <c r="I116" s="330">
        <v>8035</v>
      </c>
      <c r="J116" s="330">
        <v>146</v>
      </c>
      <c r="K116" s="332">
        <v>87.15</v>
      </c>
      <c r="L116" s="332">
        <v>85.55</v>
      </c>
      <c r="M116" s="332">
        <v>5.88</v>
      </c>
      <c r="N116" s="332">
        <v>89.8</v>
      </c>
      <c r="O116" s="333">
        <v>6294</v>
      </c>
      <c r="P116" s="330">
        <v>87.1</v>
      </c>
      <c r="Q116" s="330">
        <v>84.1</v>
      </c>
      <c r="R116" s="330">
        <v>43.52</v>
      </c>
      <c r="S116" s="330">
        <v>129.44</v>
      </c>
      <c r="T116" s="330">
        <v>1142</v>
      </c>
      <c r="U116" s="330">
        <v>115.64</v>
      </c>
      <c r="V116" s="330">
        <v>134</v>
      </c>
      <c r="W116" s="330">
        <v>183.57</v>
      </c>
      <c r="X116" s="330">
        <v>31</v>
      </c>
      <c r="Y116" s="330">
        <v>0</v>
      </c>
      <c r="Z116" s="330">
        <v>58</v>
      </c>
      <c r="AA116" s="330">
        <v>0</v>
      </c>
      <c r="AB116" s="330">
        <v>18</v>
      </c>
      <c r="AC116" s="330">
        <v>14</v>
      </c>
      <c r="AD116" s="334">
        <v>6467</v>
      </c>
      <c r="AE116" s="334">
        <v>23</v>
      </c>
      <c r="AF116" s="334">
        <v>4</v>
      </c>
      <c r="AG116" s="334">
        <v>27</v>
      </c>
    </row>
    <row r="117" spans="1:33" x14ac:dyDescent="0.25">
      <c r="A117" s="329" t="s">
        <v>290</v>
      </c>
      <c r="B117" s="335" t="s">
        <v>291</v>
      </c>
      <c r="C117" s="331">
        <v>2505</v>
      </c>
      <c r="D117" s="331">
        <v>13</v>
      </c>
      <c r="E117" s="331">
        <v>69</v>
      </c>
      <c r="F117" s="331">
        <v>389</v>
      </c>
      <c r="G117" s="331">
        <v>398</v>
      </c>
      <c r="H117" s="331">
        <v>3374</v>
      </c>
      <c r="I117" s="330">
        <v>2976</v>
      </c>
      <c r="J117" s="330">
        <v>0</v>
      </c>
      <c r="K117" s="332">
        <v>99.56</v>
      </c>
      <c r="L117" s="332">
        <v>99.21</v>
      </c>
      <c r="M117" s="332">
        <v>10.65</v>
      </c>
      <c r="N117" s="332">
        <v>108.77</v>
      </c>
      <c r="O117" s="333">
        <v>2016</v>
      </c>
      <c r="P117" s="330">
        <v>93.12</v>
      </c>
      <c r="Q117" s="330">
        <v>90.4</v>
      </c>
      <c r="R117" s="330">
        <v>37.6</v>
      </c>
      <c r="S117" s="330">
        <v>128.35</v>
      </c>
      <c r="T117" s="330">
        <v>270</v>
      </c>
      <c r="U117" s="330">
        <v>128</v>
      </c>
      <c r="V117" s="330">
        <v>260</v>
      </c>
      <c r="W117" s="330">
        <v>98.75</v>
      </c>
      <c r="X117" s="330">
        <v>12</v>
      </c>
      <c r="Y117" s="330">
        <v>0</v>
      </c>
      <c r="Z117" s="330">
        <v>0</v>
      </c>
      <c r="AA117" s="330">
        <v>1</v>
      </c>
      <c r="AB117" s="330">
        <v>3</v>
      </c>
      <c r="AC117" s="330">
        <v>6</v>
      </c>
      <c r="AD117" s="334">
        <v>2399</v>
      </c>
      <c r="AE117" s="334">
        <v>8</v>
      </c>
      <c r="AF117" s="334">
        <v>5</v>
      </c>
      <c r="AG117" s="334">
        <v>13</v>
      </c>
    </row>
    <row r="118" spans="1:33" x14ac:dyDescent="0.25">
      <c r="A118" s="329" t="s">
        <v>292</v>
      </c>
      <c r="B118" s="335" t="s">
        <v>293</v>
      </c>
      <c r="C118" s="331">
        <v>1406</v>
      </c>
      <c r="D118" s="331">
        <v>0</v>
      </c>
      <c r="E118" s="331">
        <v>75</v>
      </c>
      <c r="F118" s="331">
        <v>213</v>
      </c>
      <c r="G118" s="331">
        <v>263</v>
      </c>
      <c r="H118" s="331">
        <v>1957</v>
      </c>
      <c r="I118" s="330">
        <v>1694</v>
      </c>
      <c r="J118" s="330">
        <v>0</v>
      </c>
      <c r="K118" s="332">
        <v>107.96</v>
      </c>
      <c r="L118" s="332">
        <v>104.75</v>
      </c>
      <c r="M118" s="332">
        <v>5.85</v>
      </c>
      <c r="N118" s="332">
        <v>112.36</v>
      </c>
      <c r="O118" s="333">
        <v>737</v>
      </c>
      <c r="P118" s="330">
        <v>96.99</v>
      </c>
      <c r="Q118" s="330">
        <v>87.41</v>
      </c>
      <c r="R118" s="330">
        <v>55.43</v>
      </c>
      <c r="S118" s="330">
        <v>151.58000000000001</v>
      </c>
      <c r="T118" s="330">
        <v>67</v>
      </c>
      <c r="U118" s="330">
        <v>140.56</v>
      </c>
      <c r="V118" s="330">
        <v>268</v>
      </c>
      <c r="W118" s="330">
        <v>161.19999999999999</v>
      </c>
      <c r="X118" s="330">
        <v>57</v>
      </c>
      <c r="Y118" s="330">
        <v>0</v>
      </c>
      <c r="Z118" s="330">
        <v>0</v>
      </c>
      <c r="AA118" s="330">
        <v>1</v>
      </c>
      <c r="AB118" s="330">
        <v>18</v>
      </c>
      <c r="AC118" s="330">
        <v>4</v>
      </c>
      <c r="AD118" s="334">
        <v>1005</v>
      </c>
      <c r="AE118" s="334">
        <v>4</v>
      </c>
      <c r="AF118" s="334">
        <v>2</v>
      </c>
      <c r="AG118" s="334">
        <v>6</v>
      </c>
    </row>
    <row r="119" spans="1:33" x14ac:dyDescent="0.25">
      <c r="A119" s="329" t="s">
        <v>294</v>
      </c>
      <c r="B119" s="335" t="s">
        <v>295</v>
      </c>
      <c r="C119" s="331">
        <v>1408</v>
      </c>
      <c r="D119" s="331">
        <v>0</v>
      </c>
      <c r="E119" s="331">
        <v>253</v>
      </c>
      <c r="F119" s="331">
        <v>147</v>
      </c>
      <c r="G119" s="331">
        <v>91</v>
      </c>
      <c r="H119" s="331">
        <v>1899</v>
      </c>
      <c r="I119" s="330">
        <v>1808</v>
      </c>
      <c r="J119" s="330">
        <v>15</v>
      </c>
      <c r="K119" s="332">
        <v>88.13</v>
      </c>
      <c r="L119" s="332">
        <v>87.47</v>
      </c>
      <c r="M119" s="332">
        <v>5.35</v>
      </c>
      <c r="N119" s="332">
        <v>91.35</v>
      </c>
      <c r="O119" s="333">
        <v>1247</v>
      </c>
      <c r="P119" s="330">
        <v>96.9</v>
      </c>
      <c r="Q119" s="330">
        <v>85.35</v>
      </c>
      <c r="R119" s="330">
        <v>56.79</v>
      </c>
      <c r="S119" s="330">
        <v>152.06</v>
      </c>
      <c r="T119" s="330">
        <v>279</v>
      </c>
      <c r="U119" s="330">
        <v>99.13</v>
      </c>
      <c r="V119" s="330">
        <v>144</v>
      </c>
      <c r="W119" s="330">
        <v>0</v>
      </c>
      <c r="X119" s="330">
        <v>0</v>
      </c>
      <c r="Y119" s="330">
        <v>0</v>
      </c>
      <c r="Z119" s="330">
        <v>3</v>
      </c>
      <c r="AA119" s="330">
        <v>2</v>
      </c>
      <c r="AB119" s="330">
        <v>0</v>
      </c>
      <c r="AC119" s="330">
        <v>6</v>
      </c>
      <c r="AD119" s="334">
        <v>1408</v>
      </c>
      <c r="AE119" s="334">
        <v>4</v>
      </c>
      <c r="AF119" s="334">
        <v>7</v>
      </c>
      <c r="AG119" s="334">
        <v>11</v>
      </c>
    </row>
    <row r="120" spans="1:33" x14ac:dyDescent="0.25">
      <c r="A120" s="329" t="s">
        <v>296</v>
      </c>
      <c r="B120" s="335" t="s">
        <v>297</v>
      </c>
      <c r="C120" s="331">
        <v>12641</v>
      </c>
      <c r="D120" s="331">
        <v>156</v>
      </c>
      <c r="E120" s="331">
        <v>428</v>
      </c>
      <c r="F120" s="331">
        <v>949</v>
      </c>
      <c r="G120" s="331">
        <v>2285</v>
      </c>
      <c r="H120" s="331">
        <v>16459</v>
      </c>
      <c r="I120" s="330">
        <v>14174</v>
      </c>
      <c r="J120" s="330">
        <v>36</v>
      </c>
      <c r="K120" s="332">
        <v>118.07</v>
      </c>
      <c r="L120" s="332">
        <v>119.76</v>
      </c>
      <c r="M120" s="332">
        <v>12.12</v>
      </c>
      <c r="N120" s="332">
        <v>127.01</v>
      </c>
      <c r="O120" s="333">
        <v>10854</v>
      </c>
      <c r="P120" s="330">
        <v>112.89</v>
      </c>
      <c r="Q120" s="330">
        <v>110.72</v>
      </c>
      <c r="R120" s="330">
        <v>43.75</v>
      </c>
      <c r="S120" s="330">
        <v>151.34</v>
      </c>
      <c r="T120" s="330">
        <v>1197</v>
      </c>
      <c r="U120" s="330">
        <v>171</v>
      </c>
      <c r="V120" s="330">
        <v>1000</v>
      </c>
      <c r="W120" s="330">
        <v>0</v>
      </c>
      <c r="X120" s="330">
        <v>0</v>
      </c>
      <c r="Y120" s="330">
        <v>0</v>
      </c>
      <c r="Z120" s="330">
        <v>9</v>
      </c>
      <c r="AA120" s="330">
        <v>11</v>
      </c>
      <c r="AB120" s="330">
        <v>206</v>
      </c>
      <c r="AC120" s="330">
        <v>49</v>
      </c>
      <c r="AD120" s="334">
        <v>12328</v>
      </c>
      <c r="AE120" s="334">
        <v>52</v>
      </c>
      <c r="AF120" s="334">
        <v>52</v>
      </c>
      <c r="AG120" s="334">
        <v>104</v>
      </c>
    </row>
    <row r="121" spans="1:33" x14ac:dyDescent="0.25">
      <c r="A121" s="329" t="s">
        <v>298</v>
      </c>
      <c r="B121" s="335" t="s">
        <v>299</v>
      </c>
      <c r="C121" s="331">
        <v>1707</v>
      </c>
      <c r="D121" s="331">
        <v>11</v>
      </c>
      <c r="E121" s="331">
        <v>258</v>
      </c>
      <c r="F121" s="331">
        <v>235</v>
      </c>
      <c r="G121" s="331">
        <v>368</v>
      </c>
      <c r="H121" s="331">
        <v>2579</v>
      </c>
      <c r="I121" s="330">
        <v>2211</v>
      </c>
      <c r="J121" s="330">
        <v>0</v>
      </c>
      <c r="K121" s="332">
        <v>126.46</v>
      </c>
      <c r="L121" s="332">
        <v>125.3</v>
      </c>
      <c r="M121" s="332">
        <v>7.78</v>
      </c>
      <c r="N121" s="332">
        <v>132.88999999999999</v>
      </c>
      <c r="O121" s="333">
        <v>1364</v>
      </c>
      <c r="P121" s="330">
        <v>96.47</v>
      </c>
      <c r="Q121" s="330">
        <v>93.24</v>
      </c>
      <c r="R121" s="330">
        <v>66.47</v>
      </c>
      <c r="S121" s="330">
        <v>162.94</v>
      </c>
      <c r="T121" s="330">
        <v>202</v>
      </c>
      <c r="U121" s="330">
        <v>162.78</v>
      </c>
      <c r="V121" s="330">
        <v>207</v>
      </c>
      <c r="W121" s="330">
        <v>138.21</v>
      </c>
      <c r="X121" s="330">
        <v>8</v>
      </c>
      <c r="Y121" s="330">
        <v>0</v>
      </c>
      <c r="Z121" s="330">
        <v>0</v>
      </c>
      <c r="AA121" s="330">
        <v>0</v>
      </c>
      <c r="AB121" s="330">
        <v>9</v>
      </c>
      <c r="AC121" s="330">
        <v>6</v>
      </c>
      <c r="AD121" s="334">
        <v>1559</v>
      </c>
      <c r="AE121" s="334">
        <v>6</v>
      </c>
      <c r="AF121" s="334">
        <v>1</v>
      </c>
      <c r="AG121" s="334">
        <v>7</v>
      </c>
    </row>
    <row r="122" spans="1:33" x14ac:dyDescent="0.25">
      <c r="A122" s="329" t="s">
        <v>300</v>
      </c>
      <c r="B122" s="335" t="s">
        <v>301</v>
      </c>
      <c r="C122" s="331">
        <v>20195</v>
      </c>
      <c r="D122" s="331">
        <v>532</v>
      </c>
      <c r="E122" s="331">
        <v>1592</v>
      </c>
      <c r="F122" s="331">
        <v>1665</v>
      </c>
      <c r="G122" s="331">
        <v>2597</v>
      </c>
      <c r="H122" s="331">
        <v>26581</v>
      </c>
      <c r="I122" s="330">
        <v>23984</v>
      </c>
      <c r="J122" s="330">
        <v>14</v>
      </c>
      <c r="K122" s="332">
        <v>122.84</v>
      </c>
      <c r="L122" s="332">
        <v>124.57</v>
      </c>
      <c r="M122" s="332">
        <v>11.85</v>
      </c>
      <c r="N122" s="332">
        <v>131.82</v>
      </c>
      <c r="O122" s="333">
        <v>17331</v>
      </c>
      <c r="P122" s="330">
        <v>115.2</v>
      </c>
      <c r="Q122" s="330">
        <v>110.73</v>
      </c>
      <c r="R122" s="330">
        <v>46.15</v>
      </c>
      <c r="S122" s="330">
        <v>160.15</v>
      </c>
      <c r="T122" s="330">
        <v>2762</v>
      </c>
      <c r="U122" s="330">
        <v>204.74</v>
      </c>
      <c r="V122" s="330">
        <v>1028</v>
      </c>
      <c r="W122" s="330">
        <v>206.56</v>
      </c>
      <c r="X122" s="330">
        <v>5</v>
      </c>
      <c r="Y122" s="330">
        <v>1</v>
      </c>
      <c r="Z122" s="330">
        <v>9</v>
      </c>
      <c r="AA122" s="330">
        <v>1</v>
      </c>
      <c r="AB122" s="330">
        <v>132</v>
      </c>
      <c r="AC122" s="330">
        <v>86</v>
      </c>
      <c r="AD122" s="334">
        <v>18687</v>
      </c>
      <c r="AE122" s="334">
        <v>81</v>
      </c>
      <c r="AF122" s="334">
        <v>96</v>
      </c>
      <c r="AG122" s="334">
        <v>177</v>
      </c>
    </row>
    <row r="123" spans="1:33" x14ac:dyDescent="0.25">
      <c r="A123" s="329" t="s">
        <v>302</v>
      </c>
      <c r="B123" s="335" t="s">
        <v>303</v>
      </c>
      <c r="C123" s="331">
        <v>13214</v>
      </c>
      <c r="D123" s="331">
        <v>1</v>
      </c>
      <c r="E123" s="331">
        <v>501</v>
      </c>
      <c r="F123" s="331">
        <v>500</v>
      </c>
      <c r="G123" s="331">
        <v>306</v>
      </c>
      <c r="H123" s="331">
        <v>14522</v>
      </c>
      <c r="I123" s="330">
        <v>14216</v>
      </c>
      <c r="J123" s="330">
        <v>3</v>
      </c>
      <c r="K123" s="332">
        <v>84.2</v>
      </c>
      <c r="L123" s="332">
        <v>84.05</v>
      </c>
      <c r="M123" s="332">
        <v>3.86</v>
      </c>
      <c r="N123" s="332">
        <v>87.89</v>
      </c>
      <c r="O123" s="333">
        <v>11672</v>
      </c>
      <c r="P123" s="330">
        <v>87.53</v>
      </c>
      <c r="Q123" s="330">
        <v>79.08</v>
      </c>
      <c r="R123" s="330">
        <v>30.27</v>
      </c>
      <c r="S123" s="330">
        <v>117.04</v>
      </c>
      <c r="T123" s="330">
        <v>834</v>
      </c>
      <c r="U123" s="330">
        <v>100.46</v>
      </c>
      <c r="V123" s="330">
        <v>1518</v>
      </c>
      <c r="W123" s="330">
        <v>146.66</v>
      </c>
      <c r="X123" s="330">
        <v>82</v>
      </c>
      <c r="Y123" s="330">
        <v>0</v>
      </c>
      <c r="Z123" s="330">
        <v>71</v>
      </c>
      <c r="AA123" s="330">
        <v>13</v>
      </c>
      <c r="AB123" s="330">
        <v>11</v>
      </c>
      <c r="AC123" s="330">
        <v>15</v>
      </c>
      <c r="AD123" s="334">
        <v>13214</v>
      </c>
      <c r="AE123" s="334">
        <v>72</v>
      </c>
      <c r="AF123" s="334">
        <v>43</v>
      </c>
      <c r="AG123" s="334">
        <v>115</v>
      </c>
    </row>
    <row r="124" spans="1:33" x14ac:dyDescent="0.25">
      <c r="A124" s="329" t="s">
        <v>304</v>
      </c>
      <c r="B124" s="335" t="s">
        <v>305</v>
      </c>
      <c r="C124" s="331">
        <v>4989</v>
      </c>
      <c r="D124" s="331">
        <v>0</v>
      </c>
      <c r="E124" s="331">
        <v>376</v>
      </c>
      <c r="F124" s="331">
        <v>123</v>
      </c>
      <c r="G124" s="331">
        <v>122</v>
      </c>
      <c r="H124" s="331">
        <v>5610</v>
      </c>
      <c r="I124" s="330">
        <v>5488</v>
      </c>
      <c r="J124" s="330">
        <v>2</v>
      </c>
      <c r="K124" s="332">
        <v>92.13</v>
      </c>
      <c r="L124" s="332">
        <v>93.64</v>
      </c>
      <c r="M124" s="332">
        <v>1.55</v>
      </c>
      <c r="N124" s="332">
        <v>93.49</v>
      </c>
      <c r="O124" s="333">
        <v>4730</v>
      </c>
      <c r="P124" s="330">
        <v>107.53</v>
      </c>
      <c r="Q124" s="330">
        <v>27.88</v>
      </c>
      <c r="R124" s="330">
        <v>57.74</v>
      </c>
      <c r="S124" s="330">
        <v>164.14</v>
      </c>
      <c r="T124" s="330">
        <v>355</v>
      </c>
      <c r="U124" s="330">
        <v>111.93</v>
      </c>
      <c r="V124" s="330">
        <v>111</v>
      </c>
      <c r="W124" s="330">
        <v>165.96</v>
      </c>
      <c r="X124" s="330">
        <v>101</v>
      </c>
      <c r="Y124" s="330">
        <v>0</v>
      </c>
      <c r="Z124" s="330">
        <v>5</v>
      </c>
      <c r="AA124" s="330">
        <v>1</v>
      </c>
      <c r="AB124" s="330">
        <v>0</v>
      </c>
      <c r="AC124" s="330">
        <v>14</v>
      </c>
      <c r="AD124" s="334">
        <v>4974</v>
      </c>
      <c r="AE124" s="334">
        <v>39</v>
      </c>
      <c r="AF124" s="334">
        <v>31</v>
      </c>
      <c r="AG124" s="334">
        <v>70</v>
      </c>
    </row>
    <row r="125" spans="1:33" x14ac:dyDescent="0.25">
      <c r="A125" s="329" t="s">
        <v>306</v>
      </c>
      <c r="B125" s="335" t="s">
        <v>307</v>
      </c>
      <c r="C125" s="331">
        <v>11659</v>
      </c>
      <c r="D125" s="331">
        <v>38</v>
      </c>
      <c r="E125" s="331">
        <v>1149</v>
      </c>
      <c r="F125" s="331">
        <v>572</v>
      </c>
      <c r="G125" s="331">
        <v>1150</v>
      </c>
      <c r="H125" s="331">
        <v>14568</v>
      </c>
      <c r="I125" s="330">
        <v>13418</v>
      </c>
      <c r="J125" s="330">
        <v>97</v>
      </c>
      <c r="K125" s="332">
        <v>130.06</v>
      </c>
      <c r="L125" s="332">
        <v>137.25</v>
      </c>
      <c r="M125" s="332">
        <v>11.45</v>
      </c>
      <c r="N125" s="332">
        <v>135.72</v>
      </c>
      <c r="O125" s="333">
        <v>10000</v>
      </c>
      <c r="P125" s="330">
        <v>114.49</v>
      </c>
      <c r="Q125" s="330">
        <v>112.55</v>
      </c>
      <c r="R125" s="330">
        <v>49.72</v>
      </c>
      <c r="S125" s="330">
        <v>157.69</v>
      </c>
      <c r="T125" s="330">
        <v>1251</v>
      </c>
      <c r="U125" s="330">
        <v>209.81</v>
      </c>
      <c r="V125" s="330">
        <v>910</v>
      </c>
      <c r="W125" s="330">
        <v>202.52</v>
      </c>
      <c r="X125" s="330">
        <v>72</v>
      </c>
      <c r="Y125" s="330">
        <v>24</v>
      </c>
      <c r="Z125" s="330">
        <v>0</v>
      </c>
      <c r="AA125" s="330">
        <v>11</v>
      </c>
      <c r="AB125" s="330">
        <v>16</v>
      </c>
      <c r="AC125" s="330">
        <v>41</v>
      </c>
      <c r="AD125" s="334">
        <v>11124</v>
      </c>
      <c r="AE125" s="334">
        <v>39</v>
      </c>
      <c r="AF125" s="334">
        <v>155</v>
      </c>
      <c r="AG125" s="334">
        <v>194</v>
      </c>
    </row>
    <row r="126" spans="1:33" x14ac:dyDescent="0.25">
      <c r="A126" s="329" t="s">
        <v>308</v>
      </c>
      <c r="B126" s="335" t="s">
        <v>309</v>
      </c>
      <c r="C126" s="331">
        <v>2222</v>
      </c>
      <c r="D126" s="331">
        <v>0</v>
      </c>
      <c r="E126" s="331">
        <v>76</v>
      </c>
      <c r="F126" s="331">
        <v>828</v>
      </c>
      <c r="G126" s="331">
        <v>432</v>
      </c>
      <c r="H126" s="331">
        <v>3558</v>
      </c>
      <c r="I126" s="330">
        <v>3126</v>
      </c>
      <c r="J126" s="330">
        <v>0</v>
      </c>
      <c r="K126" s="332">
        <v>90.78</v>
      </c>
      <c r="L126" s="332">
        <v>90.56</v>
      </c>
      <c r="M126" s="332">
        <v>3.31</v>
      </c>
      <c r="N126" s="332">
        <v>92.87</v>
      </c>
      <c r="O126" s="333">
        <v>1972</v>
      </c>
      <c r="P126" s="330">
        <v>85.23</v>
      </c>
      <c r="Q126" s="330">
        <v>85.74</v>
      </c>
      <c r="R126" s="330">
        <v>21.73</v>
      </c>
      <c r="S126" s="330">
        <v>106.52</v>
      </c>
      <c r="T126" s="330">
        <v>871</v>
      </c>
      <c r="U126" s="330">
        <v>112.84</v>
      </c>
      <c r="V126" s="330">
        <v>164</v>
      </c>
      <c r="W126" s="330">
        <v>118.72</v>
      </c>
      <c r="X126" s="330">
        <v>12</v>
      </c>
      <c r="Y126" s="330">
        <v>0</v>
      </c>
      <c r="Z126" s="330">
        <v>10</v>
      </c>
      <c r="AA126" s="330">
        <v>0</v>
      </c>
      <c r="AB126" s="330">
        <v>34</v>
      </c>
      <c r="AC126" s="330">
        <v>7</v>
      </c>
      <c r="AD126" s="334">
        <v>2222</v>
      </c>
      <c r="AE126" s="334">
        <v>12</v>
      </c>
      <c r="AF126" s="334">
        <v>7</v>
      </c>
      <c r="AG126" s="334">
        <v>19</v>
      </c>
    </row>
    <row r="127" spans="1:33" x14ac:dyDescent="0.25">
      <c r="A127" s="329" t="s">
        <v>310</v>
      </c>
      <c r="B127" s="335" t="s">
        <v>311</v>
      </c>
      <c r="C127" s="331">
        <v>9995</v>
      </c>
      <c r="D127" s="331">
        <v>52</v>
      </c>
      <c r="E127" s="331">
        <v>895</v>
      </c>
      <c r="F127" s="331">
        <v>928</v>
      </c>
      <c r="G127" s="331">
        <v>1566</v>
      </c>
      <c r="H127" s="331">
        <v>13436</v>
      </c>
      <c r="I127" s="330">
        <v>11870</v>
      </c>
      <c r="J127" s="330">
        <v>17</v>
      </c>
      <c r="K127" s="332">
        <v>120.67</v>
      </c>
      <c r="L127" s="332">
        <v>122.01</v>
      </c>
      <c r="M127" s="332">
        <v>10.130000000000001</v>
      </c>
      <c r="N127" s="332">
        <v>127.02</v>
      </c>
      <c r="O127" s="333">
        <v>7936</v>
      </c>
      <c r="P127" s="330">
        <v>118.62</v>
      </c>
      <c r="Q127" s="330">
        <v>102.81</v>
      </c>
      <c r="R127" s="330">
        <v>53.96</v>
      </c>
      <c r="S127" s="330">
        <v>168.04</v>
      </c>
      <c r="T127" s="330">
        <v>1248</v>
      </c>
      <c r="U127" s="330">
        <v>168.81</v>
      </c>
      <c r="V127" s="330">
        <v>514</v>
      </c>
      <c r="W127" s="330">
        <v>188.71</v>
      </c>
      <c r="X127" s="330">
        <v>4</v>
      </c>
      <c r="Y127" s="330">
        <v>0</v>
      </c>
      <c r="Z127" s="330">
        <v>6</v>
      </c>
      <c r="AA127" s="330">
        <v>8</v>
      </c>
      <c r="AB127" s="330">
        <v>37</v>
      </c>
      <c r="AC127" s="330">
        <v>81</v>
      </c>
      <c r="AD127" s="334">
        <v>8919</v>
      </c>
      <c r="AE127" s="334">
        <v>38</v>
      </c>
      <c r="AF127" s="334">
        <v>38</v>
      </c>
      <c r="AG127" s="334">
        <v>76</v>
      </c>
    </row>
    <row r="128" spans="1:33" x14ac:dyDescent="0.25">
      <c r="A128" s="329" t="s">
        <v>312</v>
      </c>
      <c r="B128" s="335" t="s">
        <v>313</v>
      </c>
      <c r="C128" s="331">
        <v>1423</v>
      </c>
      <c r="D128" s="331">
        <v>64</v>
      </c>
      <c r="E128" s="331">
        <v>234</v>
      </c>
      <c r="F128" s="331">
        <v>259</v>
      </c>
      <c r="G128" s="331">
        <v>318</v>
      </c>
      <c r="H128" s="331">
        <v>2298</v>
      </c>
      <c r="I128" s="330">
        <v>1980</v>
      </c>
      <c r="J128" s="330">
        <v>1</v>
      </c>
      <c r="K128" s="332">
        <v>103.27</v>
      </c>
      <c r="L128" s="332">
        <v>98.65</v>
      </c>
      <c r="M128" s="332">
        <v>7.84</v>
      </c>
      <c r="N128" s="332">
        <v>109.84</v>
      </c>
      <c r="O128" s="333">
        <v>1030</v>
      </c>
      <c r="P128" s="330">
        <v>93.73</v>
      </c>
      <c r="Q128" s="330">
        <v>91.44</v>
      </c>
      <c r="R128" s="330">
        <v>48.96</v>
      </c>
      <c r="S128" s="330">
        <v>142.06</v>
      </c>
      <c r="T128" s="330">
        <v>461</v>
      </c>
      <c r="U128" s="330">
        <v>149.43</v>
      </c>
      <c r="V128" s="330">
        <v>186</v>
      </c>
      <c r="W128" s="330">
        <v>0</v>
      </c>
      <c r="X128" s="330">
        <v>0</v>
      </c>
      <c r="Y128" s="330">
        <v>0</v>
      </c>
      <c r="Z128" s="330">
        <v>1</v>
      </c>
      <c r="AA128" s="330">
        <v>0</v>
      </c>
      <c r="AB128" s="330">
        <v>1</v>
      </c>
      <c r="AC128" s="330">
        <v>7</v>
      </c>
      <c r="AD128" s="334">
        <v>1420</v>
      </c>
      <c r="AE128" s="334">
        <v>4</v>
      </c>
      <c r="AF128" s="334">
        <v>2</v>
      </c>
      <c r="AG128" s="334">
        <v>6</v>
      </c>
    </row>
    <row r="129" spans="1:33" x14ac:dyDescent="0.25">
      <c r="A129" s="329" t="s">
        <v>314</v>
      </c>
      <c r="B129" s="335" t="s">
        <v>315</v>
      </c>
      <c r="C129" s="331">
        <v>2129</v>
      </c>
      <c r="D129" s="331">
        <v>27</v>
      </c>
      <c r="E129" s="331">
        <v>252</v>
      </c>
      <c r="F129" s="331">
        <v>354</v>
      </c>
      <c r="G129" s="331">
        <v>256</v>
      </c>
      <c r="H129" s="331">
        <v>3018</v>
      </c>
      <c r="I129" s="330">
        <v>2762</v>
      </c>
      <c r="J129" s="330">
        <v>2</v>
      </c>
      <c r="K129" s="332">
        <v>95.67</v>
      </c>
      <c r="L129" s="332">
        <v>95.17</v>
      </c>
      <c r="M129" s="332">
        <v>6.86</v>
      </c>
      <c r="N129" s="332">
        <v>100.14</v>
      </c>
      <c r="O129" s="333">
        <v>1590</v>
      </c>
      <c r="P129" s="330">
        <v>101.06</v>
      </c>
      <c r="Q129" s="330">
        <v>82.58</v>
      </c>
      <c r="R129" s="330">
        <v>41.43</v>
      </c>
      <c r="S129" s="330">
        <v>142.01</v>
      </c>
      <c r="T129" s="330">
        <v>435</v>
      </c>
      <c r="U129" s="330">
        <v>113.74</v>
      </c>
      <c r="V129" s="330">
        <v>388</v>
      </c>
      <c r="W129" s="330">
        <v>118.48</v>
      </c>
      <c r="X129" s="330">
        <v>9</v>
      </c>
      <c r="Y129" s="330">
        <v>0</v>
      </c>
      <c r="Z129" s="330">
        <v>0</v>
      </c>
      <c r="AA129" s="330">
        <v>0</v>
      </c>
      <c r="AB129" s="330">
        <v>0</v>
      </c>
      <c r="AC129" s="330">
        <v>2</v>
      </c>
      <c r="AD129" s="334">
        <v>1913</v>
      </c>
      <c r="AE129" s="334">
        <v>18</v>
      </c>
      <c r="AF129" s="334">
        <v>3</v>
      </c>
      <c r="AG129" s="334">
        <v>21</v>
      </c>
    </row>
    <row r="130" spans="1:33" x14ac:dyDescent="0.25">
      <c r="A130" s="329" t="s">
        <v>316</v>
      </c>
      <c r="B130" s="335" t="s">
        <v>317</v>
      </c>
      <c r="C130" s="331">
        <v>3355</v>
      </c>
      <c r="D130" s="331">
        <v>2</v>
      </c>
      <c r="E130" s="331">
        <v>289</v>
      </c>
      <c r="F130" s="331">
        <v>577</v>
      </c>
      <c r="G130" s="331">
        <v>980</v>
      </c>
      <c r="H130" s="331">
        <v>5203</v>
      </c>
      <c r="I130" s="330">
        <v>4223</v>
      </c>
      <c r="J130" s="330">
        <v>32</v>
      </c>
      <c r="K130" s="332">
        <v>134.13</v>
      </c>
      <c r="L130" s="332">
        <v>134.6</v>
      </c>
      <c r="M130" s="332">
        <v>9.82</v>
      </c>
      <c r="N130" s="332">
        <v>140.08000000000001</v>
      </c>
      <c r="O130" s="333">
        <v>2839</v>
      </c>
      <c r="P130" s="330">
        <v>96.96</v>
      </c>
      <c r="Q130" s="330">
        <v>95.12</v>
      </c>
      <c r="R130" s="330">
        <v>35.43</v>
      </c>
      <c r="S130" s="330">
        <v>124.96</v>
      </c>
      <c r="T130" s="330">
        <v>401</v>
      </c>
      <c r="U130" s="330">
        <v>181.38</v>
      </c>
      <c r="V130" s="330">
        <v>281</v>
      </c>
      <c r="W130" s="330">
        <v>186.55</v>
      </c>
      <c r="X130" s="330">
        <v>28</v>
      </c>
      <c r="Y130" s="330">
        <v>0</v>
      </c>
      <c r="Z130" s="330">
        <v>1</v>
      </c>
      <c r="AA130" s="330">
        <v>8</v>
      </c>
      <c r="AB130" s="330">
        <v>14</v>
      </c>
      <c r="AC130" s="330">
        <v>75</v>
      </c>
      <c r="AD130" s="334">
        <v>3286</v>
      </c>
      <c r="AE130" s="334">
        <v>13</v>
      </c>
      <c r="AF130" s="334">
        <v>13</v>
      </c>
      <c r="AG130" s="334">
        <v>26</v>
      </c>
    </row>
    <row r="131" spans="1:33" x14ac:dyDescent="0.25">
      <c r="A131" s="329" t="s">
        <v>318</v>
      </c>
      <c r="B131" s="335" t="s">
        <v>319</v>
      </c>
      <c r="C131" s="331">
        <v>2766</v>
      </c>
      <c r="D131" s="331">
        <v>0</v>
      </c>
      <c r="E131" s="331">
        <v>46</v>
      </c>
      <c r="F131" s="331">
        <v>321</v>
      </c>
      <c r="G131" s="331">
        <v>541</v>
      </c>
      <c r="H131" s="331">
        <v>3674</v>
      </c>
      <c r="I131" s="330">
        <v>3133</v>
      </c>
      <c r="J131" s="330">
        <v>1</v>
      </c>
      <c r="K131" s="332">
        <v>118.33</v>
      </c>
      <c r="L131" s="332">
        <v>117.76</v>
      </c>
      <c r="M131" s="332">
        <v>5.67</v>
      </c>
      <c r="N131" s="332">
        <v>120.63</v>
      </c>
      <c r="O131" s="333">
        <v>2403</v>
      </c>
      <c r="P131" s="330">
        <v>103.01</v>
      </c>
      <c r="Q131" s="330">
        <v>99.49</v>
      </c>
      <c r="R131" s="330">
        <v>27.85</v>
      </c>
      <c r="S131" s="330">
        <v>130.15</v>
      </c>
      <c r="T131" s="330">
        <v>313</v>
      </c>
      <c r="U131" s="330">
        <v>160.6</v>
      </c>
      <c r="V131" s="330">
        <v>327</v>
      </c>
      <c r="W131" s="330">
        <v>176.56</v>
      </c>
      <c r="X131" s="330">
        <v>1</v>
      </c>
      <c r="Y131" s="330">
        <v>121</v>
      </c>
      <c r="Z131" s="330">
        <v>3</v>
      </c>
      <c r="AA131" s="330">
        <v>0</v>
      </c>
      <c r="AB131" s="330">
        <v>60</v>
      </c>
      <c r="AC131" s="330">
        <v>56</v>
      </c>
      <c r="AD131" s="334">
        <v>2766</v>
      </c>
      <c r="AE131" s="334">
        <v>27</v>
      </c>
      <c r="AF131" s="334">
        <v>9</v>
      </c>
      <c r="AG131" s="334">
        <v>36</v>
      </c>
    </row>
    <row r="132" spans="1:33" x14ac:dyDescent="0.25">
      <c r="A132" s="329" t="s">
        <v>320</v>
      </c>
      <c r="B132" s="335" t="s">
        <v>321</v>
      </c>
      <c r="C132" s="331">
        <v>7811</v>
      </c>
      <c r="D132" s="331">
        <v>0</v>
      </c>
      <c r="E132" s="331">
        <v>142</v>
      </c>
      <c r="F132" s="331">
        <v>1979</v>
      </c>
      <c r="G132" s="331">
        <v>224</v>
      </c>
      <c r="H132" s="331">
        <v>10156</v>
      </c>
      <c r="I132" s="330">
        <v>9932</v>
      </c>
      <c r="J132" s="330">
        <v>18</v>
      </c>
      <c r="K132" s="332">
        <v>82.6</v>
      </c>
      <c r="L132" s="332">
        <v>82.09</v>
      </c>
      <c r="M132" s="332">
        <v>5.56</v>
      </c>
      <c r="N132" s="332">
        <v>84.84</v>
      </c>
      <c r="O132" s="333">
        <v>6737</v>
      </c>
      <c r="P132" s="330">
        <v>82.45</v>
      </c>
      <c r="Q132" s="330">
        <v>84.26</v>
      </c>
      <c r="R132" s="330">
        <v>36.03</v>
      </c>
      <c r="S132" s="330">
        <v>103.55</v>
      </c>
      <c r="T132" s="330">
        <v>2051</v>
      </c>
      <c r="U132" s="330">
        <v>93.02</v>
      </c>
      <c r="V132" s="330">
        <v>1024</v>
      </c>
      <c r="W132" s="330">
        <v>105.9</v>
      </c>
      <c r="X132" s="330">
        <v>60</v>
      </c>
      <c r="Y132" s="330">
        <v>0</v>
      </c>
      <c r="Z132" s="330">
        <v>21</v>
      </c>
      <c r="AA132" s="330">
        <v>2</v>
      </c>
      <c r="AB132" s="330">
        <v>1</v>
      </c>
      <c r="AC132" s="330">
        <v>0</v>
      </c>
      <c r="AD132" s="334">
        <v>7785</v>
      </c>
      <c r="AE132" s="334">
        <v>122</v>
      </c>
      <c r="AF132" s="334">
        <v>48</v>
      </c>
      <c r="AG132" s="334">
        <v>170</v>
      </c>
    </row>
    <row r="133" spans="1:33" x14ac:dyDescent="0.25">
      <c r="A133" s="329" t="s">
        <v>322</v>
      </c>
      <c r="B133" s="335" t="s">
        <v>323</v>
      </c>
      <c r="C133" s="331">
        <v>5023</v>
      </c>
      <c r="D133" s="331">
        <v>0</v>
      </c>
      <c r="E133" s="331">
        <v>286</v>
      </c>
      <c r="F133" s="331">
        <v>713</v>
      </c>
      <c r="G133" s="331">
        <v>187</v>
      </c>
      <c r="H133" s="331">
        <v>6209</v>
      </c>
      <c r="I133" s="330">
        <v>6022</v>
      </c>
      <c r="J133" s="330">
        <v>22</v>
      </c>
      <c r="K133" s="332">
        <v>88.79</v>
      </c>
      <c r="L133" s="332">
        <v>87.59</v>
      </c>
      <c r="M133" s="332">
        <v>6.68</v>
      </c>
      <c r="N133" s="332">
        <v>94.4</v>
      </c>
      <c r="O133" s="333">
        <v>4323</v>
      </c>
      <c r="P133" s="330">
        <v>74.95</v>
      </c>
      <c r="Q133" s="330">
        <v>72.2</v>
      </c>
      <c r="R133" s="330">
        <v>35.86</v>
      </c>
      <c r="S133" s="330">
        <v>110.67</v>
      </c>
      <c r="T133" s="330">
        <v>785</v>
      </c>
      <c r="U133" s="330">
        <v>113.63</v>
      </c>
      <c r="V133" s="330">
        <v>628</v>
      </c>
      <c r="W133" s="330">
        <v>93.57</v>
      </c>
      <c r="X133" s="330">
        <v>29</v>
      </c>
      <c r="Y133" s="330">
        <v>0</v>
      </c>
      <c r="Z133" s="330">
        <v>7</v>
      </c>
      <c r="AA133" s="330">
        <v>0</v>
      </c>
      <c r="AB133" s="330">
        <v>0</v>
      </c>
      <c r="AC133" s="330">
        <v>4</v>
      </c>
      <c r="AD133" s="334">
        <v>4954</v>
      </c>
      <c r="AE133" s="334">
        <v>4</v>
      </c>
      <c r="AF133" s="334">
        <v>12</v>
      </c>
      <c r="AG133" s="334">
        <v>16</v>
      </c>
    </row>
    <row r="134" spans="1:33" x14ac:dyDescent="0.25">
      <c r="A134" s="329" t="s">
        <v>324</v>
      </c>
      <c r="B134" s="335" t="s">
        <v>325</v>
      </c>
      <c r="C134" s="331">
        <v>4343</v>
      </c>
      <c r="D134" s="331">
        <v>0</v>
      </c>
      <c r="E134" s="331">
        <v>218</v>
      </c>
      <c r="F134" s="331">
        <v>993</v>
      </c>
      <c r="G134" s="331">
        <v>415</v>
      </c>
      <c r="H134" s="331">
        <v>5969</v>
      </c>
      <c r="I134" s="330">
        <v>5554</v>
      </c>
      <c r="J134" s="330">
        <v>0</v>
      </c>
      <c r="K134" s="332">
        <v>107.24</v>
      </c>
      <c r="L134" s="332">
        <v>103.4</v>
      </c>
      <c r="M134" s="332">
        <v>9.2899999999999991</v>
      </c>
      <c r="N134" s="332">
        <v>111.63</v>
      </c>
      <c r="O134" s="333">
        <v>3579</v>
      </c>
      <c r="P134" s="330">
        <v>98.2</v>
      </c>
      <c r="Q134" s="330">
        <v>89.53</v>
      </c>
      <c r="R134" s="330">
        <v>20.22</v>
      </c>
      <c r="S134" s="330">
        <v>116.41</v>
      </c>
      <c r="T134" s="330">
        <v>1081</v>
      </c>
      <c r="U134" s="330">
        <v>142.68</v>
      </c>
      <c r="V134" s="330">
        <v>617</v>
      </c>
      <c r="W134" s="330">
        <v>156.88999999999999</v>
      </c>
      <c r="X134" s="330">
        <v>15</v>
      </c>
      <c r="Y134" s="330">
        <v>20</v>
      </c>
      <c r="Z134" s="330">
        <v>10</v>
      </c>
      <c r="AA134" s="330">
        <v>0</v>
      </c>
      <c r="AB134" s="330">
        <v>24</v>
      </c>
      <c r="AC134" s="330">
        <v>6</v>
      </c>
      <c r="AD134" s="334">
        <v>4299</v>
      </c>
      <c r="AE134" s="334">
        <v>7</v>
      </c>
      <c r="AF134" s="334">
        <v>6</v>
      </c>
      <c r="AG134" s="334">
        <v>13</v>
      </c>
    </row>
    <row r="135" spans="1:33" x14ac:dyDescent="0.25">
      <c r="A135" s="329" t="s">
        <v>326</v>
      </c>
      <c r="B135" s="335" t="s">
        <v>327</v>
      </c>
      <c r="C135" s="331">
        <v>3583</v>
      </c>
      <c r="D135" s="331">
        <v>354</v>
      </c>
      <c r="E135" s="331">
        <v>163</v>
      </c>
      <c r="F135" s="331">
        <v>497</v>
      </c>
      <c r="G135" s="331">
        <v>806</v>
      </c>
      <c r="H135" s="331">
        <v>5403</v>
      </c>
      <c r="I135" s="330">
        <v>4597</v>
      </c>
      <c r="J135" s="330">
        <v>1</v>
      </c>
      <c r="K135" s="332">
        <v>120.93</v>
      </c>
      <c r="L135" s="332">
        <v>117.64</v>
      </c>
      <c r="M135" s="332">
        <v>10.08</v>
      </c>
      <c r="N135" s="332">
        <v>128.86000000000001</v>
      </c>
      <c r="O135" s="333">
        <v>2522</v>
      </c>
      <c r="P135" s="330">
        <v>105.19</v>
      </c>
      <c r="Q135" s="330">
        <v>101.36</v>
      </c>
      <c r="R135" s="330">
        <v>35.49</v>
      </c>
      <c r="S135" s="330">
        <v>140.05000000000001</v>
      </c>
      <c r="T135" s="330">
        <v>615</v>
      </c>
      <c r="U135" s="330">
        <v>179.9</v>
      </c>
      <c r="V135" s="330">
        <v>923</v>
      </c>
      <c r="W135" s="330">
        <v>202.03</v>
      </c>
      <c r="X135" s="330">
        <v>34</v>
      </c>
      <c r="Y135" s="330">
        <v>0</v>
      </c>
      <c r="Z135" s="330">
        <v>1</v>
      </c>
      <c r="AA135" s="330">
        <v>50</v>
      </c>
      <c r="AB135" s="330">
        <v>34</v>
      </c>
      <c r="AC135" s="330">
        <v>25</v>
      </c>
      <c r="AD135" s="334">
        <v>3555</v>
      </c>
      <c r="AE135" s="334">
        <v>11</v>
      </c>
      <c r="AF135" s="334">
        <v>55</v>
      </c>
      <c r="AG135" s="334">
        <v>66</v>
      </c>
    </row>
    <row r="136" spans="1:33" x14ac:dyDescent="0.25">
      <c r="A136" s="329" t="s">
        <v>328</v>
      </c>
      <c r="B136" s="335" t="s">
        <v>329</v>
      </c>
      <c r="C136" s="331">
        <v>9053</v>
      </c>
      <c r="D136" s="331">
        <v>0</v>
      </c>
      <c r="E136" s="331">
        <v>319</v>
      </c>
      <c r="F136" s="331">
        <v>1772</v>
      </c>
      <c r="G136" s="331">
        <v>709</v>
      </c>
      <c r="H136" s="331">
        <v>11853</v>
      </c>
      <c r="I136" s="330">
        <v>11144</v>
      </c>
      <c r="J136" s="330">
        <v>29</v>
      </c>
      <c r="K136" s="332">
        <v>90.83</v>
      </c>
      <c r="L136" s="332">
        <v>90.09</v>
      </c>
      <c r="M136" s="332">
        <v>3.81</v>
      </c>
      <c r="N136" s="332">
        <v>92.75</v>
      </c>
      <c r="O136" s="333">
        <v>8374</v>
      </c>
      <c r="P136" s="330">
        <v>83.62</v>
      </c>
      <c r="Q136" s="330">
        <v>83.1</v>
      </c>
      <c r="R136" s="330">
        <v>31.95</v>
      </c>
      <c r="S136" s="330">
        <v>108.1</v>
      </c>
      <c r="T136" s="330">
        <v>1977</v>
      </c>
      <c r="U136" s="330">
        <v>103.52</v>
      </c>
      <c r="V136" s="330">
        <v>582</v>
      </c>
      <c r="W136" s="330">
        <v>180.08</v>
      </c>
      <c r="X136" s="330">
        <v>40</v>
      </c>
      <c r="Y136" s="330">
        <v>3</v>
      </c>
      <c r="Z136" s="330">
        <v>22</v>
      </c>
      <c r="AA136" s="330">
        <v>1</v>
      </c>
      <c r="AB136" s="330">
        <v>17</v>
      </c>
      <c r="AC136" s="330">
        <v>10</v>
      </c>
      <c r="AD136" s="334">
        <v>9025</v>
      </c>
      <c r="AE136" s="334">
        <v>44</v>
      </c>
      <c r="AF136" s="334">
        <v>68</v>
      </c>
      <c r="AG136" s="334">
        <v>112</v>
      </c>
    </row>
    <row r="137" spans="1:33" x14ac:dyDescent="0.25">
      <c r="A137" s="329" t="s">
        <v>330</v>
      </c>
      <c r="B137" s="335" t="s">
        <v>331</v>
      </c>
      <c r="C137" s="331">
        <v>6256</v>
      </c>
      <c r="D137" s="331">
        <v>24</v>
      </c>
      <c r="E137" s="331">
        <v>147</v>
      </c>
      <c r="F137" s="331">
        <v>864</v>
      </c>
      <c r="G137" s="331">
        <v>433</v>
      </c>
      <c r="H137" s="331">
        <v>7724</v>
      </c>
      <c r="I137" s="330">
        <v>7291</v>
      </c>
      <c r="J137" s="330">
        <v>4</v>
      </c>
      <c r="K137" s="332">
        <v>121.8</v>
      </c>
      <c r="L137" s="332">
        <v>124.57</v>
      </c>
      <c r="M137" s="332">
        <v>8.01</v>
      </c>
      <c r="N137" s="332">
        <v>125.62</v>
      </c>
      <c r="O137" s="333">
        <v>5412</v>
      </c>
      <c r="P137" s="330">
        <v>113.05</v>
      </c>
      <c r="Q137" s="330">
        <v>111.6</v>
      </c>
      <c r="R137" s="330">
        <v>34.18</v>
      </c>
      <c r="S137" s="330">
        <v>145.75</v>
      </c>
      <c r="T137" s="330">
        <v>970</v>
      </c>
      <c r="U137" s="330">
        <v>179.13</v>
      </c>
      <c r="V137" s="330">
        <v>683</v>
      </c>
      <c r="W137" s="330">
        <v>0</v>
      </c>
      <c r="X137" s="330">
        <v>0</v>
      </c>
      <c r="Y137" s="330">
        <v>0</v>
      </c>
      <c r="Z137" s="330">
        <v>3</v>
      </c>
      <c r="AA137" s="330">
        <v>0</v>
      </c>
      <c r="AB137" s="330">
        <v>7</v>
      </c>
      <c r="AC137" s="330">
        <v>13</v>
      </c>
      <c r="AD137" s="334">
        <v>6143</v>
      </c>
      <c r="AE137" s="334">
        <v>30</v>
      </c>
      <c r="AF137" s="334">
        <v>11</v>
      </c>
      <c r="AG137" s="334">
        <v>41</v>
      </c>
    </row>
    <row r="138" spans="1:33" x14ac:dyDescent="0.25">
      <c r="A138" s="329" t="s">
        <v>332</v>
      </c>
      <c r="B138" s="335" t="s">
        <v>333</v>
      </c>
      <c r="C138" s="331">
        <v>815</v>
      </c>
      <c r="D138" s="331">
        <v>0</v>
      </c>
      <c r="E138" s="331">
        <v>52</v>
      </c>
      <c r="F138" s="331">
        <v>337</v>
      </c>
      <c r="G138" s="331">
        <v>192</v>
      </c>
      <c r="H138" s="331">
        <v>1396</v>
      </c>
      <c r="I138" s="330">
        <v>1204</v>
      </c>
      <c r="J138" s="330">
        <v>53</v>
      </c>
      <c r="K138" s="332">
        <v>97.77</v>
      </c>
      <c r="L138" s="332">
        <v>96.12</v>
      </c>
      <c r="M138" s="332">
        <v>6.63</v>
      </c>
      <c r="N138" s="332">
        <v>101.39</v>
      </c>
      <c r="O138" s="333">
        <v>747</v>
      </c>
      <c r="P138" s="330">
        <v>85.52</v>
      </c>
      <c r="Q138" s="330">
        <v>81.239999999999995</v>
      </c>
      <c r="R138" s="330">
        <v>39.21</v>
      </c>
      <c r="S138" s="330">
        <v>123.35</v>
      </c>
      <c r="T138" s="330">
        <v>369</v>
      </c>
      <c r="U138" s="330">
        <v>110.99</v>
      </c>
      <c r="V138" s="330">
        <v>50</v>
      </c>
      <c r="W138" s="330">
        <v>0</v>
      </c>
      <c r="X138" s="330">
        <v>0</v>
      </c>
      <c r="Y138" s="330">
        <v>0</v>
      </c>
      <c r="Z138" s="330">
        <v>0</v>
      </c>
      <c r="AA138" s="330">
        <v>0</v>
      </c>
      <c r="AB138" s="330">
        <v>13</v>
      </c>
      <c r="AC138" s="330">
        <v>5</v>
      </c>
      <c r="AD138" s="334">
        <v>797</v>
      </c>
      <c r="AE138" s="334">
        <v>9</v>
      </c>
      <c r="AF138" s="334">
        <v>2</v>
      </c>
      <c r="AG138" s="334">
        <v>11</v>
      </c>
    </row>
    <row r="139" spans="1:33" x14ac:dyDescent="0.25">
      <c r="A139" s="329" t="s">
        <v>334</v>
      </c>
      <c r="B139" s="335" t="s">
        <v>335</v>
      </c>
      <c r="C139" s="331">
        <v>6361</v>
      </c>
      <c r="D139" s="331">
        <v>0</v>
      </c>
      <c r="E139" s="331">
        <v>621</v>
      </c>
      <c r="F139" s="331">
        <v>499</v>
      </c>
      <c r="G139" s="331">
        <v>1171</v>
      </c>
      <c r="H139" s="331">
        <v>8652</v>
      </c>
      <c r="I139" s="330">
        <v>7481</v>
      </c>
      <c r="J139" s="330">
        <v>110</v>
      </c>
      <c r="K139" s="332">
        <v>126.02</v>
      </c>
      <c r="L139" s="332">
        <v>124.57</v>
      </c>
      <c r="M139" s="332">
        <v>10.17</v>
      </c>
      <c r="N139" s="332">
        <v>132.80000000000001</v>
      </c>
      <c r="O139" s="333">
        <v>5510</v>
      </c>
      <c r="P139" s="330">
        <v>104.66</v>
      </c>
      <c r="Q139" s="330">
        <v>103.68</v>
      </c>
      <c r="R139" s="330">
        <v>40.92</v>
      </c>
      <c r="S139" s="330">
        <v>143.76</v>
      </c>
      <c r="T139" s="330">
        <v>877</v>
      </c>
      <c r="U139" s="330">
        <v>186.52</v>
      </c>
      <c r="V139" s="330">
        <v>687</v>
      </c>
      <c r="W139" s="330">
        <v>165.23</v>
      </c>
      <c r="X139" s="330">
        <v>49</v>
      </c>
      <c r="Y139" s="330">
        <v>2</v>
      </c>
      <c r="Z139" s="330">
        <v>3</v>
      </c>
      <c r="AA139" s="330">
        <v>3</v>
      </c>
      <c r="AB139" s="330">
        <v>32</v>
      </c>
      <c r="AC139" s="330">
        <v>44</v>
      </c>
      <c r="AD139" s="334">
        <v>6227</v>
      </c>
      <c r="AE139" s="334">
        <v>15</v>
      </c>
      <c r="AF139" s="334">
        <v>11</v>
      </c>
      <c r="AG139" s="334">
        <v>26</v>
      </c>
    </row>
    <row r="140" spans="1:33" x14ac:dyDescent="0.25">
      <c r="A140" s="329" t="s">
        <v>336</v>
      </c>
      <c r="B140" s="335" t="s">
        <v>337</v>
      </c>
      <c r="C140" s="331">
        <v>1757</v>
      </c>
      <c r="D140" s="331">
        <v>0</v>
      </c>
      <c r="E140" s="331">
        <v>77</v>
      </c>
      <c r="F140" s="331">
        <v>125</v>
      </c>
      <c r="G140" s="331">
        <v>320</v>
      </c>
      <c r="H140" s="331">
        <v>2279</v>
      </c>
      <c r="I140" s="330">
        <v>1959</v>
      </c>
      <c r="J140" s="330">
        <v>4</v>
      </c>
      <c r="K140" s="332">
        <v>91.9</v>
      </c>
      <c r="L140" s="332">
        <v>89.15</v>
      </c>
      <c r="M140" s="332">
        <v>4.95</v>
      </c>
      <c r="N140" s="332">
        <v>94.53</v>
      </c>
      <c r="O140" s="333">
        <v>1458</v>
      </c>
      <c r="P140" s="330">
        <v>89.53</v>
      </c>
      <c r="Q140" s="330">
        <v>78.38</v>
      </c>
      <c r="R140" s="330">
        <v>16.66</v>
      </c>
      <c r="S140" s="330">
        <v>106.19</v>
      </c>
      <c r="T140" s="330">
        <v>191</v>
      </c>
      <c r="U140" s="330">
        <v>104.31</v>
      </c>
      <c r="V140" s="330">
        <v>267</v>
      </c>
      <c r="W140" s="330">
        <v>0</v>
      </c>
      <c r="X140" s="330">
        <v>0</v>
      </c>
      <c r="Y140" s="330">
        <v>0</v>
      </c>
      <c r="Z140" s="330">
        <v>0</v>
      </c>
      <c r="AA140" s="330">
        <v>2</v>
      </c>
      <c r="AB140" s="330">
        <v>23</v>
      </c>
      <c r="AC140" s="330">
        <v>4</v>
      </c>
      <c r="AD140" s="334">
        <v>1757</v>
      </c>
      <c r="AE140" s="334">
        <v>4</v>
      </c>
      <c r="AF140" s="334">
        <v>20</v>
      </c>
      <c r="AG140" s="334">
        <v>24</v>
      </c>
    </row>
    <row r="141" spans="1:33" x14ac:dyDescent="0.25">
      <c r="A141" s="329" t="s">
        <v>338</v>
      </c>
      <c r="B141" s="335" t="s">
        <v>339</v>
      </c>
      <c r="C141" s="331">
        <v>5582</v>
      </c>
      <c r="D141" s="331">
        <v>0</v>
      </c>
      <c r="E141" s="331">
        <v>154</v>
      </c>
      <c r="F141" s="331">
        <v>1127</v>
      </c>
      <c r="G141" s="331">
        <v>526</v>
      </c>
      <c r="H141" s="331">
        <v>7389</v>
      </c>
      <c r="I141" s="330">
        <v>6863</v>
      </c>
      <c r="J141" s="330">
        <v>4</v>
      </c>
      <c r="K141" s="332">
        <v>112.89</v>
      </c>
      <c r="L141" s="332">
        <v>112.27</v>
      </c>
      <c r="M141" s="332">
        <v>3.84</v>
      </c>
      <c r="N141" s="332">
        <v>115.2</v>
      </c>
      <c r="O141" s="333">
        <v>4642</v>
      </c>
      <c r="P141" s="330">
        <v>97.19</v>
      </c>
      <c r="Q141" s="330">
        <v>94.63</v>
      </c>
      <c r="R141" s="330">
        <v>25.58</v>
      </c>
      <c r="S141" s="330">
        <v>122.63</v>
      </c>
      <c r="T141" s="330">
        <v>1065</v>
      </c>
      <c r="U141" s="330">
        <v>159.22999999999999</v>
      </c>
      <c r="V141" s="330">
        <v>880</v>
      </c>
      <c r="W141" s="330">
        <v>189.74</v>
      </c>
      <c r="X141" s="330">
        <v>117</v>
      </c>
      <c r="Y141" s="330">
        <v>0</v>
      </c>
      <c r="Z141" s="330">
        <v>13</v>
      </c>
      <c r="AA141" s="330">
        <v>0</v>
      </c>
      <c r="AB141" s="330">
        <v>55</v>
      </c>
      <c r="AC141" s="330">
        <v>9</v>
      </c>
      <c r="AD141" s="334">
        <v>5549</v>
      </c>
      <c r="AE141" s="334">
        <v>33</v>
      </c>
      <c r="AF141" s="334">
        <v>35</v>
      </c>
      <c r="AG141" s="334">
        <v>68</v>
      </c>
    </row>
    <row r="142" spans="1:33" x14ac:dyDescent="0.25">
      <c r="A142" s="329" t="s">
        <v>340</v>
      </c>
      <c r="B142" s="335" t="s">
        <v>341</v>
      </c>
      <c r="C142" s="331">
        <v>7459</v>
      </c>
      <c r="D142" s="331">
        <v>16</v>
      </c>
      <c r="E142" s="331">
        <v>420</v>
      </c>
      <c r="F142" s="331">
        <v>183</v>
      </c>
      <c r="G142" s="331">
        <v>1900</v>
      </c>
      <c r="H142" s="331">
        <v>9978</v>
      </c>
      <c r="I142" s="330">
        <v>8078</v>
      </c>
      <c r="J142" s="330">
        <v>68</v>
      </c>
      <c r="K142" s="332">
        <v>125.32</v>
      </c>
      <c r="L142" s="332">
        <v>125.38</v>
      </c>
      <c r="M142" s="332">
        <v>9.77</v>
      </c>
      <c r="N142" s="332">
        <v>132.69999999999999</v>
      </c>
      <c r="O142" s="333">
        <v>5887</v>
      </c>
      <c r="P142" s="330">
        <v>110.92</v>
      </c>
      <c r="Q142" s="330">
        <v>109.28</v>
      </c>
      <c r="R142" s="330">
        <v>61.57</v>
      </c>
      <c r="S142" s="330">
        <v>160.55000000000001</v>
      </c>
      <c r="T142" s="330">
        <v>325</v>
      </c>
      <c r="U142" s="330">
        <v>190.71</v>
      </c>
      <c r="V142" s="330">
        <v>732</v>
      </c>
      <c r="W142" s="330">
        <v>232.23</v>
      </c>
      <c r="X142" s="330">
        <v>107</v>
      </c>
      <c r="Y142" s="330">
        <v>0</v>
      </c>
      <c r="Z142" s="330">
        <v>10</v>
      </c>
      <c r="AA142" s="330">
        <v>4</v>
      </c>
      <c r="AB142" s="330">
        <v>54</v>
      </c>
      <c r="AC142" s="330">
        <v>91</v>
      </c>
      <c r="AD142" s="334">
        <v>6930</v>
      </c>
      <c r="AE142" s="334">
        <v>31</v>
      </c>
      <c r="AF142" s="334">
        <v>27</v>
      </c>
      <c r="AG142" s="334">
        <v>58</v>
      </c>
    </row>
    <row r="143" spans="1:33" x14ac:dyDescent="0.25">
      <c r="A143" s="329" t="s">
        <v>342</v>
      </c>
      <c r="B143" s="335" t="s">
        <v>343</v>
      </c>
      <c r="C143" s="331">
        <v>8280</v>
      </c>
      <c r="D143" s="331">
        <v>0</v>
      </c>
      <c r="E143" s="331">
        <v>349</v>
      </c>
      <c r="F143" s="331">
        <v>1053</v>
      </c>
      <c r="G143" s="331">
        <v>566</v>
      </c>
      <c r="H143" s="331">
        <v>10248</v>
      </c>
      <c r="I143" s="330">
        <v>9682</v>
      </c>
      <c r="J143" s="330">
        <v>8</v>
      </c>
      <c r="K143" s="332">
        <v>96.6</v>
      </c>
      <c r="L143" s="332">
        <v>31.91</v>
      </c>
      <c r="M143" s="332">
        <v>4.01</v>
      </c>
      <c r="N143" s="332">
        <v>98.1</v>
      </c>
      <c r="O143" s="333">
        <v>7862</v>
      </c>
      <c r="P143" s="330">
        <v>95.88</v>
      </c>
      <c r="Q143" s="330">
        <v>88.16</v>
      </c>
      <c r="R143" s="330">
        <v>44.38</v>
      </c>
      <c r="S143" s="330">
        <v>139.44</v>
      </c>
      <c r="T143" s="330">
        <v>747</v>
      </c>
      <c r="U143" s="330">
        <v>122.93</v>
      </c>
      <c r="V143" s="330">
        <v>194</v>
      </c>
      <c r="W143" s="330">
        <v>211.45</v>
      </c>
      <c r="X143" s="330">
        <v>55</v>
      </c>
      <c r="Y143" s="330">
        <v>0</v>
      </c>
      <c r="Z143" s="330">
        <v>22</v>
      </c>
      <c r="AA143" s="330">
        <v>1</v>
      </c>
      <c r="AB143" s="330">
        <v>38</v>
      </c>
      <c r="AC143" s="330">
        <v>15</v>
      </c>
      <c r="AD143" s="334">
        <v>8278</v>
      </c>
      <c r="AE143" s="334">
        <v>56</v>
      </c>
      <c r="AF143" s="334">
        <v>41</v>
      </c>
      <c r="AG143" s="334">
        <v>97</v>
      </c>
    </row>
    <row r="144" spans="1:33" x14ac:dyDescent="0.25">
      <c r="A144" s="329" t="s">
        <v>344</v>
      </c>
      <c r="B144" s="335" t="s">
        <v>345</v>
      </c>
      <c r="C144" s="331">
        <v>3038</v>
      </c>
      <c r="D144" s="331">
        <v>0</v>
      </c>
      <c r="E144" s="331">
        <v>212</v>
      </c>
      <c r="F144" s="331">
        <v>1624</v>
      </c>
      <c r="G144" s="331">
        <v>40</v>
      </c>
      <c r="H144" s="331">
        <v>4914</v>
      </c>
      <c r="I144" s="330">
        <v>4874</v>
      </c>
      <c r="J144" s="330">
        <v>95</v>
      </c>
      <c r="K144" s="332">
        <v>78.19</v>
      </c>
      <c r="L144" s="332">
        <v>78.59</v>
      </c>
      <c r="M144" s="332">
        <v>2.25</v>
      </c>
      <c r="N144" s="332">
        <v>79.36</v>
      </c>
      <c r="O144" s="333">
        <v>2935</v>
      </c>
      <c r="P144" s="330">
        <v>76.2</v>
      </c>
      <c r="Q144" s="330">
        <v>72.75</v>
      </c>
      <c r="R144" s="330">
        <v>18.63</v>
      </c>
      <c r="S144" s="330">
        <v>94.66</v>
      </c>
      <c r="T144" s="330">
        <v>1783</v>
      </c>
      <c r="U144" s="330">
        <v>90.57</v>
      </c>
      <c r="V144" s="330">
        <v>102</v>
      </c>
      <c r="W144" s="330">
        <v>241.93</v>
      </c>
      <c r="X144" s="330">
        <v>12</v>
      </c>
      <c r="Y144" s="330">
        <v>0</v>
      </c>
      <c r="Z144" s="330">
        <v>14</v>
      </c>
      <c r="AA144" s="330">
        <v>4</v>
      </c>
      <c r="AB144" s="330">
        <v>0</v>
      </c>
      <c r="AC144" s="330">
        <v>1</v>
      </c>
      <c r="AD144" s="334">
        <v>3038</v>
      </c>
      <c r="AE144" s="334">
        <v>37</v>
      </c>
      <c r="AF144" s="334">
        <v>12</v>
      </c>
      <c r="AG144" s="334">
        <v>49</v>
      </c>
    </row>
    <row r="145" spans="1:33" x14ac:dyDescent="0.25">
      <c r="A145" s="329" t="s">
        <v>346</v>
      </c>
      <c r="B145" s="335" t="s">
        <v>347</v>
      </c>
      <c r="C145" s="331">
        <v>3726</v>
      </c>
      <c r="D145" s="331">
        <v>0</v>
      </c>
      <c r="E145" s="331">
        <v>601</v>
      </c>
      <c r="F145" s="331">
        <v>743</v>
      </c>
      <c r="G145" s="331">
        <v>329</v>
      </c>
      <c r="H145" s="331">
        <v>5399</v>
      </c>
      <c r="I145" s="330">
        <v>5070</v>
      </c>
      <c r="J145" s="330">
        <v>19</v>
      </c>
      <c r="K145" s="332">
        <v>89.34</v>
      </c>
      <c r="L145" s="332">
        <v>89.26</v>
      </c>
      <c r="M145" s="332">
        <v>6.46</v>
      </c>
      <c r="N145" s="332">
        <v>94.19</v>
      </c>
      <c r="O145" s="333">
        <v>3138</v>
      </c>
      <c r="P145" s="330">
        <v>80.540000000000006</v>
      </c>
      <c r="Q145" s="330">
        <v>75.099999999999994</v>
      </c>
      <c r="R145" s="330">
        <v>55.25</v>
      </c>
      <c r="S145" s="330">
        <v>135.09</v>
      </c>
      <c r="T145" s="330">
        <v>1103</v>
      </c>
      <c r="U145" s="330">
        <v>100.04</v>
      </c>
      <c r="V145" s="330">
        <v>537</v>
      </c>
      <c r="W145" s="330">
        <v>89.07</v>
      </c>
      <c r="X145" s="330">
        <v>2</v>
      </c>
      <c r="Y145" s="330">
        <v>0</v>
      </c>
      <c r="Z145" s="330">
        <v>5</v>
      </c>
      <c r="AA145" s="330">
        <v>0</v>
      </c>
      <c r="AB145" s="330">
        <v>1</v>
      </c>
      <c r="AC145" s="330">
        <v>15</v>
      </c>
      <c r="AD145" s="334">
        <v>3726</v>
      </c>
      <c r="AE145" s="334">
        <v>14</v>
      </c>
      <c r="AF145" s="334">
        <v>28</v>
      </c>
      <c r="AG145" s="334">
        <v>42</v>
      </c>
    </row>
    <row r="146" spans="1:33" x14ac:dyDescent="0.25">
      <c r="A146" s="329" t="s">
        <v>348</v>
      </c>
      <c r="B146" s="335" t="s">
        <v>349</v>
      </c>
      <c r="C146" s="331">
        <v>6557</v>
      </c>
      <c r="D146" s="331">
        <v>11</v>
      </c>
      <c r="E146" s="331">
        <v>207</v>
      </c>
      <c r="F146" s="331">
        <v>405</v>
      </c>
      <c r="G146" s="331">
        <v>269</v>
      </c>
      <c r="H146" s="331">
        <v>7449</v>
      </c>
      <c r="I146" s="330">
        <v>7180</v>
      </c>
      <c r="J146" s="330">
        <v>0</v>
      </c>
      <c r="K146" s="332">
        <v>89.27</v>
      </c>
      <c r="L146" s="332">
        <v>87.96</v>
      </c>
      <c r="M146" s="332">
        <v>8.07</v>
      </c>
      <c r="N146" s="332">
        <v>94.03</v>
      </c>
      <c r="O146" s="333">
        <v>5743</v>
      </c>
      <c r="P146" s="330">
        <v>76.08</v>
      </c>
      <c r="Q146" s="330">
        <v>68.86</v>
      </c>
      <c r="R146" s="330">
        <v>37.67</v>
      </c>
      <c r="S146" s="330">
        <v>107.68</v>
      </c>
      <c r="T146" s="330">
        <v>583</v>
      </c>
      <c r="U146" s="330">
        <v>122.03</v>
      </c>
      <c r="V146" s="330">
        <v>297</v>
      </c>
      <c r="W146" s="330">
        <v>98.17</v>
      </c>
      <c r="X146" s="330">
        <v>13</v>
      </c>
      <c r="Y146" s="330">
        <v>0</v>
      </c>
      <c r="Z146" s="330">
        <v>1</v>
      </c>
      <c r="AA146" s="330">
        <v>0</v>
      </c>
      <c r="AB146" s="330">
        <v>14</v>
      </c>
      <c r="AC146" s="330">
        <v>3</v>
      </c>
      <c r="AD146" s="334">
        <v>6115</v>
      </c>
      <c r="AE146" s="334">
        <v>23</v>
      </c>
      <c r="AF146" s="334">
        <v>5</v>
      </c>
      <c r="AG146" s="334">
        <v>28</v>
      </c>
    </row>
    <row r="147" spans="1:33" x14ac:dyDescent="0.25">
      <c r="A147" s="329" t="s">
        <v>350</v>
      </c>
      <c r="B147" s="335" t="s">
        <v>351</v>
      </c>
      <c r="C147" s="331">
        <v>54</v>
      </c>
      <c r="D147" s="331">
        <v>0</v>
      </c>
      <c r="E147" s="331">
        <v>0</v>
      </c>
      <c r="F147" s="331">
        <v>7</v>
      </c>
      <c r="G147" s="331">
        <v>0</v>
      </c>
      <c r="H147" s="331">
        <v>61</v>
      </c>
      <c r="I147" s="330">
        <v>61</v>
      </c>
      <c r="J147" s="330">
        <v>0</v>
      </c>
      <c r="K147" s="332">
        <v>103.46</v>
      </c>
      <c r="L147" s="332">
        <v>105.3</v>
      </c>
      <c r="M147" s="332">
        <v>2.57</v>
      </c>
      <c r="N147" s="332">
        <v>104.51</v>
      </c>
      <c r="O147" s="333">
        <v>27</v>
      </c>
      <c r="P147" s="330">
        <v>97.32</v>
      </c>
      <c r="Q147" s="330">
        <v>87.35</v>
      </c>
      <c r="R147" s="330">
        <v>14.28</v>
      </c>
      <c r="S147" s="330">
        <v>111.6</v>
      </c>
      <c r="T147" s="330">
        <v>7</v>
      </c>
      <c r="U147" s="330">
        <v>117.42</v>
      </c>
      <c r="V147" s="330">
        <v>2</v>
      </c>
      <c r="W147" s="330">
        <v>0</v>
      </c>
      <c r="X147" s="330">
        <v>0</v>
      </c>
      <c r="Y147" s="330">
        <v>0</v>
      </c>
      <c r="Z147" s="330">
        <v>0</v>
      </c>
      <c r="AA147" s="330">
        <v>0</v>
      </c>
      <c r="AB147" s="330">
        <v>0</v>
      </c>
      <c r="AC147" s="330">
        <v>0</v>
      </c>
      <c r="AD147" s="334">
        <v>27</v>
      </c>
      <c r="AE147" s="334">
        <v>0</v>
      </c>
      <c r="AF147" s="334">
        <v>0</v>
      </c>
      <c r="AG147" s="334">
        <v>0</v>
      </c>
    </row>
    <row r="148" spans="1:33" x14ac:dyDescent="0.25">
      <c r="A148" s="329" t="s">
        <v>352</v>
      </c>
      <c r="B148" s="335" t="s">
        <v>353</v>
      </c>
      <c r="C148" s="331">
        <v>13529</v>
      </c>
      <c r="D148" s="331">
        <v>255</v>
      </c>
      <c r="E148" s="331">
        <v>1330</v>
      </c>
      <c r="F148" s="331">
        <v>789</v>
      </c>
      <c r="G148" s="331">
        <v>1389</v>
      </c>
      <c r="H148" s="331">
        <v>17292</v>
      </c>
      <c r="I148" s="330">
        <v>15903</v>
      </c>
      <c r="J148" s="330">
        <v>54</v>
      </c>
      <c r="K148" s="332">
        <v>126.78</v>
      </c>
      <c r="L148" s="332">
        <v>134.59</v>
      </c>
      <c r="M148" s="332">
        <v>11.08</v>
      </c>
      <c r="N148" s="332">
        <v>135.22999999999999</v>
      </c>
      <c r="O148" s="333">
        <v>11628</v>
      </c>
      <c r="P148" s="330">
        <v>120.04</v>
      </c>
      <c r="Q148" s="330">
        <v>120.52</v>
      </c>
      <c r="R148" s="330">
        <v>49.64</v>
      </c>
      <c r="S148" s="330">
        <v>165.25</v>
      </c>
      <c r="T148" s="330">
        <v>1670</v>
      </c>
      <c r="U148" s="330">
        <v>184.83</v>
      </c>
      <c r="V148" s="330">
        <v>542</v>
      </c>
      <c r="W148" s="330">
        <v>176.5</v>
      </c>
      <c r="X148" s="330">
        <v>2</v>
      </c>
      <c r="Y148" s="330">
        <v>9</v>
      </c>
      <c r="Z148" s="330">
        <v>4</v>
      </c>
      <c r="AA148" s="330">
        <v>0</v>
      </c>
      <c r="AB148" s="330">
        <v>28</v>
      </c>
      <c r="AC148" s="330">
        <v>75</v>
      </c>
      <c r="AD148" s="334">
        <v>12525</v>
      </c>
      <c r="AE148" s="334">
        <v>47</v>
      </c>
      <c r="AF148" s="334">
        <v>66</v>
      </c>
      <c r="AG148" s="334">
        <v>113</v>
      </c>
    </row>
    <row r="149" spans="1:33" x14ac:dyDescent="0.25">
      <c r="A149" s="329" t="s">
        <v>354</v>
      </c>
      <c r="B149" s="335" t="s">
        <v>355</v>
      </c>
      <c r="C149" s="331">
        <v>10769</v>
      </c>
      <c r="D149" s="331">
        <v>20</v>
      </c>
      <c r="E149" s="331">
        <v>976</v>
      </c>
      <c r="F149" s="331">
        <v>959</v>
      </c>
      <c r="G149" s="331">
        <v>564</v>
      </c>
      <c r="H149" s="331">
        <v>13288</v>
      </c>
      <c r="I149" s="330">
        <v>12724</v>
      </c>
      <c r="J149" s="330">
        <v>59</v>
      </c>
      <c r="K149" s="332">
        <v>125.92</v>
      </c>
      <c r="L149" s="332">
        <v>144.41999999999999</v>
      </c>
      <c r="M149" s="332">
        <v>11.56</v>
      </c>
      <c r="N149" s="332">
        <v>133.43</v>
      </c>
      <c r="O149" s="333">
        <v>9404</v>
      </c>
      <c r="P149" s="330">
        <v>119.87</v>
      </c>
      <c r="Q149" s="330">
        <v>123.74</v>
      </c>
      <c r="R149" s="330">
        <v>51.61</v>
      </c>
      <c r="S149" s="330">
        <v>162.44999999999999</v>
      </c>
      <c r="T149" s="330">
        <v>1453</v>
      </c>
      <c r="U149" s="330">
        <v>214.62</v>
      </c>
      <c r="V149" s="330">
        <v>535</v>
      </c>
      <c r="W149" s="330">
        <v>207.31</v>
      </c>
      <c r="X149" s="330">
        <v>27</v>
      </c>
      <c r="Y149" s="330">
        <v>0</v>
      </c>
      <c r="Z149" s="330">
        <v>0</v>
      </c>
      <c r="AA149" s="330">
        <v>0</v>
      </c>
      <c r="AB149" s="330">
        <v>25</v>
      </c>
      <c r="AC149" s="330">
        <v>11</v>
      </c>
      <c r="AD149" s="334">
        <v>9956</v>
      </c>
      <c r="AE149" s="334">
        <v>41</v>
      </c>
      <c r="AF149" s="334">
        <v>200</v>
      </c>
      <c r="AG149" s="334">
        <v>241</v>
      </c>
    </row>
    <row r="150" spans="1:33" x14ac:dyDescent="0.25">
      <c r="A150" s="329" t="s">
        <v>356</v>
      </c>
      <c r="B150" s="335" t="s">
        <v>357</v>
      </c>
      <c r="C150" s="331">
        <v>8411</v>
      </c>
      <c r="D150" s="331">
        <v>0</v>
      </c>
      <c r="E150" s="331">
        <v>362</v>
      </c>
      <c r="F150" s="331">
        <v>940</v>
      </c>
      <c r="G150" s="331">
        <v>203</v>
      </c>
      <c r="H150" s="331">
        <v>9916</v>
      </c>
      <c r="I150" s="330">
        <v>9713</v>
      </c>
      <c r="J150" s="330">
        <v>25</v>
      </c>
      <c r="K150" s="332">
        <v>84.44</v>
      </c>
      <c r="L150" s="332">
        <v>84.37</v>
      </c>
      <c r="M150" s="332">
        <v>3.62</v>
      </c>
      <c r="N150" s="332">
        <v>85.59</v>
      </c>
      <c r="O150" s="333">
        <v>7772</v>
      </c>
      <c r="P150" s="330">
        <v>83.19</v>
      </c>
      <c r="Q150" s="330">
        <v>80.25</v>
      </c>
      <c r="R150" s="330">
        <v>28.26</v>
      </c>
      <c r="S150" s="330">
        <v>109.11</v>
      </c>
      <c r="T150" s="330">
        <v>1275</v>
      </c>
      <c r="U150" s="330">
        <v>103.16</v>
      </c>
      <c r="V150" s="330">
        <v>597</v>
      </c>
      <c r="W150" s="330">
        <v>96.86</v>
      </c>
      <c r="X150" s="330">
        <v>10</v>
      </c>
      <c r="Y150" s="330">
        <v>0</v>
      </c>
      <c r="Z150" s="330">
        <v>24</v>
      </c>
      <c r="AA150" s="330">
        <v>1</v>
      </c>
      <c r="AB150" s="330">
        <v>3</v>
      </c>
      <c r="AC150" s="330">
        <v>9</v>
      </c>
      <c r="AD150" s="334">
        <v>8403</v>
      </c>
      <c r="AE150" s="334">
        <v>30</v>
      </c>
      <c r="AF150" s="334">
        <v>78</v>
      </c>
      <c r="AG150" s="334">
        <v>108</v>
      </c>
    </row>
    <row r="151" spans="1:33" x14ac:dyDescent="0.25">
      <c r="A151" s="329" t="s">
        <v>358</v>
      </c>
      <c r="B151" s="335" t="s">
        <v>359</v>
      </c>
      <c r="C151" s="331">
        <v>5780</v>
      </c>
      <c r="D151" s="331">
        <v>7</v>
      </c>
      <c r="E151" s="331">
        <v>926</v>
      </c>
      <c r="F151" s="331">
        <v>2148</v>
      </c>
      <c r="G151" s="331">
        <v>178</v>
      </c>
      <c r="H151" s="331">
        <v>9039</v>
      </c>
      <c r="I151" s="330">
        <v>8861</v>
      </c>
      <c r="J151" s="330">
        <v>4</v>
      </c>
      <c r="K151" s="332">
        <v>79.23</v>
      </c>
      <c r="L151" s="332">
        <v>79.86</v>
      </c>
      <c r="M151" s="332">
        <v>5.3</v>
      </c>
      <c r="N151" s="332">
        <v>83.23</v>
      </c>
      <c r="O151" s="333">
        <v>5093</v>
      </c>
      <c r="P151" s="330">
        <v>83.33</v>
      </c>
      <c r="Q151" s="330">
        <v>76.58</v>
      </c>
      <c r="R151" s="330">
        <v>33.53</v>
      </c>
      <c r="S151" s="330">
        <v>116.32</v>
      </c>
      <c r="T151" s="330">
        <v>2624</v>
      </c>
      <c r="U151" s="330">
        <v>96.15</v>
      </c>
      <c r="V151" s="330">
        <v>534</v>
      </c>
      <c r="W151" s="330">
        <v>183.2</v>
      </c>
      <c r="X151" s="330">
        <v>38</v>
      </c>
      <c r="Y151" s="330">
        <v>38</v>
      </c>
      <c r="Z151" s="330">
        <v>9</v>
      </c>
      <c r="AA151" s="330">
        <v>0</v>
      </c>
      <c r="AB151" s="330">
        <v>7</v>
      </c>
      <c r="AC151" s="330">
        <v>1</v>
      </c>
      <c r="AD151" s="334">
        <v>5634</v>
      </c>
      <c r="AE151" s="334">
        <v>32</v>
      </c>
      <c r="AF151" s="334">
        <v>23</v>
      </c>
      <c r="AG151" s="334">
        <v>55</v>
      </c>
    </row>
    <row r="152" spans="1:33" x14ac:dyDescent="0.25">
      <c r="A152" s="329" t="s">
        <v>360</v>
      </c>
      <c r="B152" s="335" t="s">
        <v>361</v>
      </c>
      <c r="C152" s="331">
        <v>2121</v>
      </c>
      <c r="D152" s="331">
        <v>15</v>
      </c>
      <c r="E152" s="331">
        <v>355</v>
      </c>
      <c r="F152" s="331">
        <v>219</v>
      </c>
      <c r="G152" s="331">
        <v>301</v>
      </c>
      <c r="H152" s="331">
        <v>3011</v>
      </c>
      <c r="I152" s="330">
        <v>2710</v>
      </c>
      <c r="J152" s="330">
        <v>27</v>
      </c>
      <c r="K152" s="332">
        <v>131.19999999999999</v>
      </c>
      <c r="L152" s="332">
        <v>132.69</v>
      </c>
      <c r="M152" s="332">
        <v>9.59</v>
      </c>
      <c r="N152" s="332">
        <v>139.61000000000001</v>
      </c>
      <c r="O152" s="333">
        <v>1549</v>
      </c>
      <c r="P152" s="330">
        <v>124.65</v>
      </c>
      <c r="Q152" s="330">
        <v>103.51</v>
      </c>
      <c r="R152" s="330">
        <v>39.54</v>
      </c>
      <c r="S152" s="330">
        <v>163.66</v>
      </c>
      <c r="T152" s="330">
        <v>369</v>
      </c>
      <c r="U152" s="330">
        <v>223.2</v>
      </c>
      <c r="V152" s="330">
        <v>311</v>
      </c>
      <c r="W152" s="330">
        <v>0</v>
      </c>
      <c r="X152" s="330">
        <v>0</v>
      </c>
      <c r="Y152" s="330">
        <v>126</v>
      </c>
      <c r="Z152" s="330">
        <v>0</v>
      </c>
      <c r="AA152" s="330">
        <v>0</v>
      </c>
      <c r="AB152" s="330">
        <v>1</v>
      </c>
      <c r="AC152" s="330">
        <v>9</v>
      </c>
      <c r="AD152" s="334">
        <v>1860</v>
      </c>
      <c r="AE152" s="334">
        <v>5</v>
      </c>
      <c r="AF152" s="334">
        <v>4</v>
      </c>
      <c r="AG152" s="334">
        <v>9</v>
      </c>
    </row>
    <row r="153" spans="1:33" x14ac:dyDescent="0.25">
      <c r="A153" s="329" t="s">
        <v>362</v>
      </c>
      <c r="B153" s="335" t="s">
        <v>363</v>
      </c>
      <c r="C153" s="331">
        <v>4098</v>
      </c>
      <c r="D153" s="331">
        <v>45</v>
      </c>
      <c r="E153" s="331">
        <v>452</v>
      </c>
      <c r="F153" s="331">
        <v>1248</v>
      </c>
      <c r="G153" s="331">
        <v>279</v>
      </c>
      <c r="H153" s="331">
        <v>6122</v>
      </c>
      <c r="I153" s="330">
        <v>5843</v>
      </c>
      <c r="J153" s="330">
        <v>37</v>
      </c>
      <c r="K153" s="332">
        <v>85.94</v>
      </c>
      <c r="L153" s="332">
        <v>84.42</v>
      </c>
      <c r="M153" s="332">
        <v>5.73</v>
      </c>
      <c r="N153" s="332">
        <v>90.29</v>
      </c>
      <c r="O153" s="333">
        <v>3488</v>
      </c>
      <c r="P153" s="330">
        <v>78.61</v>
      </c>
      <c r="Q153" s="330">
        <v>75.78</v>
      </c>
      <c r="R153" s="330">
        <v>32.020000000000003</v>
      </c>
      <c r="S153" s="330">
        <v>109.71</v>
      </c>
      <c r="T153" s="330">
        <v>1487</v>
      </c>
      <c r="U153" s="330">
        <v>97.36</v>
      </c>
      <c r="V153" s="330">
        <v>464</v>
      </c>
      <c r="W153" s="330">
        <v>106.64</v>
      </c>
      <c r="X153" s="330">
        <v>36</v>
      </c>
      <c r="Y153" s="330">
        <v>0</v>
      </c>
      <c r="Z153" s="330">
        <v>4</v>
      </c>
      <c r="AA153" s="330">
        <v>4</v>
      </c>
      <c r="AB153" s="330">
        <v>8</v>
      </c>
      <c r="AC153" s="330">
        <v>11</v>
      </c>
      <c r="AD153" s="334">
        <v>4090</v>
      </c>
      <c r="AE153" s="334">
        <v>31</v>
      </c>
      <c r="AF153" s="334">
        <v>16</v>
      </c>
      <c r="AG153" s="334">
        <v>47</v>
      </c>
    </row>
    <row r="154" spans="1:33" x14ac:dyDescent="0.25">
      <c r="A154" s="329" t="s">
        <v>364</v>
      </c>
      <c r="B154" s="335" t="s">
        <v>365</v>
      </c>
      <c r="C154" s="331">
        <v>16118</v>
      </c>
      <c r="D154" s="331">
        <v>9</v>
      </c>
      <c r="E154" s="331">
        <v>619</v>
      </c>
      <c r="F154" s="331">
        <v>1304</v>
      </c>
      <c r="G154" s="331">
        <v>272</v>
      </c>
      <c r="H154" s="331">
        <v>18322</v>
      </c>
      <c r="I154" s="330">
        <v>18050</v>
      </c>
      <c r="J154" s="330">
        <v>6</v>
      </c>
      <c r="K154" s="332">
        <v>85.41</v>
      </c>
      <c r="L154" s="332">
        <v>85.32</v>
      </c>
      <c r="M154" s="332">
        <v>11.01</v>
      </c>
      <c r="N154" s="332">
        <v>87.92</v>
      </c>
      <c r="O154" s="333">
        <v>14922</v>
      </c>
      <c r="P154" s="330">
        <v>85.89</v>
      </c>
      <c r="Q154" s="330">
        <v>85.16</v>
      </c>
      <c r="R154" s="330">
        <v>31.09</v>
      </c>
      <c r="S154" s="330">
        <v>112.23</v>
      </c>
      <c r="T154" s="330">
        <v>1631</v>
      </c>
      <c r="U154" s="330">
        <v>108.84</v>
      </c>
      <c r="V154" s="330">
        <v>919</v>
      </c>
      <c r="W154" s="330">
        <v>138.81</v>
      </c>
      <c r="X154" s="330">
        <v>142</v>
      </c>
      <c r="Y154" s="330">
        <v>0</v>
      </c>
      <c r="Z154" s="330">
        <v>143</v>
      </c>
      <c r="AA154" s="330">
        <v>3</v>
      </c>
      <c r="AB154" s="330">
        <v>17</v>
      </c>
      <c r="AC154" s="330">
        <v>1</v>
      </c>
      <c r="AD154" s="334">
        <v>15869</v>
      </c>
      <c r="AE154" s="334">
        <v>277</v>
      </c>
      <c r="AF154" s="334">
        <v>96</v>
      </c>
      <c r="AG154" s="334">
        <v>373</v>
      </c>
    </row>
    <row r="155" spans="1:33" x14ac:dyDescent="0.25">
      <c r="A155" s="329" t="s">
        <v>366</v>
      </c>
      <c r="B155" s="335" t="s">
        <v>367</v>
      </c>
      <c r="C155" s="331">
        <v>20756</v>
      </c>
      <c r="D155" s="331">
        <v>62</v>
      </c>
      <c r="E155" s="331">
        <v>1778</v>
      </c>
      <c r="F155" s="331">
        <v>1453</v>
      </c>
      <c r="G155" s="331">
        <v>2115</v>
      </c>
      <c r="H155" s="331">
        <v>26164</v>
      </c>
      <c r="I155" s="330">
        <v>24049</v>
      </c>
      <c r="J155" s="330">
        <v>124</v>
      </c>
      <c r="K155" s="332">
        <v>118.65</v>
      </c>
      <c r="L155" s="332">
        <v>124.92</v>
      </c>
      <c r="M155" s="332">
        <v>12.49</v>
      </c>
      <c r="N155" s="332">
        <v>129.02000000000001</v>
      </c>
      <c r="O155" s="333">
        <v>18283</v>
      </c>
      <c r="P155" s="330">
        <v>111.89</v>
      </c>
      <c r="Q155" s="330">
        <v>112.26</v>
      </c>
      <c r="R155" s="330">
        <v>47</v>
      </c>
      <c r="S155" s="330">
        <v>154.72999999999999</v>
      </c>
      <c r="T155" s="330">
        <v>2827</v>
      </c>
      <c r="U155" s="330">
        <v>186.35</v>
      </c>
      <c r="V155" s="330">
        <v>995</v>
      </c>
      <c r="W155" s="330">
        <v>201.59</v>
      </c>
      <c r="X155" s="330">
        <v>10</v>
      </c>
      <c r="Y155" s="330">
        <v>19</v>
      </c>
      <c r="Z155" s="330">
        <v>23</v>
      </c>
      <c r="AA155" s="330">
        <v>3</v>
      </c>
      <c r="AB155" s="330">
        <v>115</v>
      </c>
      <c r="AC155" s="330">
        <v>81</v>
      </c>
      <c r="AD155" s="334">
        <v>19610</v>
      </c>
      <c r="AE155" s="334">
        <v>71</v>
      </c>
      <c r="AF155" s="334">
        <v>109</v>
      </c>
      <c r="AG155" s="334">
        <v>180</v>
      </c>
    </row>
    <row r="156" spans="1:33" x14ac:dyDescent="0.25">
      <c r="A156" s="329" t="s">
        <v>368</v>
      </c>
      <c r="B156" s="335" t="s">
        <v>369</v>
      </c>
      <c r="C156" s="331">
        <v>1868</v>
      </c>
      <c r="D156" s="331">
        <v>4</v>
      </c>
      <c r="E156" s="331">
        <v>360</v>
      </c>
      <c r="F156" s="331">
        <v>449</v>
      </c>
      <c r="G156" s="331">
        <v>140</v>
      </c>
      <c r="H156" s="331">
        <v>2821</v>
      </c>
      <c r="I156" s="330">
        <v>2681</v>
      </c>
      <c r="J156" s="330">
        <v>0</v>
      </c>
      <c r="K156" s="332">
        <v>83.88</v>
      </c>
      <c r="L156" s="332">
        <v>81.260000000000005</v>
      </c>
      <c r="M156" s="332">
        <v>5.49</v>
      </c>
      <c r="N156" s="332">
        <v>88.52</v>
      </c>
      <c r="O156" s="333">
        <v>1326</v>
      </c>
      <c r="P156" s="330">
        <v>84.5</v>
      </c>
      <c r="Q156" s="330">
        <v>74.38</v>
      </c>
      <c r="R156" s="330">
        <v>47.37</v>
      </c>
      <c r="S156" s="330">
        <v>130.79</v>
      </c>
      <c r="T156" s="330">
        <v>707</v>
      </c>
      <c r="U156" s="330">
        <v>104.14</v>
      </c>
      <c r="V156" s="330">
        <v>482</v>
      </c>
      <c r="W156" s="330">
        <v>138.27000000000001</v>
      </c>
      <c r="X156" s="330">
        <v>9</v>
      </c>
      <c r="Y156" s="330">
        <v>40</v>
      </c>
      <c r="Z156" s="330">
        <v>0</v>
      </c>
      <c r="AA156" s="330">
        <v>1</v>
      </c>
      <c r="AB156" s="330">
        <v>25</v>
      </c>
      <c r="AC156" s="330">
        <v>4</v>
      </c>
      <c r="AD156" s="334">
        <v>1831</v>
      </c>
      <c r="AE156" s="334">
        <v>14</v>
      </c>
      <c r="AF156" s="334">
        <v>5</v>
      </c>
      <c r="AG156" s="334">
        <v>19</v>
      </c>
    </row>
    <row r="157" spans="1:33" x14ac:dyDescent="0.25">
      <c r="A157" s="329" t="s">
        <v>370</v>
      </c>
      <c r="B157" s="335" t="s">
        <v>371</v>
      </c>
      <c r="C157" s="331">
        <v>12763</v>
      </c>
      <c r="D157" s="331">
        <v>63</v>
      </c>
      <c r="E157" s="331">
        <v>1424</v>
      </c>
      <c r="F157" s="331">
        <v>2790</v>
      </c>
      <c r="G157" s="331">
        <v>1098</v>
      </c>
      <c r="H157" s="331">
        <v>18138</v>
      </c>
      <c r="I157" s="330">
        <v>17040</v>
      </c>
      <c r="J157" s="330">
        <v>89</v>
      </c>
      <c r="K157" s="332">
        <v>84.46</v>
      </c>
      <c r="L157" s="332">
        <v>83.55</v>
      </c>
      <c r="M157" s="332">
        <v>6.82</v>
      </c>
      <c r="N157" s="332">
        <v>88.8</v>
      </c>
      <c r="O157" s="333">
        <v>10803</v>
      </c>
      <c r="P157" s="330">
        <v>90.51</v>
      </c>
      <c r="Q157" s="330">
        <v>78</v>
      </c>
      <c r="R157" s="330">
        <v>46.13</v>
      </c>
      <c r="S157" s="330">
        <v>135.82</v>
      </c>
      <c r="T157" s="330">
        <v>3312</v>
      </c>
      <c r="U157" s="330">
        <v>103.71</v>
      </c>
      <c r="V157" s="330">
        <v>1070</v>
      </c>
      <c r="W157" s="330">
        <v>93.55</v>
      </c>
      <c r="X157" s="330">
        <v>20</v>
      </c>
      <c r="Y157" s="330">
        <v>2</v>
      </c>
      <c r="Z157" s="330">
        <v>9</v>
      </c>
      <c r="AA157" s="330">
        <v>0</v>
      </c>
      <c r="AB157" s="330">
        <v>82</v>
      </c>
      <c r="AC157" s="330">
        <v>54</v>
      </c>
      <c r="AD157" s="334">
        <v>12401</v>
      </c>
      <c r="AE157" s="334">
        <v>68</v>
      </c>
      <c r="AF157" s="334">
        <v>61</v>
      </c>
      <c r="AG157" s="334">
        <v>129</v>
      </c>
    </row>
    <row r="158" spans="1:33" x14ac:dyDescent="0.25">
      <c r="A158" s="329" t="s">
        <v>372</v>
      </c>
      <c r="B158" s="335" t="s">
        <v>373</v>
      </c>
      <c r="C158" s="331">
        <v>8934</v>
      </c>
      <c r="D158" s="331">
        <v>0</v>
      </c>
      <c r="E158" s="331">
        <v>881</v>
      </c>
      <c r="F158" s="331">
        <v>935</v>
      </c>
      <c r="G158" s="331">
        <v>525</v>
      </c>
      <c r="H158" s="331">
        <v>11275</v>
      </c>
      <c r="I158" s="330">
        <v>10750</v>
      </c>
      <c r="J158" s="330">
        <v>52</v>
      </c>
      <c r="K158" s="332">
        <v>84.74</v>
      </c>
      <c r="L158" s="332">
        <v>82.32</v>
      </c>
      <c r="M158" s="332">
        <v>8.17</v>
      </c>
      <c r="N158" s="332">
        <v>90.05</v>
      </c>
      <c r="O158" s="333">
        <v>7322</v>
      </c>
      <c r="P158" s="330">
        <v>81.489999999999995</v>
      </c>
      <c r="Q158" s="330">
        <v>79.510000000000005</v>
      </c>
      <c r="R158" s="330">
        <v>50.72</v>
      </c>
      <c r="S158" s="330">
        <v>131.58000000000001</v>
      </c>
      <c r="T158" s="330">
        <v>1516</v>
      </c>
      <c r="U158" s="330">
        <v>106.53</v>
      </c>
      <c r="V158" s="330">
        <v>730</v>
      </c>
      <c r="W158" s="330">
        <v>129.62</v>
      </c>
      <c r="X158" s="330">
        <v>77</v>
      </c>
      <c r="Y158" s="330">
        <v>47</v>
      </c>
      <c r="Z158" s="330">
        <v>8</v>
      </c>
      <c r="AA158" s="330">
        <v>15</v>
      </c>
      <c r="AB158" s="330">
        <v>6</v>
      </c>
      <c r="AC158" s="330">
        <v>30</v>
      </c>
      <c r="AD158" s="334">
        <v>8223</v>
      </c>
      <c r="AE158" s="334">
        <v>26</v>
      </c>
      <c r="AF158" s="334">
        <v>38</v>
      </c>
      <c r="AG158" s="334">
        <v>64</v>
      </c>
    </row>
    <row r="159" spans="1:33" x14ac:dyDescent="0.25">
      <c r="A159" s="329" t="s">
        <v>374</v>
      </c>
      <c r="B159" s="335" t="s">
        <v>375</v>
      </c>
      <c r="C159" s="331">
        <v>1106</v>
      </c>
      <c r="D159" s="331">
        <v>0</v>
      </c>
      <c r="E159" s="331">
        <v>157</v>
      </c>
      <c r="F159" s="331">
        <v>325</v>
      </c>
      <c r="G159" s="331">
        <v>246</v>
      </c>
      <c r="H159" s="331">
        <v>1834</v>
      </c>
      <c r="I159" s="330">
        <v>1588</v>
      </c>
      <c r="J159" s="330">
        <v>0</v>
      </c>
      <c r="K159" s="332">
        <v>93.17</v>
      </c>
      <c r="L159" s="332">
        <v>92.38</v>
      </c>
      <c r="M159" s="332">
        <v>9.25</v>
      </c>
      <c r="N159" s="332">
        <v>101.19</v>
      </c>
      <c r="O159" s="333">
        <v>951</v>
      </c>
      <c r="P159" s="330">
        <v>85.77</v>
      </c>
      <c r="Q159" s="330">
        <v>81.41</v>
      </c>
      <c r="R159" s="330">
        <v>58.74</v>
      </c>
      <c r="S159" s="330">
        <v>143.06</v>
      </c>
      <c r="T159" s="330">
        <v>201</v>
      </c>
      <c r="U159" s="330">
        <v>152.76</v>
      </c>
      <c r="V159" s="330">
        <v>135</v>
      </c>
      <c r="W159" s="330">
        <v>136.63999999999999</v>
      </c>
      <c r="X159" s="330">
        <v>9</v>
      </c>
      <c r="Y159" s="330">
        <v>0</v>
      </c>
      <c r="Z159" s="330">
        <v>0</v>
      </c>
      <c r="AA159" s="330">
        <v>0</v>
      </c>
      <c r="AB159" s="330">
        <v>10</v>
      </c>
      <c r="AC159" s="330">
        <v>9</v>
      </c>
      <c r="AD159" s="334">
        <v>1094</v>
      </c>
      <c r="AE159" s="334">
        <v>4</v>
      </c>
      <c r="AF159" s="334">
        <v>1</v>
      </c>
      <c r="AG159" s="334">
        <v>5</v>
      </c>
    </row>
    <row r="160" spans="1:33" x14ac:dyDescent="0.25">
      <c r="A160" s="329" t="s">
        <v>376</v>
      </c>
      <c r="B160" s="335" t="s">
        <v>377</v>
      </c>
      <c r="C160" s="331">
        <v>20823</v>
      </c>
      <c r="D160" s="331">
        <v>184</v>
      </c>
      <c r="E160" s="331">
        <v>1217</v>
      </c>
      <c r="F160" s="331">
        <v>652</v>
      </c>
      <c r="G160" s="331">
        <v>1721</v>
      </c>
      <c r="H160" s="331">
        <v>24597</v>
      </c>
      <c r="I160" s="330">
        <v>22876</v>
      </c>
      <c r="J160" s="330">
        <v>101</v>
      </c>
      <c r="K160" s="332">
        <v>110.48</v>
      </c>
      <c r="L160" s="332">
        <v>114.97</v>
      </c>
      <c r="M160" s="332">
        <v>9.51</v>
      </c>
      <c r="N160" s="332">
        <v>116.15</v>
      </c>
      <c r="O160" s="333">
        <v>18482</v>
      </c>
      <c r="P160" s="330">
        <v>107.85</v>
      </c>
      <c r="Q160" s="330">
        <v>107.81</v>
      </c>
      <c r="R160" s="330">
        <v>53.3</v>
      </c>
      <c r="S160" s="330">
        <v>155.97999999999999</v>
      </c>
      <c r="T160" s="330">
        <v>1608</v>
      </c>
      <c r="U160" s="330">
        <v>168.42</v>
      </c>
      <c r="V160" s="330">
        <v>1216</v>
      </c>
      <c r="W160" s="330">
        <v>271.87</v>
      </c>
      <c r="X160" s="330">
        <v>64</v>
      </c>
      <c r="Y160" s="330">
        <v>0</v>
      </c>
      <c r="Z160" s="330">
        <v>32</v>
      </c>
      <c r="AA160" s="330">
        <v>14</v>
      </c>
      <c r="AB160" s="330">
        <v>108</v>
      </c>
      <c r="AC160" s="330">
        <v>29</v>
      </c>
      <c r="AD160" s="334">
        <v>19943</v>
      </c>
      <c r="AE160" s="334">
        <v>79</v>
      </c>
      <c r="AF160" s="334">
        <v>61</v>
      </c>
      <c r="AG160" s="334">
        <v>140</v>
      </c>
    </row>
    <row r="161" spans="1:33" x14ac:dyDescent="0.25">
      <c r="A161" s="329" t="s">
        <v>378</v>
      </c>
      <c r="B161" s="335" t="s">
        <v>379</v>
      </c>
      <c r="C161" s="331">
        <v>5286</v>
      </c>
      <c r="D161" s="331">
        <v>16</v>
      </c>
      <c r="E161" s="331">
        <v>129</v>
      </c>
      <c r="F161" s="331">
        <v>272</v>
      </c>
      <c r="G161" s="331">
        <v>203</v>
      </c>
      <c r="H161" s="331">
        <v>5906</v>
      </c>
      <c r="I161" s="330">
        <v>5703</v>
      </c>
      <c r="J161" s="330">
        <v>4</v>
      </c>
      <c r="K161" s="332">
        <v>89.34</v>
      </c>
      <c r="L161" s="332">
        <v>89.06</v>
      </c>
      <c r="M161" s="332">
        <v>2.75</v>
      </c>
      <c r="N161" s="332">
        <v>91.36</v>
      </c>
      <c r="O161" s="333">
        <v>4933</v>
      </c>
      <c r="P161" s="330">
        <v>98.16</v>
      </c>
      <c r="Q161" s="330">
        <v>94.99</v>
      </c>
      <c r="R161" s="330">
        <v>32.31</v>
      </c>
      <c r="S161" s="330">
        <v>129.34</v>
      </c>
      <c r="T161" s="330">
        <v>401</v>
      </c>
      <c r="U161" s="330">
        <v>110.1</v>
      </c>
      <c r="V161" s="330">
        <v>339</v>
      </c>
      <c r="W161" s="330">
        <v>0</v>
      </c>
      <c r="X161" s="330">
        <v>0</v>
      </c>
      <c r="Y161" s="330">
        <v>0</v>
      </c>
      <c r="Z161" s="330">
        <v>7</v>
      </c>
      <c r="AA161" s="330">
        <v>17</v>
      </c>
      <c r="AB161" s="330">
        <v>1</v>
      </c>
      <c r="AC161" s="330">
        <v>1</v>
      </c>
      <c r="AD161" s="334">
        <v>5284</v>
      </c>
      <c r="AE161" s="334">
        <v>5</v>
      </c>
      <c r="AF161" s="334">
        <v>21</v>
      </c>
      <c r="AG161" s="334">
        <v>26</v>
      </c>
    </row>
    <row r="162" spans="1:33" x14ac:dyDescent="0.25">
      <c r="A162" s="329" t="s">
        <v>380</v>
      </c>
      <c r="B162" s="335" t="s">
        <v>381</v>
      </c>
      <c r="C162" s="331">
        <v>1292</v>
      </c>
      <c r="D162" s="331">
        <v>0</v>
      </c>
      <c r="E162" s="331">
        <v>440</v>
      </c>
      <c r="F162" s="331">
        <v>169</v>
      </c>
      <c r="G162" s="331">
        <v>230</v>
      </c>
      <c r="H162" s="331">
        <v>2131</v>
      </c>
      <c r="I162" s="330">
        <v>1901</v>
      </c>
      <c r="J162" s="330">
        <v>12</v>
      </c>
      <c r="K162" s="332">
        <v>80.42</v>
      </c>
      <c r="L162" s="332">
        <v>80.3</v>
      </c>
      <c r="M162" s="332">
        <v>6.97</v>
      </c>
      <c r="N162" s="332">
        <v>86.36</v>
      </c>
      <c r="O162" s="333">
        <v>960</v>
      </c>
      <c r="P162" s="330">
        <v>90.63</v>
      </c>
      <c r="Q162" s="330">
        <v>83.76</v>
      </c>
      <c r="R162" s="330">
        <v>44.87</v>
      </c>
      <c r="S162" s="330">
        <v>129.97999999999999</v>
      </c>
      <c r="T162" s="330">
        <v>211</v>
      </c>
      <c r="U162" s="330">
        <v>97.19</v>
      </c>
      <c r="V162" s="330">
        <v>154</v>
      </c>
      <c r="W162" s="330">
        <v>241.5</v>
      </c>
      <c r="X162" s="330">
        <v>16</v>
      </c>
      <c r="Y162" s="330">
        <v>0</v>
      </c>
      <c r="Z162" s="330">
        <v>1</v>
      </c>
      <c r="AA162" s="330">
        <v>0</v>
      </c>
      <c r="AB162" s="330">
        <v>12</v>
      </c>
      <c r="AC162" s="330">
        <v>11</v>
      </c>
      <c r="AD162" s="334">
        <v>1265</v>
      </c>
      <c r="AE162" s="334">
        <v>4</v>
      </c>
      <c r="AF162" s="334">
        <v>4</v>
      </c>
      <c r="AG162" s="334">
        <v>8</v>
      </c>
    </row>
    <row r="163" spans="1:33" x14ac:dyDescent="0.25">
      <c r="A163" s="329" t="s">
        <v>382</v>
      </c>
      <c r="B163" s="335" t="s">
        <v>383</v>
      </c>
      <c r="C163" s="331">
        <v>52348</v>
      </c>
      <c r="D163" s="331">
        <v>12</v>
      </c>
      <c r="E163" s="331">
        <v>2045</v>
      </c>
      <c r="F163" s="331">
        <v>3953</v>
      </c>
      <c r="G163" s="331">
        <v>723</v>
      </c>
      <c r="H163" s="331">
        <v>59081</v>
      </c>
      <c r="I163" s="330">
        <v>58358</v>
      </c>
      <c r="J163" s="330">
        <v>36</v>
      </c>
      <c r="K163" s="332">
        <v>84.7</v>
      </c>
      <c r="L163" s="332">
        <v>84.3</v>
      </c>
      <c r="M163" s="332">
        <v>9.2799999999999994</v>
      </c>
      <c r="N163" s="332">
        <v>87.2</v>
      </c>
      <c r="O163" s="333">
        <v>44874</v>
      </c>
      <c r="P163" s="330">
        <v>83.53</v>
      </c>
      <c r="Q163" s="330">
        <v>80.33</v>
      </c>
      <c r="R163" s="330">
        <v>42.45</v>
      </c>
      <c r="S163" s="330">
        <v>124.65</v>
      </c>
      <c r="T163" s="330">
        <v>5133</v>
      </c>
      <c r="U163" s="330">
        <v>102.33</v>
      </c>
      <c r="V163" s="330">
        <v>4879</v>
      </c>
      <c r="W163" s="330">
        <v>131.82</v>
      </c>
      <c r="X163" s="330">
        <v>123</v>
      </c>
      <c r="Y163" s="330">
        <v>0</v>
      </c>
      <c r="Z163" s="330">
        <v>309</v>
      </c>
      <c r="AA163" s="330">
        <v>195</v>
      </c>
      <c r="AB163" s="330">
        <v>34</v>
      </c>
      <c r="AC163" s="330">
        <v>27</v>
      </c>
      <c r="AD163" s="334">
        <v>49900</v>
      </c>
      <c r="AE163" s="334">
        <v>340</v>
      </c>
      <c r="AF163" s="334">
        <v>445</v>
      </c>
      <c r="AG163" s="334">
        <v>785</v>
      </c>
    </row>
    <row r="164" spans="1:33" x14ac:dyDescent="0.25">
      <c r="A164" s="329" t="s">
        <v>384</v>
      </c>
      <c r="B164" s="335" t="s">
        <v>385</v>
      </c>
      <c r="C164" s="331">
        <v>3595</v>
      </c>
      <c r="D164" s="331">
        <v>5</v>
      </c>
      <c r="E164" s="331">
        <v>294</v>
      </c>
      <c r="F164" s="331">
        <v>330</v>
      </c>
      <c r="G164" s="331">
        <v>200</v>
      </c>
      <c r="H164" s="331">
        <v>4424</v>
      </c>
      <c r="I164" s="330">
        <v>4224</v>
      </c>
      <c r="J164" s="330">
        <v>5</v>
      </c>
      <c r="K164" s="332">
        <v>102.91</v>
      </c>
      <c r="L164" s="332">
        <v>101.55</v>
      </c>
      <c r="M164" s="332">
        <v>6.31</v>
      </c>
      <c r="N164" s="332">
        <v>107.44</v>
      </c>
      <c r="O164" s="333">
        <v>2846</v>
      </c>
      <c r="P164" s="330">
        <v>101.51</v>
      </c>
      <c r="Q164" s="330">
        <v>98.05</v>
      </c>
      <c r="R164" s="330">
        <v>36.61</v>
      </c>
      <c r="S164" s="330">
        <v>136.80000000000001</v>
      </c>
      <c r="T164" s="330">
        <v>417</v>
      </c>
      <c r="U164" s="330">
        <v>128.57</v>
      </c>
      <c r="V164" s="330">
        <v>302</v>
      </c>
      <c r="W164" s="330">
        <v>0</v>
      </c>
      <c r="X164" s="330">
        <v>0</v>
      </c>
      <c r="Y164" s="330">
        <v>0</v>
      </c>
      <c r="Z164" s="330">
        <v>2</v>
      </c>
      <c r="AA164" s="330">
        <v>1</v>
      </c>
      <c r="AB164" s="330">
        <v>18</v>
      </c>
      <c r="AC164" s="330">
        <v>8</v>
      </c>
      <c r="AD164" s="334">
        <v>3236</v>
      </c>
      <c r="AE164" s="334">
        <v>7</v>
      </c>
      <c r="AF164" s="334">
        <v>6</v>
      </c>
      <c r="AG164" s="334">
        <v>13</v>
      </c>
    </row>
    <row r="165" spans="1:33" x14ac:dyDescent="0.25">
      <c r="A165" s="329" t="s">
        <v>386</v>
      </c>
      <c r="B165" s="335" t="s">
        <v>387</v>
      </c>
      <c r="C165" s="331">
        <v>7574</v>
      </c>
      <c r="D165" s="331">
        <v>0</v>
      </c>
      <c r="E165" s="331">
        <v>260</v>
      </c>
      <c r="F165" s="331">
        <v>1132</v>
      </c>
      <c r="G165" s="331">
        <v>694</v>
      </c>
      <c r="H165" s="331">
        <v>9660</v>
      </c>
      <c r="I165" s="330">
        <v>8966</v>
      </c>
      <c r="J165" s="330">
        <v>3</v>
      </c>
      <c r="K165" s="332">
        <v>97.37</v>
      </c>
      <c r="L165" s="332">
        <v>100.72</v>
      </c>
      <c r="M165" s="332">
        <v>5.43</v>
      </c>
      <c r="N165" s="332">
        <v>101.54</v>
      </c>
      <c r="O165" s="333">
        <v>6102</v>
      </c>
      <c r="P165" s="330">
        <v>87.6</v>
      </c>
      <c r="Q165" s="330">
        <v>90.36</v>
      </c>
      <c r="R165" s="330">
        <v>16.739999999999998</v>
      </c>
      <c r="S165" s="330">
        <v>104.22</v>
      </c>
      <c r="T165" s="330">
        <v>1244</v>
      </c>
      <c r="U165" s="330">
        <v>157.43</v>
      </c>
      <c r="V165" s="330">
        <v>1117</v>
      </c>
      <c r="W165" s="330">
        <v>213.73</v>
      </c>
      <c r="X165" s="330">
        <v>63</v>
      </c>
      <c r="Y165" s="330">
        <v>2</v>
      </c>
      <c r="Z165" s="330">
        <v>15</v>
      </c>
      <c r="AA165" s="330">
        <v>1</v>
      </c>
      <c r="AB165" s="330">
        <v>42</v>
      </c>
      <c r="AC165" s="330">
        <v>20</v>
      </c>
      <c r="AD165" s="334">
        <v>7160</v>
      </c>
      <c r="AE165" s="334">
        <v>6</v>
      </c>
      <c r="AF165" s="334">
        <v>30</v>
      </c>
      <c r="AG165" s="334">
        <v>36</v>
      </c>
    </row>
    <row r="166" spans="1:33" x14ac:dyDescent="0.25">
      <c r="A166" s="329" t="s">
        <v>388</v>
      </c>
      <c r="B166" s="335" t="s">
        <v>389</v>
      </c>
      <c r="C166" s="331">
        <v>2178</v>
      </c>
      <c r="D166" s="331">
        <v>0</v>
      </c>
      <c r="E166" s="331">
        <v>28</v>
      </c>
      <c r="F166" s="331">
        <v>811</v>
      </c>
      <c r="G166" s="331">
        <v>59</v>
      </c>
      <c r="H166" s="331">
        <v>3076</v>
      </c>
      <c r="I166" s="330">
        <v>3017</v>
      </c>
      <c r="J166" s="330">
        <v>0</v>
      </c>
      <c r="K166" s="332">
        <v>104.27</v>
      </c>
      <c r="L166" s="332">
        <v>100.47</v>
      </c>
      <c r="M166" s="332">
        <v>4.5999999999999996</v>
      </c>
      <c r="N166" s="332">
        <v>107.34</v>
      </c>
      <c r="O166" s="333">
        <v>1947</v>
      </c>
      <c r="P166" s="330">
        <v>88.34</v>
      </c>
      <c r="Q166" s="330">
        <v>84.75</v>
      </c>
      <c r="R166" s="330">
        <v>13.46</v>
      </c>
      <c r="S166" s="330">
        <v>101.69</v>
      </c>
      <c r="T166" s="330">
        <v>765</v>
      </c>
      <c r="U166" s="330">
        <v>133.4</v>
      </c>
      <c r="V166" s="330">
        <v>223</v>
      </c>
      <c r="W166" s="330">
        <v>115.07</v>
      </c>
      <c r="X166" s="330">
        <v>1</v>
      </c>
      <c r="Y166" s="330">
        <v>0</v>
      </c>
      <c r="Z166" s="330">
        <v>0</v>
      </c>
      <c r="AA166" s="330">
        <v>0</v>
      </c>
      <c r="AB166" s="330">
        <v>0</v>
      </c>
      <c r="AC166" s="330">
        <v>1</v>
      </c>
      <c r="AD166" s="334">
        <v>2178</v>
      </c>
      <c r="AE166" s="334">
        <v>11</v>
      </c>
      <c r="AF166" s="334">
        <v>5</v>
      </c>
      <c r="AG166" s="334">
        <v>16</v>
      </c>
    </row>
    <row r="167" spans="1:33" x14ac:dyDescent="0.25">
      <c r="A167" s="329" t="s">
        <v>390</v>
      </c>
      <c r="B167" s="335" t="s">
        <v>391</v>
      </c>
      <c r="C167" s="331">
        <v>4101</v>
      </c>
      <c r="D167" s="331">
        <v>0</v>
      </c>
      <c r="E167" s="331">
        <v>62</v>
      </c>
      <c r="F167" s="331">
        <v>590</v>
      </c>
      <c r="G167" s="331">
        <v>321</v>
      </c>
      <c r="H167" s="331">
        <v>5074</v>
      </c>
      <c r="I167" s="330">
        <v>4753</v>
      </c>
      <c r="J167" s="330">
        <v>7</v>
      </c>
      <c r="K167" s="332">
        <v>97.5</v>
      </c>
      <c r="L167" s="332">
        <v>97.35</v>
      </c>
      <c r="M167" s="332">
        <v>3.55</v>
      </c>
      <c r="N167" s="332">
        <v>100.72</v>
      </c>
      <c r="O167" s="333">
        <v>3796</v>
      </c>
      <c r="P167" s="330">
        <v>91.2</v>
      </c>
      <c r="Q167" s="330">
        <v>93.23</v>
      </c>
      <c r="R167" s="330">
        <v>25.56</v>
      </c>
      <c r="S167" s="330">
        <v>116.5</v>
      </c>
      <c r="T167" s="330">
        <v>604</v>
      </c>
      <c r="U167" s="330">
        <v>115.23</v>
      </c>
      <c r="V167" s="330">
        <v>231</v>
      </c>
      <c r="W167" s="330">
        <v>160.91999999999999</v>
      </c>
      <c r="X167" s="330">
        <v>45</v>
      </c>
      <c r="Y167" s="330">
        <v>0</v>
      </c>
      <c r="Z167" s="330">
        <v>5</v>
      </c>
      <c r="AA167" s="330">
        <v>0</v>
      </c>
      <c r="AB167" s="330">
        <v>17</v>
      </c>
      <c r="AC167" s="330">
        <v>6</v>
      </c>
      <c r="AD167" s="334">
        <v>4100</v>
      </c>
      <c r="AE167" s="334">
        <v>2</v>
      </c>
      <c r="AF167" s="334">
        <v>11</v>
      </c>
      <c r="AG167" s="334">
        <v>13</v>
      </c>
    </row>
    <row r="168" spans="1:33" x14ac:dyDescent="0.25">
      <c r="A168" s="329" t="s">
        <v>392</v>
      </c>
      <c r="B168" s="335" t="s">
        <v>393</v>
      </c>
      <c r="C168" s="331">
        <v>46492</v>
      </c>
      <c r="D168" s="331">
        <v>47</v>
      </c>
      <c r="E168" s="331">
        <v>1551</v>
      </c>
      <c r="F168" s="331">
        <v>3264</v>
      </c>
      <c r="G168" s="331">
        <v>1196</v>
      </c>
      <c r="H168" s="331">
        <v>52550</v>
      </c>
      <c r="I168" s="330">
        <v>51354</v>
      </c>
      <c r="J168" s="330">
        <v>5</v>
      </c>
      <c r="K168" s="332">
        <v>82.54</v>
      </c>
      <c r="L168" s="332">
        <v>83.38</v>
      </c>
      <c r="M168" s="332">
        <v>4.53</v>
      </c>
      <c r="N168" s="332">
        <v>84.19</v>
      </c>
      <c r="O168" s="333">
        <v>43236</v>
      </c>
      <c r="P168" s="330">
        <v>82.7</v>
      </c>
      <c r="Q168" s="330">
        <v>74.41</v>
      </c>
      <c r="R168" s="330">
        <v>37.07</v>
      </c>
      <c r="S168" s="330">
        <v>117.25</v>
      </c>
      <c r="T168" s="330">
        <v>4348</v>
      </c>
      <c r="U168" s="330">
        <v>107.45</v>
      </c>
      <c r="V168" s="330">
        <v>2269</v>
      </c>
      <c r="W168" s="330">
        <v>137.29</v>
      </c>
      <c r="X168" s="330">
        <v>1</v>
      </c>
      <c r="Y168" s="330">
        <v>202</v>
      </c>
      <c r="Z168" s="330">
        <v>222</v>
      </c>
      <c r="AA168" s="330">
        <v>9</v>
      </c>
      <c r="AB168" s="330">
        <v>64</v>
      </c>
      <c r="AC168" s="330">
        <v>48</v>
      </c>
      <c r="AD168" s="334">
        <v>45601</v>
      </c>
      <c r="AE168" s="334">
        <v>120</v>
      </c>
      <c r="AF168" s="334">
        <v>191</v>
      </c>
      <c r="AG168" s="334">
        <v>311</v>
      </c>
    </row>
    <row r="169" spans="1:33" x14ac:dyDescent="0.25">
      <c r="A169" s="329" t="s">
        <v>394</v>
      </c>
      <c r="B169" s="335" t="s">
        <v>395</v>
      </c>
      <c r="C169" s="331">
        <v>1737</v>
      </c>
      <c r="D169" s="331">
        <v>0</v>
      </c>
      <c r="E169" s="331">
        <v>373</v>
      </c>
      <c r="F169" s="331">
        <v>81</v>
      </c>
      <c r="G169" s="331">
        <v>89</v>
      </c>
      <c r="H169" s="331">
        <v>2280</v>
      </c>
      <c r="I169" s="330">
        <v>2191</v>
      </c>
      <c r="J169" s="330">
        <v>1</v>
      </c>
      <c r="K169" s="332">
        <v>82.3</v>
      </c>
      <c r="L169" s="332">
        <v>80.430000000000007</v>
      </c>
      <c r="M169" s="332">
        <v>6.22</v>
      </c>
      <c r="N169" s="332">
        <v>85.28</v>
      </c>
      <c r="O169" s="333">
        <v>1671</v>
      </c>
      <c r="P169" s="330">
        <v>98.79</v>
      </c>
      <c r="Q169" s="330">
        <v>74.97</v>
      </c>
      <c r="R169" s="330">
        <v>50.35</v>
      </c>
      <c r="S169" s="330">
        <v>147.01</v>
      </c>
      <c r="T169" s="330">
        <v>308</v>
      </c>
      <c r="U169" s="330">
        <v>92.98</v>
      </c>
      <c r="V169" s="330">
        <v>53</v>
      </c>
      <c r="W169" s="330">
        <v>0</v>
      </c>
      <c r="X169" s="330">
        <v>0</v>
      </c>
      <c r="Y169" s="330">
        <v>0</v>
      </c>
      <c r="Z169" s="330">
        <v>11</v>
      </c>
      <c r="AA169" s="330">
        <v>13</v>
      </c>
      <c r="AB169" s="330">
        <v>4</v>
      </c>
      <c r="AC169" s="330">
        <v>4</v>
      </c>
      <c r="AD169" s="334">
        <v>1723</v>
      </c>
      <c r="AE169" s="334">
        <v>5</v>
      </c>
      <c r="AF169" s="334">
        <v>17</v>
      </c>
      <c r="AG169" s="334">
        <v>22</v>
      </c>
    </row>
    <row r="170" spans="1:33" x14ac:dyDescent="0.25">
      <c r="A170" s="329" t="s">
        <v>396</v>
      </c>
      <c r="B170" s="335" t="s">
        <v>397</v>
      </c>
      <c r="C170" s="331">
        <v>3971</v>
      </c>
      <c r="D170" s="331">
        <v>0</v>
      </c>
      <c r="E170" s="331">
        <v>382</v>
      </c>
      <c r="F170" s="331">
        <v>678</v>
      </c>
      <c r="G170" s="331">
        <v>1131</v>
      </c>
      <c r="H170" s="331">
        <v>6162</v>
      </c>
      <c r="I170" s="330">
        <v>5031</v>
      </c>
      <c r="J170" s="330">
        <v>2</v>
      </c>
      <c r="K170" s="332">
        <v>100.98</v>
      </c>
      <c r="L170" s="332">
        <v>98.12</v>
      </c>
      <c r="M170" s="332">
        <v>7.14</v>
      </c>
      <c r="N170" s="332">
        <v>106.66</v>
      </c>
      <c r="O170" s="333">
        <v>2994</v>
      </c>
      <c r="P170" s="330">
        <v>92.37</v>
      </c>
      <c r="Q170" s="330">
        <v>88.17</v>
      </c>
      <c r="R170" s="330">
        <v>36.840000000000003</v>
      </c>
      <c r="S170" s="330">
        <v>128.88999999999999</v>
      </c>
      <c r="T170" s="330">
        <v>791</v>
      </c>
      <c r="U170" s="330">
        <v>127.3</v>
      </c>
      <c r="V170" s="330">
        <v>595</v>
      </c>
      <c r="W170" s="330">
        <v>163.53</v>
      </c>
      <c r="X170" s="330">
        <v>61</v>
      </c>
      <c r="Y170" s="330">
        <v>30</v>
      </c>
      <c r="Z170" s="330">
        <v>4</v>
      </c>
      <c r="AA170" s="330">
        <v>2</v>
      </c>
      <c r="AB170" s="330">
        <v>21</v>
      </c>
      <c r="AC170" s="330">
        <v>33</v>
      </c>
      <c r="AD170" s="334">
        <v>3606</v>
      </c>
      <c r="AE170" s="334">
        <v>14</v>
      </c>
      <c r="AF170" s="334">
        <v>12</v>
      </c>
      <c r="AG170" s="334">
        <v>26</v>
      </c>
    </row>
    <row r="171" spans="1:33" x14ac:dyDescent="0.25">
      <c r="A171" s="329" t="s">
        <v>398</v>
      </c>
      <c r="B171" s="335" t="s">
        <v>399</v>
      </c>
      <c r="C171" s="331">
        <v>513</v>
      </c>
      <c r="D171" s="331">
        <v>0</v>
      </c>
      <c r="E171" s="331">
        <v>66</v>
      </c>
      <c r="F171" s="331">
        <v>76</v>
      </c>
      <c r="G171" s="331">
        <v>159</v>
      </c>
      <c r="H171" s="331">
        <v>814</v>
      </c>
      <c r="I171" s="330">
        <v>655</v>
      </c>
      <c r="J171" s="330">
        <v>3</v>
      </c>
      <c r="K171" s="332">
        <v>93.04</v>
      </c>
      <c r="L171" s="332">
        <v>89.62</v>
      </c>
      <c r="M171" s="332">
        <v>3.04</v>
      </c>
      <c r="N171" s="332">
        <v>95.24</v>
      </c>
      <c r="O171" s="333">
        <v>426</v>
      </c>
      <c r="P171" s="330">
        <v>80.06</v>
      </c>
      <c r="Q171" s="330">
        <v>80.53</v>
      </c>
      <c r="R171" s="330">
        <v>60.26</v>
      </c>
      <c r="S171" s="330">
        <v>139.9</v>
      </c>
      <c r="T171" s="330">
        <v>142</v>
      </c>
      <c r="U171" s="330">
        <v>101.74</v>
      </c>
      <c r="V171" s="330">
        <v>65</v>
      </c>
      <c r="W171" s="330">
        <v>0</v>
      </c>
      <c r="X171" s="330">
        <v>0</v>
      </c>
      <c r="Y171" s="330">
        <v>0</v>
      </c>
      <c r="Z171" s="330">
        <v>3</v>
      </c>
      <c r="AA171" s="330">
        <v>0</v>
      </c>
      <c r="AB171" s="330">
        <v>7</v>
      </c>
      <c r="AC171" s="330">
        <v>2</v>
      </c>
      <c r="AD171" s="334">
        <v>512</v>
      </c>
      <c r="AE171" s="334">
        <v>9</v>
      </c>
      <c r="AF171" s="334">
        <v>1</v>
      </c>
      <c r="AG171" s="334">
        <v>10</v>
      </c>
    </row>
    <row r="172" spans="1:33" x14ac:dyDescent="0.25">
      <c r="A172" s="329" t="s">
        <v>400</v>
      </c>
      <c r="B172" s="335" t="s">
        <v>401</v>
      </c>
      <c r="C172" s="331">
        <v>4993</v>
      </c>
      <c r="D172" s="331">
        <v>0</v>
      </c>
      <c r="E172" s="331">
        <v>434</v>
      </c>
      <c r="F172" s="331">
        <v>921</v>
      </c>
      <c r="G172" s="331">
        <v>372</v>
      </c>
      <c r="H172" s="331">
        <v>6720</v>
      </c>
      <c r="I172" s="330">
        <v>6348</v>
      </c>
      <c r="J172" s="330">
        <v>0</v>
      </c>
      <c r="K172" s="332">
        <v>94.28</v>
      </c>
      <c r="L172" s="332">
        <v>93.73</v>
      </c>
      <c r="M172" s="332">
        <v>3.43</v>
      </c>
      <c r="N172" s="332">
        <v>95.94</v>
      </c>
      <c r="O172" s="333">
        <v>4155</v>
      </c>
      <c r="P172" s="330">
        <v>86.24</v>
      </c>
      <c r="Q172" s="330">
        <v>80.72</v>
      </c>
      <c r="R172" s="330">
        <v>23.4</v>
      </c>
      <c r="S172" s="330">
        <v>108.26</v>
      </c>
      <c r="T172" s="330">
        <v>1167</v>
      </c>
      <c r="U172" s="330">
        <v>114.78</v>
      </c>
      <c r="V172" s="330">
        <v>700</v>
      </c>
      <c r="W172" s="330">
        <v>114.73</v>
      </c>
      <c r="X172" s="330">
        <v>31</v>
      </c>
      <c r="Y172" s="330">
        <v>0</v>
      </c>
      <c r="Z172" s="330">
        <v>10</v>
      </c>
      <c r="AA172" s="330">
        <v>0</v>
      </c>
      <c r="AB172" s="330">
        <v>21</v>
      </c>
      <c r="AC172" s="330">
        <v>5</v>
      </c>
      <c r="AD172" s="334">
        <v>4862</v>
      </c>
      <c r="AE172" s="334">
        <v>6</v>
      </c>
      <c r="AF172" s="334">
        <v>17</v>
      </c>
      <c r="AG172" s="334">
        <v>23</v>
      </c>
    </row>
    <row r="173" spans="1:33" x14ac:dyDescent="0.25">
      <c r="A173" s="329" t="s">
        <v>402</v>
      </c>
      <c r="B173" s="335" t="s">
        <v>403</v>
      </c>
      <c r="C173" s="331">
        <v>10078</v>
      </c>
      <c r="D173" s="331">
        <v>4</v>
      </c>
      <c r="E173" s="331">
        <v>420</v>
      </c>
      <c r="F173" s="331">
        <v>808</v>
      </c>
      <c r="G173" s="331">
        <v>642</v>
      </c>
      <c r="H173" s="331">
        <v>11952</v>
      </c>
      <c r="I173" s="330">
        <v>11310</v>
      </c>
      <c r="J173" s="330">
        <v>27</v>
      </c>
      <c r="K173" s="332">
        <v>115.12</v>
      </c>
      <c r="L173" s="332">
        <v>114.82</v>
      </c>
      <c r="M173" s="332">
        <v>6.51</v>
      </c>
      <c r="N173" s="332">
        <v>121.34</v>
      </c>
      <c r="O173" s="333">
        <v>8808</v>
      </c>
      <c r="P173" s="330">
        <v>108.46</v>
      </c>
      <c r="Q173" s="330">
        <v>106.47</v>
      </c>
      <c r="R173" s="330">
        <v>30.62</v>
      </c>
      <c r="S173" s="330">
        <v>138.97999999999999</v>
      </c>
      <c r="T173" s="330">
        <v>931</v>
      </c>
      <c r="U173" s="330">
        <v>148.74</v>
      </c>
      <c r="V173" s="330">
        <v>1122</v>
      </c>
      <c r="W173" s="330">
        <v>271.95999999999998</v>
      </c>
      <c r="X173" s="330">
        <v>27</v>
      </c>
      <c r="Y173" s="330">
        <v>0</v>
      </c>
      <c r="Z173" s="330">
        <v>54</v>
      </c>
      <c r="AA173" s="330">
        <v>0</v>
      </c>
      <c r="AB173" s="330">
        <v>22</v>
      </c>
      <c r="AC173" s="330">
        <v>14</v>
      </c>
      <c r="AD173" s="334">
        <v>9998</v>
      </c>
      <c r="AE173" s="334">
        <v>16</v>
      </c>
      <c r="AF173" s="334">
        <v>37</v>
      </c>
      <c r="AG173" s="334">
        <v>53</v>
      </c>
    </row>
    <row r="174" spans="1:33" x14ac:dyDescent="0.25">
      <c r="A174" s="329" t="s">
        <v>404</v>
      </c>
      <c r="B174" s="335" t="s">
        <v>405</v>
      </c>
      <c r="C174" s="331">
        <v>984</v>
      </c>
      <c r="D174" s="331">
        <v>0</v>
      </c>
      <c r="E174" s="331">
        <v>38</v>
      </c>
      <c r="F174" s="331">
        <v>284</v>
      </c>
      <c r="G174" s="331">
        <v>221</v>
      </c>
      <c r="H174" s="331">
        <v>1527</v>
      </c>
      <c r="I174" s="330">
        <v>1306</v>
      </c>
      <c r="J174" s="330">
        <v>0</v>
      </c>
      <c r="K174" s="332">
        <v>88.3</v>
      </c>
      <c r="L174" s="332">
        <v>85.67</v>
      </c>
      <c r="M174" s="332">
        <v>7.07</v>
      </c>
      <c r="N174" s="332">
        <v>94.41</v>
      </c>
      <c r="O174" s="333">
        <v>768</v>
      </c>
      <c r="P174" s="330">
        <v>80.53</v>
      </c>
      <c r="Q174" s="330">
        <v>75.69</v>
      </c>
      <c r="R174" s="330">
        <v>38.17</v>
      </c>
      <c r="S174" s="330">
        <v>118.21</v>
      </c>
      <c r="T174" s="330">
        <v>156</v>
      </c>
      <c r="U174" s="330">
        <v>115.14</v>
      </c>
      <c r="V174" s="330">
        <v>121</v>
      </c>
      <c r="W174" s="330">
        <v>0</v>
      </c>
      <c r="X174" s="330">
        <v>0</v>
      </c>
      <c r="Y174" s="330">
        <v>22</v>
      </c>
      <c r="Z174" s="330">
        <v>0</v>
      </c>
      <c r="AA174" s="330">
        <v>0</v>
      </c>
      <c r="AB174" s="330">
        <v>7</v>
      </c>
      <c r="AC174" s="330">
        <v>2</v>
      </c>
      <c r="AD174" s="334">
        <v>887</v>
      </c>
      <c r="AE174" s="334">
        <v>1</v>
      </c>
      <c r="AF174" s="334">
        <v>5</v>
      </c>
      <c r="AG174" s="334">
        <v>6</v>
      </c>
    </row>
    <row r="175" spans="1:33" x14ac:dyDescent="0.25">
      <c r="A175" s="329" t="s">
        <v>406</v>
      </c>
      <c r="B175" s="335" t="s">
        <v>407</v>
      </c>
      <c r="C175" s="331">
        <v>1256</v>
      </c>
      <c r="D175" s="331">
        <v>0</v>
      </c>
      <c r="E175" s="331">
        <v>115</v>
      </c>
      <c r="F175" s="331">
        <v>210</v>
      </c>
      <c r="G175" s="331">
        <v>284</v>
      </c>
      <c r="H175" s="331">
        <v>1865</v>
      </c>
      <c r="I175" s="330">
        <v>1581</v>
      </c>
      <c r="J175" s="330">
        <v>3</v>
      </c>
      <c r="K175" s="332">
        <v>94.59</v>
      </c>
      <c r="L175" s="332">
        <v>94.21</v>
      </c>
      <c r="M175" s="332">
        <v>4.13</v>
      </c>
      <c r="N175" s="332">
        <v>97.43</v>
      </c>
      <c r="O175" s="333">
        <v>908</v>
      </c>
      <c r="P175" s="330">
        <v>86.45</v>
      </c>
      <c r="Q175" s="330">
        <v>80.150000000000006</v>
      </c>
      <c r="R175" s="330">
        <v>34.47</v>
      </c>
      <c r="S175" s="330">
        <v>120.68</v>
      </c>
      <c r="T175" s="330">
        <v>291</v>
      </c>
      <c r="U175" s="330">
        <v>111.16</v>
      </c>
      <c r="V175" s="330">
        <v>314</v>
      </c>
      <c r="W175" s="330">
        <v>116.8</v>
      </c>
      <c r="X175" s="330">
        <v>1</v>
      </c>
      <c r="Y175" s="330">
        <v>0</v>
      </c>
      <c r="Z175" s="330">
        <v>0</v>
      </c>
      <c r="AA175" s="330">
        <v>0</v>
      </c>
      <c r="AB175" s="330">
        <v>0</v>
      </c>
      <c r="AC175" s="330">
        <v>1</v>
      </c>
      <c r="AD175" s="334">
        <v>1247</v>
      </c>
      <c r="AE175" s="334">
        <v>3</v>
      </c>
      <c r="AF175" s="334">
        <v>3</v>
      </c>
      <c r="AG175" s="334">
        <v>6</v>
      </c>
    </row>
    <row r="176" spans="1:33" x14ac:dyDescent="0.25">
      <c r="A176" s="329" t="s">
        <v>408</v>
      </c>
      <c r="B176" s="335" t="s">
        <v>409</v>
      </c>
      <c r="C176" s="331">
        <v>5672</v>
      </c>
      <c r="D176" s="331">
        <v>3</v>
      </c>
      <c r="E176" s="331">
        <v>141</v>
      </c>
      <c r="F176" s="331">
        <v>864</v>
      </c>
      <c r="G176" s="331">
        <v>625</v>
      </c>
      <c r="H176" s="331">
        <v>7305</v>
      </c>
      <c r="I176" s="330">
        <v>6680</v>
      </c>
      <c r="J176" s="330">
        <v>7</v>
      </c>
      <c r="K176" s="332">
        <v>117.85</v>
      </c>
      <c r="L176" s="332">
        <v>117.62</v>
      </c>
      <c r="M176" s="332">
        <v>5.87</v>
      </c>
      <c r="N176" s="332">
        <v>122.03</v>
      </c>
      <c r="O176" s="333">
        <v>4176</v>
      </c>
      <c r="P176" s="330">
        <v>103.12</v>
      </c>
      <c r="Q176" s="330">
        <v>100.97</v>
      </c>
      <c r="R176" s="330">
        <v>44.11</v>
      </c>
      <c r="S176" s="330">
        <v>141.96</v>
      </c>
      <c r="T176" s="330">
        <v>830</v>
      </c>
      <c r="U176" s="330">
        <v>162.36000000000001</v>
      </c>
      <c r="V176" s="330">
        <v>1149</v>
      </c>
      <c r="W176" s="330">
        <v>0</v>
      </c>
      <c r="X176" s="330">
        <v>0</v>
      </c>
      <c r="Y176" s="330">
        <v>0</v>
      </c>
      <c r="Z176" s="330">
        <v>4</v>
      </c>
      <c r="AA176" s="330">
        <v>0</v>
      </c>
      <c r="AB176" s="330">
        <v>52</v>
      </c>
      <c r="AC176" s="330">
        <v>24</v>
      </c>
      <c r="AD176" s="334">
        <v>5375</v>
      </c>
      <c r="AE176" s="334">
        <v>50</v>
      </c>
      <c r="AF176" s="334">
        <v>31</v>
      </c>
      <c r="AG176" s="334">
        <v>81</v>
      </c>
    </row>
    <row r="177" spans="1:33" x14ac:dyDescent="0.25">
      <c r="A177" s="329" t="s">
        <v>410</v>
      </c>
      <c r="B177" s="335" t="s">
        <v>411</v>
      </c>
      <c r="C177" s="331">
        <v>13164</v>
      </c>
      <c r="D177" s="331">
        <v>7</v>
      </c>
      <c r="E177" s="331">
        <v>526</v>
      </c>
      <c r="F177" s="331">
        <v>1517</v>
      </c>
      <c r="G177" s="331">
        <v>260</v>
      </c>
      <c r="H177" s="331">
        <v>15474</v>
      </c>
      <c r="I177" s="330">
        <v>15214</v>
      </c>
      <c r="J177" s="330">
        <v>45</v>
      </c>
      <c r="K177" s="332">
        <v>86.76</v>
      </c>
      <c r="L177" s="332">
        <v>85.81</v>
      </c>
      <c r="M177" s="332">
        <v>7.8</v>
      </c>
      <c r="N177" s="332">
        <v>89.18</v>
      </c>
      <c r="O177" s="333">
        <v>12516</v>
      </c>
      <c r="P177" s="330">
        <v>87.71</v>
      </c>
      <c r="Q177" s="330">
        <v>84.34</v>
      </c>
      <c r="R177" s="330">
        <v>51.81</v>
      </c>
      <c r="S177" s="330">
        <v>127.93</v>
      </c>
      <c r="T177" s="330">
        <v>1926</v>
      </c>
      <c r="U177" s="330">
        <v>94.98</v>
      </c>
      <c r="V177" s="330">
        <v>485</v>
      </c>
      <c r="W177" s="330">
        <v>159.86000000000001</v>
      </c>
      <c r="X177" s="330">
        <v>98</v>
      </c>
      <c r="Y177" s="330">
        <v>0</v>
      </c>
      <c r="Z177" s="330">
        <v>58</v>
      </c>
      <c r="AA177" s="330">
        <v>15</v>
      </c>
      <c r="AB177" s="330">
        <v>0</v>
      </c>
      <c r="AC177" s="330">
        <v>2</v>
      </c>
      <c r="AD177" s="334">
        <v>13135</v>
      </c>
      <c r="AE177" s="334">
        <v>163</v>
      </c>
      <c r="AF177" s="334">
        <v>55</v>
      </c>
      <c r="AG177" s="334">
        <v>218</v>
      </c>
    </row>
    <row r="178" spans="1:33" x14ac:dyDescent="0.25">
      <c r="A178" s="329" t="s">
        <v>412</v>
      </c>
      <c r="B178" s="335" t="s">
        <v>413</v>
      </c>
      <c r="C178" s="331">
        <v>8023</v>
      </c>
      <c r="D178" s="331">
        <v>48</v>
      </c>
      <c r="E178" s="331">
        <v>448</v>
      </c>
      <c r="F178" s="331">
        <v>587</v>
      </c>
      <c r="G178" s="331">
        <v>4891</v>
      </c>
      <c r="H178" s="331">
        <v>13997</v>
      </c>
      <c r="I178" s="330">
        <v>9106</v>
      </c>
      <c r="J178" s="330">
        <v>39</v>
      </c>
      <c r="K178" s="332">
        <v>99.38</v>
      </c>
      <c r="L178" s="332">
        <v>96.98</v>
      </c>
      <c r="M178" s="332">
        <v>5.76</v>
      </c>
      <c r="N178" s="332">
        <v>103.21</v>
      </c>
      <c r="O178" s="333">
        <v>6238</v>
      </c>
      <c r="P178" s="330">
        <v>103.54</v>
      </c>
      <c r="Q178" s="330">
        <v>97.73</v>
      </c>
      <c r="R178" s="330">
        <v>40.229999999999997</v>
      </c>
      <c r="S178" s="330">
        <v>141.78</v>
      </c>
      <c r="T178" s="330">
        <v>870</v>
      </c>
      <c r="U178" s="330">
        <v>131.72999999999999</v>
      </c>
      <c r="V178" s="330">
        <v>932</v>
      </c>
      <c r="W178" s="330">
        <v>125.32</v>
      </c>
      <c r="X178" s="330">
        <v>9</v>
      </c>
      <c r="Y178" s="330">
        <v>4</v>
      </c>
      <c r="Z178" s="330">
        <v>5</v>
      </c>
      <c r="AA178" s="330">
        <v>0</v>
      </c>
      <c r="AB178" s="330">
        <v>154</v>
      </c>
      <c r="AC178" s="330">
        <v>69</v>
      </c>
      <c r="AD178" s="334">
        <v>7827</v>
      </c>
      <c r="AE178" s="334">
        <v>25</v>
      </c>
      <c r="AF178" s="334">
        <v>29</v>
      </c>
      <c r="AG178" s="334">
        <v>54</v>
      </c>
    </row>
    <row r="179" spans="1:33" x14ac:dyDescent="0.25">
      <c r="A179" s="329" t="s">
        <v>414</v>
      </c>
      <c r="B179" s="335" t="s">
        <v>415</v>
      </c>
      <c r="C179" s="331">
        <v>3562</v>
      </c>
      <c r="D179" s="331">
        <v>11</v>
      </c>
      <c r="E179" s="331">
        <v>178</v>
      </c>
      <c r="F179" s="331">
        <v>624</v>
      </c>
      <c r="G179" s="331">
        <v>288</v>
      </c>
      <c r="H179" s="331">
        <v>4663</v>
      </c>
      <c r="I179" s="330">
        <v>4375</v>
      </c>
      <c r="J179" s="330">
        <v>0</v>
      </c>
      <c r="K179" s="332">
        <v>113.34</v>
      </c>
      <c r="L179" s="332">
        <v>112.96</v>
      </c>
      <c r="M179" s="332">
        <v>3.54</v>
      </c>
      <c r="N179" s="332">
        <v>116.77</v>
      </c>
      <c r="O179" s="333">
        <v>3080</v>
      </c>
      <c r="P179" s="330">
        <v>97.58</v>
      </c>
      <c r="Q179" s="330">
        <v>96.36</v>
      </c>
      <c r="R179" s="330">
        <v>26.12</v>
      </c>
      <c r="S179" s="330">
        <v>123.71</v>
      </c>
      <c r="T179" s="330">
        <v>650</v>
      </c>
      <c r="U179" s="330">
        <v>152.28</v>
      </c>
      <c r="V179" s="330">
        <v>444</v>
      </c>
      <c r="W179" s="330">
        <v>0</v>
      </c>
      <c r="X179" s="330">
        <v>0</v>
      </c>
      <c r="Y179" s="330">
        <v>0</v>
      </c>
      <c r="Z179" s="330">
        <v>13</v>
      </c>
      <c r="AA179" s="330">
        <v>1</v>
      </c>
      <c r="AB179" s="330">
        <v>0</v>
      </c>
      <c r="AC179" s="330">
        <v>15</v>
      </c>
      <c r="AD179" s="334">
        <v>3529</v>
      </c>
      <c r="AE179" s="334">
        <v>35</v>
      </c>
      <c r="AF179" s="334">
        <v>16</v>
      </c>
      <c r="AG179" s="334">
        <v>51</v>
      </c>
    </row>
    <row r="180" spans="1:33" x14ac:dyDescent="0.25">
      <c r="A180" s="329" t="s">
        <v>416</v>
      </c>
      <c r="B180" s="335" t="s">
        <v>417</v>
      </c>
      <c r="C180" s="331">
        <v>2735</v>
      </c>
      <c r="D180" s="331">
        <v>8</v>
      </c>
      <c r="E180" s="331">
        <v>288</v>
      </c>
      <c r="F180" s="331">
        <v>385</v>
      </c>
      <c r="G180" s="331">
        <v>337</v>
      </c>
      <c r="H180" s="331">
        <v>3753</v>
      </c>
      <c r="I180" s="330">
        <v>3416</v>
      </c>
      <c r="J180" s="330">
        <v>0</v>
      </c>
      <c r="K180" s="332">
        <v>0</v>
      </c>
      <c r="L180" s="332">
        <v>113.02</v>
      </c>
      <c r="M180" s="332">
        <v>0</v>
      </c>
      <c r="N180" s="332">
        <v>0</v>
      </c>
      <c r="O180" s="333">
        <v>2382</v>
      </c>
      <c r="P180" s="330">
        <v>0</v>
      </c>
      <c r="Q180" s="330">
        <v>91.12</v>
      </c>
      <c r="R180" s="330">
        <v>0</v>
      </c>
      <c r="S180" s="330">
        <v>0</v>
      </c>
      <c r="T180" s="330">
        <v>476</v>
      </c>
      <c r="U180" s="330">
        <v>143.06</v>
      </c>
      <c r="V180" s="330">
        <v>227</v>
      </c>
      <c r="W180" s="330">
        <v>138.37</v>
      </c>
      <c r="X180" s="330">
        <v>3</v>
      </c>
      <c r="Y180" s="330">
        <v>111</v>
      </c>
      <c r="Z180" s="330">
        <v>0</v>
      </c>
      <c r="AA180" s="330">
        <v>0</v>
      </c>
      <c r="AB180" s="330">
        <v>37</v>
      </c>
      <c r="AC180" s="330">
        <v>13</v>
      </c>
      <c r="AD180" s="334">
        <v>2688</v>
      </c>
      <c r="AE180" s="334">
        <v>8</v>
      </c>
      <c r="AF180" s="334">
        <v>3</v>
      </c>
      <c r="AG180" s="334">
        <v>11</v>
      </c>
    </row>
    <row r="181" spans="1:33" x14ac:dyDescent="0.25">
      <c r="A181" s="329" t="s">
        <v>418</v>
      </c>
      <c r="B181" s="335" t="s">
        <v>419</v>
      </c>
      <c r="C181" s="331">
        <v>1754</v>
      </c>
      <c r="D181" s="331">
        <v>13</v>
      </c>
      <c r="E181" s="331">
        <v>300</v>
      </c>
      <c r="F181" s="331">
        <v>362</v>
      </c>
      <c r="G181" s="331">
        <v>274</v>
      </c>
      <c r="H181" s="331">
        <v>2703</v>
      </c>
      <c r="I181" s="330">
        <v>2429</v>
      </c>
      <c r="J181" s="330">
        <v>0</v>
      </c>
      <c r="K181" s="332">
        <v>88.01</v>
      </c>
      <c r="L181" s="332">
        <v>84.09</v>
      </c>
      <c r="M181" s="332">
        <v>4.43</v>
      </c>
      <c r="N181" s="332">
        <v>90.44</v>
      </c>
      <c r="O181" s="333">
        <v>1507</v>
      </c>
      <c r="P181" s="330">
        <v>101.08</v>
      </c>
      <c r="Q181" s="330">
        <v>72.040000000000006</v>
      </c>
      <c r="R181" s="330">
        <v>38.56</v>
      </c>
      <c r="S181" s="330">
        <v>138.19</v>
      </c>
      <c r="T181" s="330">
        <v>478</v>
      </c>
      <c r="U181" s="330">
        <v>94.7</v>
      </c>
      <c r="V181" s="330">
        <v>201</v>
      </c>
      <c r="W181" s="330">
        <v>0</v>
      </c>
      <c r="X181" s="330">
        <v>0</v>
      </c>
      <c r="Y181" s="330">
        <v>24</v>
      </c>
      <c r="Z181" s="330">
        <v>1</v>
      </c>
      <c r="AA181" s="330">
        <v>0</v>
      </c>
      <c r="AB181" s="330">
        <v>13</v>
      </c>
      <c r="AC181" s="330">
        <v>2</v>
      </c>
      <c r="AD181" s="334">
        <v>1754</v>
      </c>
      <c r="AE181" s="334">
        <v>31</v>
      </c>
      <c r="AF181" s="334">
        <v>22</v>
      </c>
      <c r="AG181" s="334">
        <v>53</v>
      </c>
    </row>
    <row r="182" spans="1:33" x14ac:dyDescent="0.25">
      <c r="A182" s="329" t="s">
        <v>420</v>
      </c>
      <c r="B182" s="335" t="s">
        <v>421</v>
      </c>
      <c r="C182" s="331">
        <v>7043</v>
      </c>
      <c r="D182" s="331">
        <v>242</v>
      </c>
      <c r="E182" s="331">
        <v>1253</v>
      </c>
      <c r="F182" s="331">
        <v>1483</v>
      </c>
      <c r="G182" s="331">
        <v>298</v>
      </c>
      <c r="H182" s="331">
        <v>10319</v>
      </c>
      <c r="I182" s="330">
        <v>10021</v>
      </c>
      <c r="J182" s="330">
        <v>120</v>
      </c>
      <c r="K182" s="332">
        <v>77.97</v>
      </c>
      <c r="L182" s="332">
        <v>77.680000000000007</v>
      </c>
      <c r="M182" s="332">
        <v>11.34</v>
      </c>
      <c r="N182" s="332">
        <v>87.15</v>
      </c>
      <c r="O182" s="333">
        <v>5918</v>
      </c>
      <c r="P182" s="330">
        <v>85.56</v>
      </c>
      <c r="Q182" s="330">
        <v>76.23</v>
      </c>
      <c r="R182" s="330">
        <v>54.93</v>
      </c>
      <c r="S182" s="330">
        <v>137.11000000000001</v>
      </c>
      <c r="T182" s="330">
        <v>2216</v>
      </c>
      <c r="U182" s="330">
        <v>99.16</v>
      </c>
      <c r="V182" s="330">
        <v>805</v>
      </c>
      <c r="W182" s="330">
        <v>204.57</v>
      </c>
      <c r="X182" s="330">
        <v>199</v>
      </c>
      <c r="Y182" s="330">
        <v>25</v>
      </c>
      <c r="Z182" s="330">
        <v>6</v>
      </c>
      <c r="AA182" s="330">
        <v>1</v>
      </c>
      <c r="AB182" s="330">
        <v>29</v>
      </c>
      <c r="AC182" s="330">
        <v>9</v>
      </c>
      <c r="AD182" s="334">
        <v>6557</v>
      </c>
      <c r="AE182" s="334">
        <v>45</v>
      </c>
      <c r="AF182" s="334">
        <v>50</v>
      </c>
      <c r="AG182" s="334">
        <v>95</v>
      </c>
    </row>
    <row r="183" spans="1:33" x14ac:dyDescent="0.25">
      <c r="A183" s="329" t="s">
        <v>422</v>
      </c>
      <c r="B183" s="335" t="s">
        <v>423</v>
      </c>
      <c r="C183" s="331">
        <v>8927</v>
      </c>
      <c r="D183" s="331">
        <v>3</v>
      </c>
      <c r="E183" s="331">
        <v>123</v>
      </c>
      <c r="F183" s="331">
        <v>874</v>
      </c>
      <c r="G183" s="331">
        <v>211</v>
      </c>
      <c r="H183" s="331">
        <v>10138</v>
      </c>
      <c r="I183" s="330">
        <v>9927</v>
      </c>
      <c r="J183" s="330">
        <v>0</v>
      </c>
      <c r="K183" s="332">
        <v>78.08</v>
      </c>
      <c r="L183" s="332">
        <v>78.400000000000006</v>
      </c>
      <c r="M183" s="332">
        <v>3.69</v>
      </c>
      <c r="N183" s="332">
        <v>81.59</v>
      </c>
      <c r="O183" s="333">
        <v>8500</v>
      </c>
      <c r="P183" s="330">
        <v>77.47</v>
      </c>
      <c r="Q183" s="330">
        <v>74.45</v>
      </c>
      <c r="R183" s="330">
        <v>23.78</v>
      </c>
      <c r="S183" s="330">
        <v>100.44</v>
      </c>
      <c r="T183" s="330">
        <v>818</v>
      </c>
      <c r="U183" s="330">
        <v>94.71</v>
      </c>
      <c r="V183" s="330">
        <v>393</v>
      </c>
      <c r="W183" s="330">
        <v>200.9</v>
      </c>
      <c r="X183" s="330">
        <v>92</v>
      </c>
      <c r="Y183" s="330">
        <v>0</v>
      </c>
      <c r="Z183" s="330">
        <v>25</v>
      </c>
      <c r="AA183" s="330">
        <v>2</v>
      </c>
      <c r="AB183" s="330">
        <v>1</v>
      </c>
      <c r="AC183" s="330">
        <v>5</v>
      </c>
      <c r="AD183" s="334">
        <v>8912</v>
      </c>
      <c r="AE183" s="334">
        <v>4</v>
      </c>
      <c r="AF183" s="334">
        <v>41</v>
      </c>
      <c r="AG183" s="334">
        <v>45</v>
      </c>
    </row>
    <row r="184" spans="1:33" x14ac:dyDescent="0.25">
      <c r="A184" s="329" t="s">
        <v>424</v>
      </c>
      <c r="B184" s="335" t="s">
        <v>425</v>
      </c>
      <c r="C184" s="331">
        <v>12412</v>
      </c>
      <c r="D184" s="331">
        <v>42</v>
      </c>
      <c r="E184" s="331">
        <v>956</v>
      </c>
      <c r="F184" s="331">
        <v>833</v>
      </c>
      <c r="G184" s="331">
        <v>2053</v>
      </c>
      <c r="H184" s="331">
        <v>16296</v>
      </c>
      <c r="I184" s="330">
        <v>14243</v>
      </c>
      <c r="J184" s="330">
        <v>39</v>
      </c>
      <c r="K184" s="332">
        <v>139.87</v>
      </c>
      <c r="L184" s="332">
        <v>119.09</v>
      </c>
      <c r="M184" s="332">
        <v>9.49</v>
      </c>
      <c r="N184" s="332">
        <v>144.52000000000001</v>
      </c>
      <c r="O184" s="333">
        <v>10350</v>
      </c>
      <c r="P184" s="330">
        <v>105.43</v>
      </c>
      <c r="Q184" s="330">
        <v>101.35</v>
      </c>
      <c r="R184" s="330">
        <v>66.23</v>
      </c>
      <c r="S184" s="330">
        <v>165.45</v>
      </c>
      <c r="T184" s="330">
        <v>1597</v>
      </c>
      <c r="U184" s="330">
        <v>184.39</v>
      </c>
      <c r="V184" s="330">
        <v>748</v>
      </c>
      <c r="W184" s="330">
        <v>219.45</v>
      </c>
      <c r="X184" s="330">
        <v>39</v>
      </c>
      <c r="Y184" s="330">
        <v>6</v>
      </c>
      <c r="Z184" s="330">
        <v>12</v>
      </c>
      <c r="AA184" s="330">
        <v>33</v>
      </c>
      <c r="AB184" s="330">
        <v>147</v>
      </c>
      <c r="AC184" s="330">
        <v>38</v>
      </c>
      <c r="AD184" s="334">
        <v>11857</v>
      </c>
      <c r="AE184" s="334">
        <v>33</v>
      </c>
      <c r="AF184" s="334">
        <v>46</v>
      </c>
      <c r="AG184" s="334">
        <v>79</v>
      </c>
    </row>
    <row r="185" spans="1:33" x14ac:dyDescent="0.25">
      <c r="A185" s="329" t="s">
        <v>426</v>
      </c>
      <c r="B185" s="335" t="s">
        <v>427</v>
      </c>
      <c r="C185" s="331">
        <v>3679</v>
      </c>
      <c r="D185" s="331">
        <v>0</v>
      </c>
      <c r="E185" s="331">
        <v>48</v>
      </c>
      <c r="F185" s="331">
        <v>786</v>
      </c>
      <c r="G185" s="331">
        <v>240</v>
      </c>
      <c r="H185" s="331">
        <v>4753</v>
      </c>
      <c r="I185" s="330">
        <v>4513</v>
      </c>
      <c r="J185" s="330">
        <v>5</v>
      </c>
      <c r="K185" s="332">
        <v>85.6</v>
      </c>
      <c r="L185" s="332">
        <v>85</v>
      </c>
      <c r="M185" s="332">
        <v>3.48</v>
      </c>
      <c r="N185" s="332">
        <v>87.74</v>
      </c>
      <c r="O185" s="333">
        <v>3236</v>
      </c>
      <c r="P185" s="330">
        <v>76.540000000000006</v>
      </c>
      <c r="Q185" s="330">
        <v>74.599999999999994</v>
      </c>
      <c r="R185" s="330">
        <v>17.3</v>
      </c>
      <c r="S185" s="330">
        <v>93.42</v>
      </c>
      <c r="T185" s="330">
        <v>780</v>
      </c>
      <c r="U185" s="330">
        <v>115.41</v>
      </c>
      <c r="V185" s="330">
        <v>420</v>
      </c>
      <c r="W185" s="330">
        <v>0</v>
      </c>
      <c r="X185" s="330">
        <v>0</v>
      </c>
      <c r="Y185" s="330">
        <v>63</v>
      </c>
      <c r="Z185" s="330">
        <v>10</v>
      </c>
      <c r="AA185" s="330">
        <v>2</v>
      </c>
      <c r="AB185" s="330">
        <v>29</v>
      </c>
      <c r="AC185" s="330">
        <v>7</v>
      </c>
      <c r="AD185" s="334">
        <v>3679</v>
      </c>
      <c r="AE185" s="334">
        <v>2</v>
      </c>
      <c r="AF185" s="334">
        <v>42</v>
      </c>
      <c r="AG185" s="334">
        <v>44</v>
      </c>
    </row>
    <row r="186" spans="1:33" x14ac:dyDescent="0.25">
      <c r="A186" s="329" t="s">
        <v>428</v>
      </c>
      <c r="B186" s="335" t="s">
        <v>429</v>
      </c>
      <c r="C186" s="331">
        <v>771</v>
      </c>
      <c r="D186" s="331">
        <v>0</v>
      </c>
      <c r="E186" s="331">
        <v>69</v>
      </c>
      <c r="F186" s="331">
        <v>143</v>
      </c>
      <c r="G186" s="331">
        <v>107</v>
      </c>
      <c r="H186" s="331">
        <v>1090</v>
      </c>
      <c r="I186" s="330">
        <v>983</v>
      </c>
      <c r="J186" s="330">
        <v>7</v>
      </c>
      <c r="K186" s="332">
        <v>91.07</v>
      </c>
      <c r="L186" s="332">
        <v>90.05</v>
      </c>
      <c r="M186" s="332">
        <v>4.74</v>
      </c>
      <c r="N186" s="332">
        <v>93.42</v>
      </c>
      <c r="O186" s="333">
        <v>583</v>
      </c>
      <c r="P186" s="330">
        <v>93.82</v>
      </c>
      <c r="Q186" s="330">
        <v>79.69</v>
      </c>
      <c r="R186" s="330">
        <v>37.35</v>
      </c>
      <c r="S186" s="330">
        <v>128.29</v>
      </c>
      <c r="T186" s="330">
        <v>207</v>
      </c>
      <c r="U186" s="330">
        <v>100.86</v>
      </c>
      <c r="V186" s="330">
        <v>155</v>
      </c>
      <c r="W186" s="330">
        <v>0</v>
      </c>
      <c r="X186" s="330">
        <v>0</v>
      </c>
      <c r="Y186" s="330">
        <v>0</v>
      </c>
      <c r="Z186" s="330">
        <v>3</v>
      </c>
      <c r="AA186" s="330">
        <v>0</v>
      </c>
      <c r="AB186" s="330">
        <v>6</v>
      </c>
      <c r="AC186" s="330">
        <v>7</v>
      </c>
      <c r="AD186" s="334">
        <v>668</v>
      </c>
      <c r="AE186" s="334">
        <v>3</v>
      </c>
      <c r="AF186" s="334">
        <v>2</v>
      </c>
      <c r="AG186" s="334">
        <v>5</v>
      </c>
    </row>
    <row r="187" spans="1:33" x14ac:dyDescent="0.25">
      <c r="A187" s="329" t="s">
        <v>430</v>
      </c>
      <c r="B187" s="335" t="s">
        <v>431</v>
      </c>
      <c r="C187" s="331">
        <v>8537</v>
      </c>
      <c r="D187" s="331">
        <v>2</v>
      </c>
      <c r="E187" s="331">
        <v>412</v>
      </c>
      <c r="F187" s="331">
        <v>1295</v>
      </c>
      <c r="G187" s="331">
        <v>197</v>
      </c>
      <c r="H187" s="331">
        <v>10443</v>
      </c>
      <c r="I187" s="330">
        <v>10246</v>
      </c>
      <c r="J187" s="330">
        <v>105</v>
      </c>
      <c r="K187" s="332">
        <v>78.47</v>
      </c>
      <c r="L187" s="332">
        <v>78.38</v>
      </c>
      <c r="M187" s="332">
        <v>2.04</v>
      </c>
      <c r="N187" s="332">
        <v>80.23</v>
      </c>
      <c r="O187" s="333">
        <v>8486</v>
      </c>
      <c r="P187" s="330">
        <v>85.12</v>
      </c>
      <c r="Q187" s="330">
        <v>68.319999999999993</v>
      </c>
      <c r="R187" s="330">
        <v>28.2</v>
      </c>
      <c r="S187" s="330">
        <v>110.14</v>
      </c>
      <c r="T187" s="330">
        <v>1540</v>
      </c>
      <c r="U187" s="330">
        <v>90.77</v>
      </c>
      <c r="V187" s="330">
        <v>31</v>
      </c>
      <c r="W187" s="330">
        <v>0</v>
      </c>
      <c r="X187" s="330">
        <v>0</v>
      </c>
      <c r="Y187" s="330">
        <v>0</v>
      </c>
      <c r="Z187" s="330">
        <v>26</v>
      </c>
      <c r="AA187" s="330">
        <v>0</v>
      </c>
      <c r="AB187" s="330">
        <v>4</v>
      </c>
      <c r="AC187" s="330">
        <v>2</v>
      </c>
      <c r="AD187" s="334">
        <v>8537</v>
      </c>
      <c r="AE187" s="334">
        <v>123</v>
      </c>
      <c r="AF187" s="334">
        <v>657</v>
      </c>
      <c r="AG187" s="334">
        <v>780</v>
      </c>
    </row>
    <row r="188" spans="1:33" x14ac:dyDescent="0.25">
      <c r="A188" s="329" t="s">
        <v>432</v>
      </c>
      <c r="B188" s="335" t="s">
        <v>433</v>
      </c>
      <c r="C188" s="331">
        <v>9470</v>
      </c>
      <c r="D188" s="331">
        <v>0</v>
      </c>
      <c r="E188" s="331">
        <v>257</v>
      </c>
      <c r="F188" s="331">
        <v>977</v>
      </c>
      <c r="G188" s="331">
        <v>431</v>
      </c>
      <c r="H188" s="331">
        <v>11135</v>
      </c>
      <c r="I188" s="330">
        <v>10704</v>
      </c>
      <c r="J188" s="330">
        <v>612</v>
      </c>
      <c r="K188" s="332">
        <v>109.52</v>
      </c>
      <c r="L188" s="332">
        <v>109.57</v>
      </c>
      <c r="M188" s="332">
        <v>5.17</v>
      </c>
      <c r="N188" s="332">
        <v>111.14</v>
      </c>
      <c r="O188" s="333">
        <v>9221</v>
      </c>
      <c r="P188" s="330">
        <v>95.93</v>
      </c>
      <c r="Q188" s="330">
        <v>96.53</v>
      </c>
      <c r="R188" s="330">
        <v>26.5</v>
      </c>
      <c r="S188" s="330">
        <v>119.89</v>
      </c>
      <c r="T188" s="330">
        <v>1212</v>
      </c>
      <c r="U188" s="330">
        <v>134.94999999999999</v>
      </c>
      <c r="V188" s="330">
        <v>175</v>
      </c>
      <c r="W188" s="330">
        <v>0</v>
      </c>
      <c r="X188" s="330">
        <v>0</v>
      </c>
      <c r="Y188" s="330">
        <v>0</v>
      </c>
      <c r="Z188" s="330">
        <v>35</v>
      </c>
      <c r="AA188" s="330">
        <v>1</v>
      </c>
      <c r="AB188" s="330">
        <v>38</v>
      </c>
      <c r="AC188" s="330">
        <v>44</v>
      </c>
      <c r="AD188" s="334">
        <v>9419</v>
      </c>
      <c r="AE188" s="334">
        <v>41</v>
      </c>
      <c r="AF188" s="334">
        <v>15</v>
      </c>
      <c r="AG188" s="334">
        <v>56</v>
      </c>
    </row>
    <row r="189" spans="1:33" x14ac:dyDescent="0.25">
      <c r="A189" s="329" t="s">
        <v>434</v>
      </c>
      <c r="B189" s="335" t="s">
        <v>435</v>
      </c>
      <c r="C189" s="331">
        <v>969</v>
      </c>
      <c r="D189" s="331">
        <v>0</v>
      </c>
      <c r="E189" s="331">
        <v>88</v>
      </c>
      <c r="F189" s="331">
        <v>152</v>
      </c>
      <c r="G189" s="331">
        <v>277</v>
      </c>
      <c r="H189" s="331">
        <v>1486</v>
      </c>
      <c r="I189" s="330">
        <v>1209</v>
      </c>
      <c r="J189" s="330">
        <v>0</v>
      </c>
      <c r="K189" s="332">
        <v>88.26</v>
      </c>
      <c r="L189" s="332">
        <v>86.85</v>
      </c>
      <c r="M189" s="332">
        <v>4.34</v>
      </c>
      <c r="N189" s="332">
        <v>91.78</v>
      </c>
      <c r="O189" s="333">
        <v>749</v>
      </c>
      <c r="P189" s="330">
        <v>99.73</v>
      </c>
      <c r="Q189" s="330">
        <v>88.29</v>
      </c>
      <c r="R189" s="330">
        <v>31.13</v>
      </c>
      <c r="S189" s="330">
        <v>127.06</v>
      </c>
      <c r="T189" s="330">
        <v>213</v>
      </c>
      <c r="U189" s="330">
        <v>97.43</v>
      </c>
      <c r="V189" s="330">
        <v>144</v>
      </c>
      <c r="W189" s="330">
        <v>0</v>
      </c>
      <c r="X189" s="330">
        <v>0</v>
      </c>
      <c r="Y189" s="330">
        <v>0</v>
      </c>
      <c r="Z189" s="330">
        <v>0</v>
      </c>
      <c r="AA189" s="330">
        <v>0</v>
      </c>
      <c r="AB189" s="330">
        <v>25</v>
      </c>
      <c r="AC189" s="330">
        <v>5</v>
      </c>
      <c r="AD189" s="334">
        <v>912</v>
      </c>
      <c r="AE189" s="334">
        <v>7</v>
      </c>
      <c r="AF189" s="334">
        <v>1</v>
      </c>
      <c r="AG189" s="334">
        <v>8</v>
      </c>
    </row>
    <row r="190" spans="1:33" x14ac:dyDescent="0.25">
      <c r="A190" s="329" t="s">
        <v>436</v>
      </c>
      <c r="B190" s="335" t="s">
        <v>437</v>
      </c>
      <c r="C190" s="331">
        <v>10846</v>
      </c>
      <c r="D190" s="331">
        <v>0</v>
      </c>
      <c r="E190" s="331">
        <v>157</v>
      </c>
      <c r="F190" s="331">
        <v>317</v>
      </c>
      <c r="G190" s="331">
        <v>71</v>
      </c>
      <c r="H190" s="331">
        <v>11391</v>
      </c>
      <c r="I190" s="330">
        <v>11320</v>
      </c>
      <c r="J190" s="330">
        <v>0</v>
      </c>
      <c r="K190" s="332">
        <v>80.680000000000007</v>
      </c>
      <c r="L190" s="332">
        <v>80.510000000000005</v>
      </c>
      <c r="M190" s="332">
        <v>3.14</v>
      </c>
      <c r="N190" s="332">
        <v>81.92</v>
      </c>
      <c r="O190" s="333">
        <v>10470</v>
      </c>
      <c r="P190" s="330">
        <v>95.64</v>
      </c>
      <c r="Q190" s="330">
        <v>79.650000000000006</v>
      </c>
      <c r="R190" s="330">
        <v>51.18</v>
      </c>
      <c r="S190" s="330">
        <v>142.57</v>
      </c>
      <c r="T190" s="330">
        <v>434</v>
      </c>
      <c r="U190" s="330">
        <v>94.33</v>
      </c>
      <c r="V190" s="330">
        <v>315</v>
      </c>
      <c r="W190" s="330">
        <v>113.86</v>
      </c>
      <c r="X190" s="330">
        <v>10</v>
      </c>
      <c r="Y190" s="330">
        <v>10</v>
      </c>
      <c r="Z190" s="330">
        <v>42</v>
      </c>
      <c r="AA190" s="330">
        <v>0</v>
      </c>
      <c r="AB190" s="330">
        <v>3</v>
      </c>
      <c r="AC190" s="330">
        <v>1</v>
      </c>
      <c r="AD190" s="334">
        <v>10806</v>
      </c>
      <c r="AE190" s="334">
        <v>109</v>
      </c>
      <c r="AF190" s="334">
        <v>23</v>
      </c>
      <c r="AG190" s="334">
        <v>132</v>
      </c>
    </row>
    <row r="191" spans="1:33" x14ac:dyDescent="0.25">
      <c r="A191" s="329" t="s">
        <v>438</v>
      </c>
      <c r="B191" s="335" t="s">
        <v>439</v>
      </c>
      <c r="C191" s="331">
        <v>5469</v>
      </c>
      <c r="D191" s="331">
        <v>0</v>
      </c>
      <c r="E191" s="331">
        <v>159</v>
      </c>
      <c r="F191" s="331">
        <v>658</v>
      </c>
      <c r="G191" s="331">
        <v>135</v>
      </c>
      <c r="H191" s="331">
        <v>6421</v>
      </c>
      <c r="I191" s="330">
        <v>6286</v>
      </c>
      <c r="J191" s="330">
        <v>14</v>
      </c>
      <c r="K191" s="332">
        <v>89.53</v>
      </c>
      <c r="L191" s="332">
        <v>88.83</v>
      </c>
      <c r="M191" s="332">
        <v>2.27</v>
      </c>
      <c r="N191" s="332">
        <v>91.1</v>
      </c>
      <c r="O191" s="333">
        <v>5016</v>
      </c>
      <c r="P191" s="330">
        <v>88.94</v>
      </c>
      <c r="Q191" s="330">
        <v>80.08</v>
      </c>
      <c r="R191" s="330">
        <v>22.53</v>
      </c>
      <c r="S191" s="330">
        <v>110.81</v>
      </c>
      <c r="T191" s="330">
        <v>785</v>
      </c>
      <c r="U191" s="330">
        <v>104.7</v>
      </c>
      <c r="V191" s="330">
        <v>429</v>
      </c>
      <c r="W191" s="330">
        <v>97.11</v>
      </c>
      <c r="X191" s="330">
        <v>28</v>
      </c>
      <c r="Y191" s="330">
        <v>0</v>
      </c>
      <c r="Z191" s="330">
        <v>24</v>
      </c>
      <c r="AA191" s="330">
        <v>1</v>
      </c>
      <c r="AB191" s="330">
        <v>4</v>
      </c>
      <c r="AC191" s="330">
        <v>0</v>
      </c>
      <c r="AD191" s="334">
        <v>5458</v>
      </c>
      <c r="AE191" s="334">
        <v>18</v>
      </c>
      <c r="AF191" s="334">
        <v>45</v>
      </c>
      <c r="AG191" s="334">
        <v>63</v>
      </c>
    </row>
    <row r="192" spans="1:33" x14ac:dyDescent="0.25">
      <c r="A192" s="329" t="s">
        <v>799</v>
      </c>
      <c r="B192" s="335" t="s">
        <v>797</v>
      </c>
      <c r="C192" s="331">
        <v>13319</v>
      </c>
      <c r="D192" s="331">
        <v>82</v>
      </c>
      <c r="E192" s="331">
        <v>687</v>
      </c>
      <c r="F192" s="331">
        <v>961</v>
      </c>
      <c r="G192" s="331">
        <v>1182</v>
      </c>
      <c r="H192" s="331">
        <v>16231</v>
      </c>
      <c r="I192" s="330">
        <v>15049</v>
      </c>
      <c r="J192" s="330">
        <v>21</v>
      </c>
      <c r="K192" s="332">
        <v>90.85</v>
      </c>
      <c r="L192" s="332">
        <v>90.23</v>
      </c>
      <c r="M192" s="332">
        <v>5.28</v>
      </c>
      <c r="N192" s="332">
        <v>93.32</v>
      </c>
      <c r="O192" s="333">
        <v>11394</v>
      </c>
      <c r="P192" s="330">
        <v>87.62</v>
      </c>
      <c r="Q192" s="330">
        <v>82.45</v>
      </c>
      <c r="R192" s="330">
        <v>38.53</v>
      </c>
      <c r="S192" s="330">
        <v>125.07</v>
      </c>
      <c r="T192" s="330">
        <v>1530</v>
      </c>
      <c r="U192" s="330">
        <v>105.39</v>
      </c>
      <c r="V192" s="330">
        <v>1005</v>
      </c>
      <c r="W192" s="330">
        <v>161.63999999999999</v>
      </c>
      <c r="X192" s="330">
        <v>7</v>
      </c>
      <c r="Y192" s="330">
        <v>25</v>
      </c>
      <c r="Z192" s="330">
        <v>37</v>
      </c>
      <c r="AA192" s="330">
        <v>4</v>
      </c>
      <c r="AB192" s="330">
        <v>130</v>
      </c>
      <c r="AC192" s="330">
        <v>35</v>
      </c>
      <c r="AD192" s="334">
        <v>12592</v>
      </c>
      <c r="AE192" s="334">
        <v>54</v>
      </c>
      <c r="AF192" s="334">
        <v>45</v>
      </c>
      <c r="AG192" s="334">
        <v>99</v>
      </c>
    </row>
    <row r="193" spans="1:33" x14ac:dyDescent="0.25">
      <c r="A193" s="329" t="s">
        <v>440</v>
      </c>
      <c r="B193" s="335" t="s">
        <v>441</v>
      </c>
      <c r="C193" s="331">
        <v>8164</v>
      </c>
      <c r="D193" s="331">
        <v>81</v>
      </c>
      <c r="E193" s="331">
        <v>408</v>
      </c>
      <c r="F193" s="331">
        <v>633</v>
      </c>
      <c r="G193" s="331">
        <v>444</v>
      </c>
      <c r="H193" s="331">
        <v>9730</v>
      </c>
      <c r="I193" s="330">
        <v>9286</v>
      </c>
      <c r="J193" s="330">
        <v>12</v>
      </c>
      <c r="K193" s="332">
        <v>95.24</v>
      </c>
      <c r="L193" s="332">
        <v>91.63</v>
      </c>
      <c r="M193" s="332">
        <v>5.85</v>
      </c>
      <c r="N193" s="332">
        <v>98.58</v>
      </c>
      <c r="O193" s="333">
        <v>7318</v>
      </c>
      <c r="P193" s="330">
        <v>100.56</v>
      </c>
      <c r="Q193" s="330">
        <v>88.95</v>
      </c>
      <c r="R193" s="330">
        <v>43.55</v>
      </c>
      <c r="S193" s="330">
        <v>143.78</v>
      </c>
      <c r="T193" s="330">
        <v>789</v>
      </c>
      <c r="U193" s="330">
        <v>126.27</v>
      </c>
      <c r="V193" s="330">
        <v>763</v>
      </c>
      <c r="W193" s="330">
        <v>153.26</v>
      </c>
      <c r="X193" s="330">
        <v>75</v>
      </c>
      <c r="Y193" s="330">
        <v>0</v>
      </c>
      <c r="Z193" s="330">
        <v>23</v>
      </c>
      <c r="AA193" s="330">
        <v>0</v>
      </c>
      <c r="AB193" s="330">
        <v>29</v>
      </c>
      <c r="AC193" s="330">
        <v>25</v>
      </c>
      <c r="AD193" s="334">
        <v>8069</v>
      </c>
      <c r="AE193" s="334">
        <v>38</v>
      </c>
      <c r="AF193" s="334">
        <v>9</v>
      </c>
      <c r="AG193" s="334">
        <v>47</v>
      </c>
    </row>
    <row r="194" spans="1:33" x14ac:dyDescent="0.25">
      <c r="A194" s="329" t="s">
        <v>442</v>
      </c>
      <c r="B194" s="335" t="s">
        <v>443</v>
      </c>
      <c r="C194" s="331">
        <v>4028</v>
      </c>
      <c r="D194" s="331">
        <v>63</v>
      </c>
      <c r="E194" s="331">
        <v>443</v>
      </c>
      <c r="F194" s="331">
        <v>1270</v>
      </c>
      <c r="G194" s="331">
        <v>271</v>
      </c>
      <c r="H194" s="331">
        <v>6075</v>
      </c>
      <c r="I194" s="330">
        <v>5804</v>
      </c>
      <c r="J194" s="330">
        <v>0</v>
      </c>
      <c r="K194" s="332">
        <v>81.819999999999993</v>
      </c>
      <c r="L194" s="332">
        <v>80.59</v>
      </c>
      <c r="M194" s="332">
        <v>8.5399999999999991</v>
      </c>
      <c r="N194" s="332">
        <v>88.48</v>
      </c>
      <c r="O194" s="333">
        <v>3367</v>
      </c>
      <c r="P194" s="330">
        <v>88.95</v>
      </c>
      <c r="Q194" s="330">
        <v>80.239999999999995</v>
      </c>
      <c r="R194" s="330">
        <v>43.48</v>
      </c>
      <c r="S194" s="330">
        <v>131.71</v>
      </c>
      <c r="T194" s="330">
        <v>1452</v>
      </c>
      <c r="U194" s="330">
        <v>97.46</v>
      </c>
      <c r="V194" s="330">
        <v>549</v>
      </c>
      <c r="W194" s="330">
        <v>166.55</v>
      </c>
      <c r="X194" s="330">
        <v>111</v>
      </c>
      <c r="Y194" s="330">
        <v>0</v>
      </c>
      <c r="Z194" s="330">
        <v>3</v>
      </c>
      <c r="AA194" s="330">
        <v>0</v>
      </c>
      <c r="AB194" s="330">
        <v>9</v>
      </c>
      <c r="AC194" s="330">
        <v>9</v>
      </c>
      <c r="AD194" s="334">
        <v>3870</v>
      </c>
      <c r="AE194" s="334">
        <v>28</v>
      </c>
      <c r="AF194" s="334">
        <v>20</v>
      </c>
      <c r="AG194" s="334">
        <v>48</v>
      </c>
    </row>
    <row r="195" spans="1:33" x14ac:dyDescent="0.25">
      <c r="A195" s="329" t="s">
        <v>444</v>
      </c>
      <c r="B195" s="335" t="s">
        <v>445</v>
      </c>
      <c r="C195" s="331">
        <v>1029</v>
      </c>
      <c r="D195" s="331">
        <v>2</v>
      </c>
      <c r="E195" s="331">
        <v>13</v>
      </c>
      <c r="F195" s="331">
        <v>49</v>
      </c>
      <c r="G195" s="331">
        <v>185</v>
      </c>
      <c r="H195" s="331">
        <v>1278</v>
      </c>
      <c r="I195" s="330">
        <v>1093</v>
      </c>
      <c r="J195" s="330">
        <v>4</v>
      </c>
      <c r="K195" s="332">
        <v>99.02</v>
      </c>
      <c r="L195" s="332">
        <v>96.95</v>
      </c>
      <c r="M195" s="332">
        <v>4.5</v>
      </c>
      <c r="N195" s="332">
        <v>101.56</v>
      </c>
      <c r="O195" s="333">
        <v>875</v>
      </c>
      <c r="P195" s="330">
        <v>90.79</v>
      </c>
      <c r="Q195" s="330">
        <v>90.78</v>
      </c>
      <c r="R195" s="330">
        <v>35.03</v>
      </c>
      <c r="S195" s="330">
        <v>120.19</v>
      </c>
      <c r="T195" s="330">
        <v>56</v>
      </c>
      <c r="U195" s="330">
        <v>110.08</v>
      </c>
      <c r="V195" s="330">
        <v>155</v>
      </c>
      <c r="W195" s="330">
        <v>0</v>
      </c>
      <c r="X195" s="330">
        <v>0</v>
      </c>
      <c r="Y195" s="330">
        <v>0</v>
      </c>
      <c r="Z195" s="330">
        <v>0</v>
      </c>
      <c r="AA195" s="330">
        <v>1</v>
      </c>
      <c r="AB195" s="330">
        <v>22</v>
      </c>
      <c r="AC195" s="330">
        <v>5</v>
      </c>
      <c r="AD195" s="334">
        <v>1029</v>
      </c>
      <c r="AE195" s="334">
        <v>4</v>
      </c>
      <c r="AF195" s="334">
        <v>4</v>
      </c>
      <c r="AG195" s="334">
        <v>8</v>
      </c>
    </row>
    <row r="196" spans="1:33" x14ac:dyDescent="0.25">
      <c r="A196" s="329" t="s">
        <v>446</v>
      </c>
      <c r="B196" s="335" t="s">
        <v>447</v>
      </c>
      <c r="C196" s="331">
        <v>1691</v>
      </c>
      <c r="D196" s="331">
        <v>0</v>
      </c>
      <c r="E196" s="331">
        <v>52</v>
      </c>
      <c r="F196" s="331">
        <v>203</v>
      </c>
      <c r="G196" s="331">
        <v>372</v>
      </c>
      <c r="H196" s="331">
        <v>2318</v>
      </c>
      <c r="I196" s="330">
        <v>1946</v>
      </c>
      <c r="J196" s="330">
        <v>0</v>
      </c>
      <c r="K196" s="332">
        <v>88.5</v>
      </c>
      <c r="L196" s="332">
        <v>88.13</v>
      </c>
      <c r="M196" s="332">
        <v>5.63</v>
      </c>
      <c r="N196" s="332">
        <v>92.95</v>
      </c>
      <c r="O196" s="333">
        <v>1374</v>
      </c>
      <c r="P196" s="330">
        <v>87.73</v>
      </c>
      <c r="Q196" s="330">
        <v>91.45</v>
      </c>
      <c r="R196" s="330">
        <v>39.29</v>
      </c>
      <c r="S196" s="330">
        <v>125.13</v>
      </c>
      <c r="T196" s="330">
        <v>250</v>
      </c>
      <c r="U196" s="330">
        <v>98.48</v>
      </c>
      <c r="V196" s="330">
        <v>288</v>
      </c>
      <c r="W196" s="330">
        <v>0</v>
      </c>
      <c r="X196" s="330">
        <v>0</v>
      </c>
      <c r="Y196" s="330">
        <v>0</v>
      </c>
      <c r="Z196" s="330">
        <v>2</v>
      </c>
      <c r="AA196" s="330">
        <v>0</v>
      </c>
      <c r="AB196" s="330">
        <v>22</v>
      </c>
      <c r="AC196" s="330">
        <v>13</v>
      </c>
      <c r="AD196" s="334">
        <v>1681</v>
      </c>
      <c r="AE196" s="334">
        <v>19</v>
      </c>
      <c r="AF196" s="334">
        <v>0</v>
      </c>
      <c r="AG196" s="334">
        <v>19</v>
      </c>
    </row>
    <row r="197" spans="1:33" x14ac:dyDescent="0.25">
      <c r="A197" s="329" t="s">
        <v>448</v>
      </c>
      <c r="B197" s="335" t="s">
        <v>449</v>
      </c>
      <c r="C197" s="331">
        <v>14100</v>
      </c>
      <c r="D197" s="331">
        <v>45</v>
      </c>
      <c r="E197" s="331">
        <v>313</v>
      </c>
      <c r="F197" s="331">
        <v>3216</v>
      </c>
      <c r="G197" s="331">
        <v>429</v>
      </c>
      <c r="H197" s="331">
        <v>18103</v>
      </c>
      <c r="I197" s="330">
        <v>17674</v>
      </c>
      <c r="J197" s="330">
        <v>18</v>
      </c>
      <c r="K197" s="332">
        <v>76.489999999999995</v>
      </c>
      <c r="L197" s="332">
        <v>75.55</v>
      </c>
      <c r="M197" s="332">
        <v>3.86</v>
      </c>
      <c r="N197" s="332">
        <v>78.45</v>
      </c>
      <c r="O197" s="333">
        <v>12946</v>
      </c>
      <c r="P197" s="330">
        <v>72.48</v>
      </c>
      <c r="Q197" s="330">
        <v>68.41</v>
      </c>
      <c r="R197" s="330">
        <v>19.96</v>
      </c>
      <c r="S197" s="330">
        <v>91.43</v>
      </c>
      <c r="T197" s="330">
        <v>3442</v>
      </c>
      <c r="U197" s="330">
        <v>98.57</v>
      </c>
      <c r="V197" s="330">
        <v>987</v>
      </c>
      <c r="W197" s="330">
        <v>125.95</v>
      </c>
      <c r="X197" s="330">
        <v>11</v>
      </c>
      <c r="Y197" s="330">
        <v>21</v>
      </c>
      <c r="Z197" s="330">
        <v>58</v>
      </c>
      <c r="AA197" s="330">
        <v>21</v>
      </c>
      <c r="AB197" s="330">
        <v>13</v>
      </c>
      <c r="AC197" s="330">
        <v>37</v>
      </c>
      <c r="AD197" s="334">
        <v>13889</v>
      </c>
      <c r="AE197" s="334">
        <v>124</v>
      </c>
      <c r="AF197" s="334">
        <v>40</v>
      </c>
      <c r="AG197" s="334">
        <v>164</v>
      </c>
    </row>
    <row r="198" spans="1:33" x14ac:dyDescent="0.25">
      <c r="A198" s="329" t="s">
        <v>450</v>
      </c>
      <c r="B198" s="335" t="s">
        <v>451</v>
      </c>
      <c r="C198" s="331">
        <v>3792</v>
      </c>
      <c r="D198" s="331">
        <v>0</v>
      </c>
      <c r="E198" s="331">
        <v>528</v>
      </c>
      <c r="F198" s="331">
        <v>1122</v>
      </c>
      <c r="G198" s="331">
        <v>282</v>
      </c>
      <c r="H198" s="331">
        <v>5724</v>
      </c>
      <c r="I198" s="330">
        <v>5442</v>
      </c>
      <c r="J198" s="330">
        <v>2</v>
      </c>
      <c r="K198" s="332">
        <v>89.63</v>
      </c>
      <c r="L198" s="332">
        <v>89.3</v>
      </c>
      <c r="M198" s="332">
        <v>6.29</v>
      </c>
      <c r="N198" s="332">
        <v>94.52</v>
      </c>
      <c r="O198" s="333">
        <v>3437</v>
      </c>
      <c r="P198" s="330">
        <v>87.84</v>
      </c>
      <c r="Q198" s="330">
        <v>83.25</v>
      </c>
      <c r="R198" s="330">
        <v>42.92</v>
      </c>
      <c r="S198" s="330">
        <v>129.32</v>
      </c>
      <c r="T198" s="330">
        <v>984</v>
      </c>
      <c r="U198" s="330">
        <v>106.1</v>
      </c>
      <c r="V198" s="330">
        <v>259</v>
      </c>
      <c r="W198" s="330">
        <v>0</v>
      </c>
      <c r="X198" s="330">
        <v>0</v>
      </c>
      <c r="Y198" s="330">
        <v>0</v>
      </c>
      <c r="Z198" s="330">
        <v>0</v>
      </c>
      <c r="AA198" s="330">
        <v>0</v>
      </c>
      <c r="AB198" s="330">
        <v>0</v>
      </c>
      <c r="AC198" s="330">
        <v>15</v>
      </c>
      <c r="AD198" s="334">
        <v>3775</v>
      </c>
      <c r="AE198" s="334">
        <v>7</v>
      </c>
      <c r="AF198" s="334">
        <v>4</v>
      </c>
      <c r="AG198" s="334">
        <v>11</v>
      </c>
    </row>
    <row r="199" spans="1:33" x14ac:dyDescent="0.25">
      <c r="A199" s="329" t="s">
        <v>452</v>
      </c>
      <c r="B199" s="335" t="s">
        <v>453</v>
      </c>
      <c r="C199" s="331">
        <v>6517</v>
      </c>
      <c r="D199" s="331">
        <v>8</v>
      </c>
      <c r="E199" s="331">
        <v>1107</v>
      </c>
      <c r="F199" s="331">
        <v>2358</v>
      </c>
      <c r="G199" s="331">
        <v>323</v>
      </c>
      <c r="H199" s="331">
        <v>10313</v>
      </c>
      <c r="I199" s="330">
        <v>9990</v>
      </c>
      <c r="J199" s="330">
        <v>25</v>
      </c>
      <c r="K199" s="332">
        <v>85.39</v>
      </c>
      <c r="L199" s="332">
        <v>83.76</v>
      </c>
      <c r="M199" s="332">
        <v>5.74</v>
      </c>
      <c r="N199" s="332">
        <v>88.93</v>
      </c>
      <c r="O199" s="333">
        <v>5691</v>
      </c>
      <c r="P199" s="330">
        <v>86.52</v>
      </c>
      <c r="Q199" s="330">
        <v>78.319999999999993</v>
      </c>
      <c r="R199" s="330">
        <v>39.659999999999997</v>
      </c>
      <c r="S199" s="330">
        <v>123.44</v>
      </c>
      <c r="T199" s="330">
        <v>2555</v>
      </c>
      <c r="U199" s="330">
        <v>99.81</v>
      </c>
      <c r="V199" s="330">
        <v>351</v>
      </c>
      <c r="W199" s="330">
        <v>157.55000000000001</v>
      </c>
      <c r="X199" s="330">
        <v>159</v>
      </c>
      <c r="Y199" s="330">
        <v>122</v>
      </c>
      <c r="Z199" s="330">
        <v>0</v>
      </c>
      <c r="AA199" s="330">
        <v>0</v>
      </c>
      <c r="AB199" s="330">
        <v>12</v>
      </c>
      <c r="AC199" s="330">
        <v>33</v>
      </c>
      <c r="AD199" s="334">
        <v>6486</v>
      </c>
      <c r="AE199" s="334">
        <v>42</v>
      </c>
      <c r="AF199" s="334">
        <v>57</v>
      </c>
      <c r="AG199" s="334">
        <v>99</v>
      </c>
    </row>
    <row r="200" spans="1:33" x14ac:dyDescent="0.25">
      <c r="A200" s="329" t="s">
        <v>454</v>
      </c>
      <c r="B200" s="335" t="s">
        <v>455</v>
      </c>
      <c r="C200" s="331">
        <v>2032</v>
      </c>
      <c r="D200" s="331">
        <v>5</v>
      </c>
      <c r="E200" s="331">
        <v>214</v>
      </c>
      <c r="F200" s="331">
        <v>365</v>
      </c>
      <c r="G200" s="331">
        <v>283</v>
      </c>
      <c r="H200" s="331">
        <v>2899</v>
      </c>
      <c r="I200" s="330">
        <v>2616</v>
      </c>
      <c r="J200" s="330">
        <v>26</v>
      </c>
      <c r="K200" s="332">
        <v>97.22</v>
      </c>
      <c r="L200" s="332">
        <v>94.53</v>
      </c>
      <c r="M200" s="332">
        <v>6.08</v>
      </c>
      <c r="N200" s="332">
        <v>102.29</v>
      </c>
      <c r="O200" s="333">
        <v>1704</v>
      </c>
      <c r="P200" s="330">
        <v>99.17</v>
      </c>
      <c r="Q200" s="330">
        <v>86.02</v>
      </c>
      <c r="R200" s="330">
        <v>39.65</v>
      </c>
      <c r="S200" s="330">
        <v>135.47999999999999</v>
      </c>
      <c r="T200" s="330">
        <v>356</v>
      </c>
      <c r="U200" s="330">
        <v>113.95</v>
      </c>
      <c r="V200" s="330">
        <v>287</v>
      </c>
      <c r="W200" s="330">
        <v>186.31</v>
      </c>
      <c r="X200" s="330">
        <v>60</v>
      </c>
      <c r="Y200" s="330">
        <v>0</v>
      </c>
      <c r="Z200" s="330">
        <v>1</v>
      </c>
      <c r="AA200" s="330">
        <v>0</v>
      </c>
      <c r="AB200" s="330">
        <v>10</v>
      </c>
      <c r="AC200" s="330">
        <v>12</v>
      </c>
      <c r="AD200" s="334">
        <v>2019</v>
      </c>
      <c r="AE200" s="334">
        <v>4</v>
      </c>
      <c r="AF200" s="334">
        <v>4</v>
      </c>
      <c r="AG200" s="334">
        <v>8</v>
      </c>
    </row>
    <row r="201" spans="1:33" x14ac:dyDescent="0.25">
      <c r="A201" s="329" t="s">
        <v>456</v>
      </c>
      <c r="B201" s="335" t="s">
        <v>457</v>
      </c>
      <c r="C201" s="331">
        <v>472</v>
      </c>
      <c r="D201" s="331">
        <v>0</v>
      </c>
      <c r="E201" s="331">
        <v>54</v>
      </c>
      <c r="F201" s="331">
        <v>94</v>
      </c>
      <c r="G201" s="331">
        <v>118</v>
      </c>
      <c r="H201" s="331">
        <v>738</v>
      </c>
      <c r="I201" s="330">
        <v>620</v>
      </c>
      <c r="J201" s="330">
        <v>0</v>
      </c>
      <c r="K201" s="332">
        <v>93.27</v>
      </c>
      <c r="L201" s="332">
        <v>90.78</v>
      </c>
      <c r="M201" s="332">
        <v>5.17</v>
      </c>
      <c r="N201" s="332">
        <v>96.17</v>
      </c>
      <c r="O201" s="333">
        <v>297</v>
      </c>
      <c r="P201" s="330">
        <v>103.62</v>
      </c>
      <c r="Q201" s="330">
        <v>78.14</v>
      </c>
      <c r="R201" s="330">
        <v>29.45</v>
      </c>
      <c r="S201" s="330">
        <v>133.07</v>
      </c>
      <c r="T201" s="330">
        <v>132</v>
      </c>
      <c r="U201" s="330">
        <v>104.69</v>
      </c>
      <c r="V201" s="330">
        <v>93</v>
      </c>
      <c r="W201" s="330">
        <v>0</v>
      </c>
      <c r="X201" s="330">
        <v>0</v>
      </c>
      <c r="Y201" s="330">
        <v>0</v>
      </c>
      <c r="Z201" s="330">
        <v>0</v>
      </c>
      <c r="AA201" s="330">
        <v>0</v>
      </c>
      <c r="AB201" s="330">
        <v>18</v>
      </c>
      <c r="AC201" s="330">
        <v>6</v>
      </c>
      <c r="AD201" s="334">
        <v>437</v>
      </c>
      <c r="AE201" s="334">
        <v>5</v>
      </c>
      <c r="AF201" s="334">
        <v>0</v>
      </c>
      <c r="AG201" s="334">
        <v>5</v>
      </c>
    </row>
    <row r="202" spans="1:33" x14ac:dyDescent="0.25">
      <c r="A202" s="329" t="s">
        <v>458</v>
      </c>
      <c r="B202" s="335" t="s">
        <v>459</v>
      </c>
      <c r="C202" s="331">
        <v>17517</v>
      </c>
      <c r="D202" s="331">
        <v>1</v>
      </c>
      <c r="E202" s="331">
        <v>519</v>
      </c>
      <c r="F202" s="331">
        <v>677</v>
      </c>
      <c r="G202" s="331">
        <v>203</v>
      </c>
      <c r="H202" s="331">
        <v>18917</v>
      </c>
      <c r="I202" s="330">
        <v>18714</v>
      </c>
      <c r="J202" s="330">
        <v>0</v>
      </c>
      <c r="K202" s="332">
        <v>77.95</v>
      </c>
      <c r="L202" s="332">
        <v>77.010000000000005</v>
      </c>
      <c r="M202" s="332">
        <v>2.5</v>
      </c>
      <c r="N202" s="332">
        <v>79.239999999999995</v>
      </c>
      <c r="O202" s="333">
        <v>15748</v>
      </c>
      <c r="P202" s="330">
        <v>79.290000000000006</v>
      </c>
      <c r="Q202" s="330">
        <v>73.709999999999994</v>
      </c>
      <c r="R202" s="330">
        <v>29.48</v>
      </c>
      <c r="S202" s="330">
        <v>105.09</v>
      </c>
      <c r="T202" s="330">
        <v>1170</v>
      </c>
      <c r="U202" s="330">
        <v>98.35</v>
      </c>
      <c r="V202" s="330">
        <v>1308</v>
      </c>
      <c r="W202" s="330">
        <v>0</v>
      </c>
      <c r="X202" s="330">
        <v>0</v>
      </c>
      <c r="Y202" s="330">
        <v>38</v>
      </c>
      <c r="Z202" s="330">
        <v>105</v>
      </c>
      <c r="AA202" s="330">
        <v>14</v>
      </c>
      <c r="AB202" s="330">
        <v>21</v>
      </c>
      <c r="AC202" s="330">
        <v>9</v>
      </c>
      <c r="AD202" s="334">
        <v>16922</v>
      </c>
      <c r="AE202" s="334">
        <v>44</v>
      </c>
      <c r="AF202" s="334">
        <v>117</v>
      </c>
      <c r="AG202" s="334">
        <v>161</v>
      </c>
    </row>
    <row r="203" spans="1:33" x14ac:dyDescent="0.25">
      <c r="A203" s="329" t="s">
        <v>460</v>
      </c>
      <c r="B203" s="335" t="s">
        <v>461</v>
      </c>
      <c r="C203" s="331">
        <v>2938</v>
      </c>
      <c r="D203" s="331">
        <v>99</v>
      </c>
      <c r="E203" s="331">
        <v>448</v>
      </c>
      <c r="F203" s="331">
        <v>852</v>
      </c>
      <c r="G203" s="331">
        <v>647</v>
      </c>
      <c r="H203" s="331">
        <v>4984</v>
      </c>
      <c r="I203" s="330">
        <v>4337</v>
      </c>
      <c r="J203" s="330">
        <v>8</v>
      </c>
      <c r="K203" s="332">
        <v>113.63</v>
      </c>
      <c r="L203" s="332">
        <v>110.38</v>
      </c>
      <c r="M203" s="332">
        <v>7.92</v>
      </c>
      <c r="N203" s="332">
        <v>119.86</v>
      </c>
      <c r="O203" s="333">
        <v>2956</v>
      </c>
      <c r="P203" s="330">
        <v>105.86</v>
      </c>
      <c r="Q203" s="330">
        <v>94.29</v>
      </c>
      <c r="R203" s="330">
        <v>39.86</v>
      </c>
      <c r="S203" s="330">
        <v>141.84</v>
      </c>
      <c r="T203" s="330">
        <v>1253</v>
      </c>
      <c r="U203" s="330">
        <v>165.41</v>
      </c>
      <c r="V203" s="330">
        <v>57</v>
      </c>
      <c r="W203" s="330">
        <v>0</v>
      </c>
      <c r="X203" s="330">
        <v>0</v>
      </c>
      <c r="Y203" s="330">
        <v>0</v>
      </c>
      <c r="Z203" s="330">
        <v>1</v>
      </c>
      <c r="AA203" s="330">
        <v>53</v>
      </c>
      <c r="AB203" s="330">
        <v>20</v>
      </c>
      <c r="AC203" s="330">
        <v>12</v>
      </c>
      <c r="AD203" s="334">
        <v>2937</v>
      </c>
      <c r="AE203" s="334">
        <v>13</v>
      </c>
      <c r="AF203" s="334">
        <v>5</v>
      </c>
      <c r="AG203" s="334">
        <v>18</v>
      </c>
    </row>
    <row r="204" spans="1:33" x14ac:dyDescent="0.25">
      <c r="A204" s="329" t="s">
        <v>462</v>
      </c>
      <c r="B204" s="335" t="s">
        <v>463</v>
      </c>
      <c r="C204" s="331">
        <v>4177</v>
      </c>
      <c r="D204" s="331">
        <v>1</v>
      </c>
      <c r="E204" s="331">
        <v>161</v>
      </c>
      <c r="F204" s="331">
        <v>286</v>
      </c>
      <c r="G204" s="331">
        <v>6</v>
      </c>
      <c r="H204" s="331">
        <v>4631</v>
      </c>
      <c r="I204" s="330">
        <v>4625</v>
      </c>
      <c r="J204" s="330">
        <v>12</v>
      </c>
      <c r="K204" s="332">
        <v>74.89</v>
      </c>
      <c r="L204" s="332">
        <v>74.41</v>
      </c>
      <c r="M204" s="332">
        <v>2.4700000000000002</v>
      </c>
      <c r="N204" s="332">
        <v>77.08</v>
      </c>
      <c r="O204" s="333">
        <v>3841</v>
      </c>
      <c r="P204" s="330">
        <v>86.47</v>
      </c>
      <c r="Q204" s="330">
        <v>72.02</v>
      </c>
      <c r="R204" s="330">
        <v>27.32</v>
      </c>
      <c r="S204" s="330">
        <v>113.12</v>
      </c>
      <c r="T204" s="330">
        <v>370</v>
      </c>
      <c r="U204" s="330">
        <v>93.03</v>
      </c>
      <c r="V204" s="330">
        <v>326</v>
      </c>
      <c r="W204" s="330">
        <v>0</v>
      </c>
      <c r="X204" s="330">
        <v>0</v>
      </c>
      <c r="Y204" s="330">
        <v>3</v>
      </c>
      <c r="Z204" s="330">
        <v>27</v>
      </c>
      <c r="AA204" s="330">
        <v>1</v>
      </c>
      <c r="AB204" s="330">
        <v>5</v>
      </c>
      <c r="AC204" s="330">
        <v>0</v>
      </c>
      <c r="AD204" s="334">
        <v>4177</v>
      </c>
      <c r="AE204" s="334">
        <v>27</v>
      </c>
      <c r="AF204" s="334">
        <v>13</v>
      </c>
      <c r="AG204" s="334">
        <v>40</v>
      </c>
    </row>
    <row r="205" spans="1:33" x14ac:dyDescent="0.25">
      <c r="A205" s="329" t="s">
        <v>464</v>
      </c>
      <c r="B205" s="335" t="s">
        <v>465</v>
      </c>
      <c r="C205" s="331">
        <v>12939</v>
      </c>
      <c r="D205" s="331">
        <v>40</v>
      </c>
      <c r="E205" s="331">
        <v>683</v>
      </c>
      <c r="F205" s="331">
        <v>2091</v>
      </c>
      <c r="G205" s="331">
        <v>871</v>
      </c>
      <c r="H205" s="331">
        <v>16624</v>
      </c>
      <c r="I205" s="330">
        <v>15753</v>
      </c>
      <c r="J205" s="330">
        <v>54</v>
      </c>
      <c r="K205" s="332">
        <v>87.51</v>
      </c>
      <c r="L205" s="332">
        <v>87.12</v>
      </c>
      <c r="M205" s="332">
        <v>5.29</v>
      </c>
      <c r="N205" s="332">
        <v>90.15</v>
      </c>
      <c r="O205" s="333">
        <v>11313</v>
      </c>
      <c r="P205" s="330">
        <v>88.98</v>
      </c>
      <c r="Q205" s="330">
        <v>86</v>
      </c>
      <c r="R205" s="330">
        <v>34.24</v>
      </c>
      <c r="S205" s="330">
        <v>121.74</v>
      </c>
      <c r="T205" s="330">
        <v>2518</v>
      </c>
      <c r="U205" s="330">
        <v>104.95</v>
      </c>
      <c r="V205" s="330">
        <v>1340</v>
      </c>
      <c r="W205" s="330">
        <v>193.85</v>
      </c>
      <c r="X205" s="330">
        <v>100</v>
      </c>
      <c r="Y205" s="330">
        <v>0</v>
      </c>
      <c r="Z205" s="330">
        <v>58</v>
      </c>
      <c r="AA205" s="330">
        <v>11</v>
      </c>
      <c r="AB205" s="330">
        <v>65</v>
      </c>
      <c r="AC205" s="330">
        <v>8</v>
      </c>
      <c r="AD205" s="334">
        <v>12939</v>
      </c>
      <c r="AE205" s="334">
        <v>47</v>
      </c>
      <c r="AF205" s="334">
        <v>32</v>
      </c>
      <c r="AG205" s="334">
        <v>79</v>
      </c>
    </row>
    <row r="206" spans="1:33" x14ac:dyDescent="0.25">
      <c r="A206" s="329" t="s">
        <v>466</v>
      </c>
      <c r="B206" s="335" t="s">
        <v>467</v>
      </c>
      <c r="C206" s="331">
        <v>18931</v>
      </c>
      <c r="D206" s="331">
        <v>0</v>
      </c>
      <c r="E206" s="331">
        <v>2391</v>
      </c>
      <c r="F206" s="331">
        <v>1073</v>
      </c>
      <c r="G206" s="331">
        <v>988</v>
      </c>
      <c r="H206" s="331">
        <v>23383</v>
      </c>
      <c r="I206" s="330">
        <v>22395</v>
      </c>
      <c r="J206" s="330">
        <v>4</v>
      </c>
      <c r="K206" s="332">
        <v>76.06</v>
      </c>
      <c r="L206" s="332">
        <v>75.959999999999994</v>
      </c>
      <c r="M206" s="332">
        <v>7.3</v>
      </c>
      <c r="N206" s="332">
        <v>80.52</v>
      </c>
      <c r="O206" s="333">
        <v>16016</v>
      </c>
      <c r="P206" s="330">
        <v>72.2</v>
      </c>
      <c r="Q206" s="330">
        <v>68.78</v>
      </c>
      <c r="R206" s="330">
        <v>25.74</v>
      </c>
      <c r="S206" s="330">
        <v>96.6</v>
      </c>
      <c r="T206" s="330">
        <v>3066</v>
      </c>
      <c r="U206" s="330">
        <v>106.22</v>
      </c>
      <c r="V206" s="330">
        <v>2451</v>
      </c>
      <c r="W206" s="330">
        <v>99.17</v>
      </c>
      <c r="X206" s="330">
        <v>210</v>
      </c>
      <c r="Y206" s="330">
        <v>92</v>
      </c>
      <c r="Z206" s="330">
        <v>111</v>
      </c>
      <c r="AA206" s="330">
        <v>14</v>
      </c>
      <c r="AB206" s="330">
        <v>54</v>
      </c>
      <c r="AC206" s="330">
        <v>26</v>
      </c>
      <c r="AD206" s="334">
        <v>18464</v>
      </c>
      <c r="AE206" s="334">
        <v>65</v>
      </c>
      <c r="AF206" s="334">
        <v>180</v>
      </c>
      <c r="AG206" s="334">
        <v>245</v>
      </c>
    </row>
    <row r="207" spans="1:33" x14ac:dyDescent="0.25">
      <c r="A207" s="329" t="s">
        <v>468</v>
      </c>
      <c r="B207" s="335" t="s">
        <v>469</v>
      </c>
      <c r="C207" s="331">
        <v>5184</v>
      </c>
      <c r="D207" s="331">
        <v>0</v>
      </c>
      <c r="E207" s="331">
        <v>451</v>
      </c>
      <c r="F207" s="331">
        <v>648</v>
      </c>
      <c r="G207" s="331">
        <v>721</v>
      </c>
      <c r="H207" s="331">
        <v>7004</v>
      </c>
      <c r="I207" s="330">
        <v>6283</v>
      </c>
      <c r="J207" s="330">
        <v>3</v>
      </c>
      <c r="K207" s="332">
        <v>99.13</v>
      </c>
      <c r="L207" s="332">
        <v>98.65</v>
      </c>
      <c r="M207" s="332">
        <v>9.1199999999999992</v>
      </c>
      <c r="N207" s="332">
        <v>106.3</v>
      </c>
      <c r="O207" s="333">
        <v>3827</v>
      </c>
      <c r="P207" s="330">
        <v>89.66</v>
      </c>
      <c r="Q207" s="330">
        <v>86.45</v>
      </c>
      <c r="R207" s="330">
        <v>31.46</v>
      </c>
      <c r="S207" s="330">
        <v>117.79</v>
      </c>
      <c r="T207" s="330">
        <v>491</v>
      </c>
      <c r="U207" s="330">
        <v>128.32</v>
      </c>
      <c r="V207" s="330">
        <v>806</v>
      </c>
      <c r="W207" s="330">
        <v>170.52</v>
      </c>
      <c r="X207" s="330">
        <v>264</v>
      </c>
      <c r="Y207" s="330">
        <v>159</v>
      </c>
      <c r="Z207" s="330">
        <v>0</v>
      </c>
      <c r="AA207" s="330">
        <v>3</v>
      </c>
      <c r="AB207" s="330">
        <v>50</v>
      </c>
      <c r="AC207" s="330">
        <v>21</v>
      </c>
      <c r="AD207" s="334">
        <v>4852</v>
      </c>
      <c r="AE207" s="334">
        <v>25</v>
      </c>
      <c r="AF207" s="334">
        <v>38</v>
      </c>
      <c r="AG207" s="334">
        <v>63</v>
      </c>
    </row>
    <row r="208" spans="1:33" x14ac:dyDescent="0.25">
      <c r="A208" s="329" t="s">
        <v>470</v>
      </c>
      <c r="B208" s="335" t="s">
        <v>471</v>
      </c>
      <c r="C208" s="331">
        <v>9988</v>
      </c>
      <c r="D208" s="331">
        <v>20</v>
      </c>
      <c r="E208" s="331">
        <v>407</v>
      </c>
      <c r="F208" s="331">
        <v>972</v>
      </c>
      <c r="G208" s="331">
        <v>226</v>
      </c>
      <c r="H208" s="331">
        <v>11613</v>
      </c>
      <c r="I208" s="330">
        <v>11387</v>
      </c>
      <c r="J208" s="330">
        <v>8</v>
      </c>
      <c r="K208" s="332">
        <v>78.739999999999995</v>
      </c>
      <c r="L208" s="332">
        <v>78.7</v>
      </c>
      <c r="M208" s="332">
        <v>6.58</v>
      </c>
      <c r="N208" s="332">
        <v>81.48</v>
      </c>
      <c r="O208" s="333">
        <v>9320</v>
      </c>
      <c r="P208" s="330">
        <v>81.02</v>
      </c>
      <c r="Q208" s="330">
        <v>72.790000000000006</v>
      </c>
      <c r="R208" s="330">
        <v>39.86</v>
      </c>
      <c r="S208" s="330">
        <v>120.16</v>
      </c>
      <c r="T208" s="330">
        <v>1338</v>
      </c>
      <c r="U208" s="330">
        <v>100.13</v>
      </c>
      <c r="V208" s="330">
        <v>664</v>
      </c>
      <c r="W208" s="330">
        <v>0</v>
      </c>
      <c r="X208" s="330">
        <v>0</v>
      </c>
      <c r="Y208" s="330">
        <v>99</v>
      </c>
      <c r="Z208" s="330">
        <v>39</v>
      </c>
      <c r="AA208" s="330">
        <v>1</v>
      </c>
      <c r="AB208" s="330">
        <v>27</v>
      </c>
      <c r="AC208" s="330">
        <v>10</v>
      </c>
      <c r="AD208" s="334">
        <v>9988</v>
      </c>
      <c r="AE208" s="334">
        <v>52</v>
      </c>
      <c r="AF208" s="334">
        <v>43</v>
      </c>
      <c r="AG208" s="334">
        <v>95</v>
      </c>
    </row>
    <row r="209" spans="1:33" x14ac:dyDescent="0.25">
      <c r="A209" s="329" t="s">
        <v>472</v>
      </c>
      <c r="B209" s="335" t="s">
        <v>473</v>
      </c>
      <c r="C209" s="331">
        <v>3660</v>
      </c>
      <c r="D209" s="331">
        <v>0</v>
      </c>
      <c r="E209" s="331">
        <v>325</v>
      </c>
      <c r="F209" s="331">
        <v>399</v>
      </c>
      <c r="G209" s="331">
        <v>854</v>
      </c>
      <c r="H209" s="331">
        <v>5238</v>
      </c>
      <c r="I209" s="330">
        <v>4384</v>
      </c>
      <c r="J209" s="330">
        <v>10</v>
      </c>
      <c r="K209" s="332">
        <v>118.78</v>
      </c>
      <c r="L209" s="332">
        <v>116.84</v>
      </c>
      <c r="M209" s="332">
        <v>9.44</v>
      </c>
      <c r="N209" s="332">
        <v>127.61</v>
      </c>
      <c r="O209" s="333">
        <v>2959</v>
      </c>
      <c r="P209" s="330">
        <v>114.18</v>
      </c>
      <c r="Q209" s="330">
        <v>103.7</v>
      </c>
      <c r="R209" s="330">
        <v>72.150000000000006</v>
      </c>
      <c r="S209" s="330">
        <v>183.75</v>
      </c>
      <c r="T209" s="330">
        <v>559</v>
      </c>
      <c r="U209" s="330">
        <v>157.34</v>
      </c>
      <c r="V209" s="330">
        <v>295</v>
      </c>
      <c r="W209" s="330">
        <v>150.82</v>
      </c>
      <c r="X209" s="330">
        <v>33</v>
      </c>
      <c r="Y209" s="330">
        <v>0</v>
      </c>
      <c r="Z209" s="330">
        <v>1</v>
      </c>
      <c r="AA209" s="330">
        <v>0</v>
      </c>
      <c r="AB209" s="330">
        <v>27</v>
      </c>
      <c r="AC209" s="330">
        <v>46</v>
      </c>
      <c r="AD209" s="334">
        <v>3489</v>
      </c>
      <c r="AE209" s="334">
        <v>12</v>
      </c>
      <c r="AF209" s="334">
        <v>7</v>
      </c>
      <c r="AG209" s="334">
        <v>19</v>
      </c>
    </row>
    <row r="210" spans="1:33" x14ac:dyDescent="0.25">
      <c r="A210" s="329" t="s">
        <v>474</v>
      </c>
      <c r="B210" s="335" t="s">
        <v>475</v>
      </c>
      <c r="C210" s="331">
        <v>3396</v>
      </c>
      <c r="D210" s="331">
        <v>0</v>
      </c>
      <c r="E210" s="331">
        <v>345</v>
      </c>
      <c r="F210" s="331">
        <v>1096</v>
      </c>
      <c r="G210" s="331">
        <v>576</v>
      </c>
      <c r="H210" s="331">
        <v>5413</v>
      </c>
      <c r="I210" s="330">
        <v>4837</v>
      </c>
      <c r="J210" s="330">
        <v>12</v>
      </c>
      <c r="K210" s="332">
        <v>131.33000000000001</v>
      </c>
      <c r="L210" s="332">
        <v>126.08</v>
      </c>
      <c r="M210" s="332">
        <v>11.06</v>
      </c>
      <c r="N210" s="332">
        <v>137.44999999999999</v>
      </c>
      <c r="O210" s="333">
        <v>2930</v>
      </c>
      <c r="P210" s="330">
        <v>104.49</v>
      </c>
      <c r="Q210" s="330">
        <v>100.93</v>
      </c>
      <c r="R210" s="330">
        <v>43.72</v>
      </c>
      <c r="S210" s="330">
        <v>147.44</v>
      </c>
      <c r="T210" s="330">
        <v>1252</v>
      </c>
      <c r="U210" s="330">
        <v>167.39</v>
      </c>
      <c r="V210" s="330">
        <v>173</v>
      </c>
      <c r="W210" s="330">
        <v>136.47</v>
      </c>
      <c r="X210" s="330">
        <v>53</v>
      </c>
      <c r="Y210" s="330">
        <v>0</v>
      </c>
      <c r="Z210" s="330">
        <v>0</v>
      </c>
      <c r="AA210" s="330">
        <v>3</v>
      </c>
      <c r="AB210" s="330">
        <v>26</v>
      </c>
      <c r="AC210" s="330">
        <v>20</v>
      </c>
      <c r="AD210" s="334">
        <v>3273</v>
      </c>
      <c r="AE210" s="334">
        <v>10</v>
      </c>
      <c r="AF210" s="334">
        <v>8</v>
      </c>
      <c r="AG210" s="334">
        <v>18</v>
      </c>
    </row>
    <row r="211" spans="1:33" x14ac:dyDescent="0.25">
      <c r="A211" s="329" t="s">
        <v>476</v>
      </c>
      <c r="B211" s="335" t="s">
        <v>477</v>
      </c>
      <c r="C211" s="331">
        <v>11349</v>
      </c>
      <c r="D211" s="331">
        <v>0</v>
      </c>
      <c r="E211" s="331">
        <v>200</v>
      </c>
      <c r="F211" s="331">
        <v>610</v>
      </c>
      <c r="G211" s="331">
        <v>234</v>
      </c>
      <c r="H211" s="331">
        <v>12393</v>
      </c>
      <c r="I211" s="330">
        <v>12159</v>
      </c>
      <c r="J211" s="330">
        <v>132</v>
      </c>
      <c r="K211" s="332">
        <v>88.23</v>
      </c>
      <c r="L211" s="332">
        <v>88.55</v>
      </c>
      <c r="M211" s="332">
        <v>5.89</v>
      </c>
      <c r="N211" s="332">
        <v>91.22</v>
      </c>
      <c r="O211" s="333">
        <v>10959</v>
      </c>
      <c r="P211" s="330">
        <v>84.67</v>
      </c>
      <c r="Q211" s="330">
        <v>79.010000000000005</v>
      </c>
      <c r="R211" s="330">
        <v>51.01</v>
      </c>
      <c r="S211" s="330">
        <v>135.36000000000001</v>
      </c>
      <c r="T211" s="330">
        <v>636</v>
      </c>
      <c r="U211" s="330">
        <v>107.57</v>
      </c>
      <c r="V211" s="330">
        <v>219</v>
      </c>
      <c r="W211" s="330">
        <v>152.12</v>
      </c>
      <c r="X211" s="330">
        <v>127</v>
      </c>
      <c r="Y211" s="330">
        <v>0</v>
      </c>
      <c r="Z211" s="330">
        <v>41</v>
      </c>
      <c r="AA211" s="330">
        <v>1</v>
      </c>
      <c r="AB211" s="330">
        <v>8</v>
      </c>
      <c r="AC211" s="330">
        <v>6</v>
      </c>
      <c r="AD211" s="334">
        <v>11349</v>
      </c>
      <c r="AE211" s="334">
        <v>60</v>
      </c>
      <c r="AF211" s="334">
        <v>79</v>
      </c>
      <c r="AG211" s="334">
        <v>139</v>
      </c>
    </row>
    <row r="212" spans="1:33" x14ac:dyDescent="0.25">
      <c r="A212" s="329" t="s">
        <v>478</v>
      </c>
      <c r="B212" s="335" t="s">
        <v>479</v>
      </c>
      <c r="C212" s="331">
        <v>1682</v>
      </c>
      <c r="D212" s="331">
        <v>0</v>
      </c>
      <c r="E212" s="331">
        <v>189</v>
      </c>
      <c r="F212" s="331">
        <v>179</v>
      </c>
      <c r="G212" s="331">
        <v>141</v>
      </c>
      <c r="H212" s="331">
        <v>2191</v>
      </c>
      <c r="I212" s="330">
        <v>2050</v>
      </c>
      <c r="J212" s="330">
        <v>0</v>
      </c>
      <c r="K212" s="332">
        <v>88.61</v>
      </c>
      <c r="L212" s="332">
        <v>85.91</v>
      </c>
      <c r="M212" s="332">
        <v>4.4800000000000004</v>
      </c>
      <c r="N212" s="332">
        <v>92.48</v>
      </c>
      <c r="O212" s="333">
        <v>1139</v>
      </c>
      <c r="P212" s="330">
        <v>100.82</v>
      </c>
      <c r="Q212" s="330">
        <v>87.67</v>
      </c>
      <c r="R212" s="330">
        <v>50.5</v>
      </c>
      <c r="S212" s="330">
        <v>150.28</v>
      </c>
      <c r="T212" s="330">
        <v>243</v>
      </c>
      <c r="U212" s="330">
        <v>109.52</v>
      </c>
      <c r="V212" s="330">
        <v>197</v>
      </c>
      <c r="W212" s="330">
        <v>187.98</v>
      </c>
      <c r="X212" s="330">
        <v>43</v>
      </c>
      <c r="Y212" s="330">
        <v>0</v>
      </c>
      <c r="Z212" s="330">
        <v>0</v>
      </c>
      <c r="AA212" s="330">
        <v>0</v>
      </c>
      <c r="AB212" s="330">
        <v>3</v>
      </c>
      <c r="AC212" s="330">
        <v>3</v>
      </c>
      <c r="AD212" s="334">
        <v>1405</v>
      </c>
      <c r="AE212" s="334">
        <v>2</v>
      </c>
      <c r="AF212" s="334">
        <v>0</v>
      </c>
      <c r="AG212" s="334">
        <v>2</v>
      </c>
    </row>
    <row r="213" spans="1:33" x14ac:dyDescent="0.25">
      <c r="A213" s="329" t="s">
        <v>480</v>
      </c>
      <c r="B213" s="335" t="s">
        <v>481</v>
      </c>
      <c r="C213" s="331">
        <v>6140</v>
      </c>
      <c r="D213" s="331">
        <v>9</v>
      </c>
      <c r="E213" s="331">
        <v>329</v>
      </c>
      <c r="F213" s="331">
        <v>659</v>
      </c>
      <c r="G213" s="331">
        <v>781</v>
      </c>
      <c r="H213" s="331">
        <v>7918</v>
      </c>
      <c r="I213" s="330">
        <v>7137</v>
      </c>
      <c r="J213" s="330">
        <v>3</v>
      </c>
      <c r="K213" s="332">
        <v>119.6</v>
      </c>
      <c r="L213" s="332">
        <v>120</v>
      </c>
      <c r="M213" s="332">
        <v>4.58</v>
      </c>
      <c r="N213" s="332">
        <v>123.97</v>
      </c>
      <c r="O213" s="333">
        <v>5162</v>
      </c>
      <c r="P213" s="330">
        <v>108.06</v>
      </c>
      <c r="Q213" s="330">
        <v>100</v>
      </c>
      <c r="R213" s="330">
        <v>22.89</v>
      </c>
      <c r="S213" s="330">
        <v>129.21</v>
      </c>
      <c r="T213" s="330">
        <v>670</v>
      </c>
      <c r="U213" s="330">
        <v>147.47</v>
      </c>
      <c r="V213" s="330">
        <v>886</v>
      </c>
      <c r="W213" s="330">
        <v>221.43</v>
      </c>
      <c r="X213" s="330">
        <v>63</v>
      </c>
      <c r="Y213" s="330">
        <v>15</v>
      </c>
      <c r="Z213" s="330">
        <v>13</v>
      </c>
      <c r="AA213" s="330">
        <v>0</v>
      </c>
      <c r="AB213" s="330">
        <v>57</v>
      </c>
      <c r="AC213" s="330">
        <v>25</v>
      </c>
      <c r="AD213" s="334">
        <v>6140</v>
      </c>
      <c r="AE213" s="334">
        <v>13</v>
      </c>
      <c r="AF213" s="334">
        <v>53</v>
      </c>
      <c r="AG213" s="334">
        <v>66</v>
      </c>
    </row>
    <row r="214" spans="1:33" x14ac:dyDescent="0.25">
      <c r="A214" s="329" t="s">
        <v>482</v>
      </c>
      <c r="B214" s="335" t="s">
        <v>483</v>
      </c>
      <c r="C214" s="331">
        <v>1228</v>
      </c>
      <c r="D214" s="331">
        <v>0</v>
      </c>
      <c r="E214" s="331">
        <v>86</v>
      </c>
      <c r="F214" s="331">
        <v>753</v>
      </c>
      <c r="G214" s="331">
        <v>237</v>
      </c>
      <c r="H214" s="331">
        <v>2304</v>
      </c>
      <c r="I214" s="330">
        <v>2067</v>
      </c>
      <c r="J214" s="330">
        <v>1</v>
      </c>
      <c r="K214" s="332">
        <v>85.96</v>
      </c>
      <c r="L214" s="332">
        <v>85.42</v>
      </c>
      <c r="M214" s="332">
        <v>3.16</v>
      </c>
      <c r="N214" s="332">
        <v>88.18</v>
      </c>
      <c r="O214" s="333">
        <v>957</v>
      </c>
      <c r="P214" s="330">
        <v>75.25</v>
      </c>
      <c r="Q214" s="330">
        <v>71.52</v>
      </c>
      <c r="R214" s="330">
        <v>15.67</v>
      </c>
      <c r="S214" s="330">
        <v>90.6</v>
      </c>
      <c r="T214" s="330">
        <v>781</v>
      </c>
      <c r="U214" s="330">
        <v>106.79</v>
      </c>
      <c r="V214" s="330">
        <v>258</v>
      </c>
      <c r="W214" s="330">
        <v>123.86</v>
      </c>
      <c r="X214" s="330">
        <v>18</v>
      </c>
      <c r="Y214" s="330">
        <v>7</v>
      </c>
      <c r="Z214" s="330">
        <v>4</v>
      </c>
      <c r="AA214" s="330">
        <v>0</v>
      </c>
      <c r="AB214" s="330">
        <v>36</v>
      </c>
      <c r="AC214" s="330">
        <v>0</v>
      </c>
      <c r="AD214" s="334">
        <v>1227</v>
      </c>
      <c r="AE214" s="334">
        <v>9</v>
      </c>
      <c r="AF214" s="334">
        <v>0</v>
      </c>
      <c r="AG214" s="334">
        <v>9</v>
      </c>
    </row>
    <row r="215" spans="1:33" x14ac:dyDescent="0.25">
      <c r="A215" s="329" t="s">
        <v>484</v>
      </c>
      <c r="B215" s="335" t="s">
        <v>485</v>
      </c>
      <c r="C215" s="331">
        <v>8789</v>
      </c>
      <c r="D215" s="331">
        <v>12</v>
      </c>
      <c r="E215" s="331">
        <v>305</v>
      </c>
      <c r="F215" s="331">
        <v>841</v>
      </c>
      <c r="G215" s="331">
        <v>473</v>
      </c>
      <c r="H215" s="331">
        <v>10420</v>
      </c>
      <c r="I215" s="330">
        <v>9947</v>
      </c>
      <c r="J215" s="330">
        <v>2</v>
      </c>
      <c r="K215" s="332">
        <v>122.82</v>
      </c>
      <c r="L215" s="332">
        <v>137.75</v>
      </c>
      <c r="M215" s="332">
        <v>9.58</v>
      </c>
      <c r="N215" s="332">
        <v>129.46</v>
      </c>
      <c r="O215" s="333">
        <v>7914</v>
      </c>
      <c r="P215" s="330">
        <v>119.49</v>
      </c>
      <c r="Q215" s="330">
        <v>118.98</v>
      </c>
      <c r="R215" s="330">
        <v>33.75</v>
      </c>
      <c r="S215" s="330">
        <v>151.03</v>
      </c>
      <c r="T215" s="330">
        <v>1086</v>
      </c>
      <c r="U215" s="330">
        <v>187.09</v>
      </c>
      <c r="V215" s="330">
        <v>679</v>
      </c>
      <c r="W215" s="330">
        <v>207.69</v>
      </c>
      <c r="X215" s="330">
        <v>11</v>
      </c>
      <c r="Y215" s="330">
        <v>0</v>
      </c>
      <c r="Z215" s="330">
        <v>5</v>
      </c>
      <c r="AA215" s="330">
        <v>1</v>
      </c>
      <c r="AB215" s="330">
        <v>12</v>
      </c>
      <c r="AC215" s="330">
        <v>13</v>
      </c>
      <c r="AD215" s="334">
        <v>8705</v>
      </c>
      <c r="AE215" s="334">
        <v>13</v>
      </c>
      <c r="AF215" s="334">
        <v>37</v>
      </c>
      <c r="AG215" s="334">
        <v>50</v>
      </c>
    </row>
    <row r="216" spans="1:33" x14ac:dyDescent="0.25">
      <c r="A216" s="329" t="s">
        <v>486</v>
      </c>
      <c r="B216" s="335" t="s">
        <v>487</v>
      </c>
      <c r="C216" s="331">
        <v>659</v>
      </c>
      <c r="D216" s="331">
        <v>4</v>
      </c>
      <c r="E216" s="331">
        <v>120</v>
      </c>
      <c r="F216" s="331">
        <v>96</v>
      </c>
      <c r="G216" s="331">
        <v>46</v>
      </c>
      <c r="H216" s="331">
        <v>925</v>
      </c>
      <c r="I216" s="330">
        <v>879</v>
      </c>
      <c r="J216" s="330">
        <v>4</v>
      </c>
      <c r="K216" s="332">
        <v>92.26</v>
      </c>
      <c r="L216" s="332">
        <v>92.11</v>
      </c>
      <c r="M216" s="332">
        <v>3.79</v>
      </c>
      <c r="N216" s="332">
        <v>95.02</v>
      </c>
      <c r="O216" s="333">
        <v>519</v>
      </c>
      <c r="P216" s="330">
        <v>111.26</v>
      </c>
      <c r="Q216" s="330">
        <v>96.43</v>
      </c>
      <c r="R216" s="330">
        <v>81.73</v>
      </c>
      <c r="S216" s="330">
        <v>192.99</v>
      </c>
      <c r="T216" s="330">
        <v>153</v>
      </c>
      <c r="U216" s="330">
        <v>104.36</v>
      </c>
      <c r="V216" s="330">
        <v>106</v>
      </c>
      <c r="W216" s="330">
        <v>157.72</v>
      </c>
      <c r="X216" s="330">
        <v>53</v>
      </c>
      <c r="Y216" s="330">
        <v>0</v>
      </c>
      <c r="Z216" s="330">
        <v>0</v>
      </c>
      <c r="AA216" s="330">
        <v>0</v>
      </c>
      <c r="AB216" s="330">
        <v>0</v>
      </c>
      <c r="AC216" s="330">
        <v>0</v>
      </c>
      <c r="AD216" s="334">
        <v>659</v>
      </c>
      <c r="AE216" s="334">
        <v>17</v>
      </c>
      <c r="AF216" s="334">
        <v>2</v>
      </c>
      <c r="AG216" s="334">
        <v>19</v>
      </c>
    </row>
    <row r="217" spans="1:33" x14ac:dyDescent="0.25">
      <c r="A217" s="329" t="s">
        <v>488</v>
      </c>
      <c r="B217" s="335" t="s">
        <v>489</v>
      </c>
      <c r="C217" s="331">
        <v>18386</v>
      </c>
      <c r="D217" s="331">
        <v>0</v>
      </c>
      <c r="E217" s="331">
        <v>519</v>
      </c>
      <c r="F217" s="331">
        <v>2044</v>
      </c>
      <c r="G217" s="331">
        <v>219</v>
      </c>
      <c r="H217" s="331">
        <v>21168</v>
      </c>
      <c r="I217" s="330">
        <v>20949</v>
      </c>
      <c r="J217" s="330">
        <v>2</v>
      </c>
      <c r="K217" s="332">
        <v>76.53</v>
      </c>
      <c r="L217" s="332">
        <v>76.22</v>
      </c>
      <c r="M217" s="332">
        <v>4.72</v>
      </c>
      <c r="N217" s="332">
        <v>80.72</v>
      </c>
      <c r="O217" s="333">
        <v>16941</v>
      </c>
      <c r="P217" s="330">
        <v>76.83</v>
      </c>
      <c r="Q217" s="330">
        <v>72.459999999999994</v>
      </c>
      <c r="R217" s="330">
        <v>27.26</v>
      </c>
      <c r="S217" s="330">
        <v>102.8</v>
      </c>
      <c r="T217" s="330">
        <v>2465</v>
      </c>
      <c r="U217" s="330">
        <v>94.91</v>
      </c>
      <c r="V217" s="330">
        <v>1274</v>
      </c>
      <c r="W217" s="330">
        <v>0</v>
      </c>
      <c r="X217" s="330">
        <v>0</v>
      </c>
      <c r="Y217" s="330">
        <v>0</v>
      </c>
      <c r="Z217" s="330">
        <v>170</v>
      </c>
      <c r="AA217" s="330">
        <v>8</v>
      </c>
      <c r="AB217" s="330">
        <v>0</v>
      </c>
      <c r="AC217" s="330">
        <v>2</v>
      </c>
      <c r="AD217" s="334">
        <v>18270</v>
      </c>
      <c r="AE217" s="334">
        <v>215</v>
      </c>
      <c r="AF217" s="334">
        <v>27</v>
      </c>
      <c r="AG217" s="334">
        <v>242</v>
      </c>
    </row>
    <row r="218" spans="1:33" x14ac:dyDescent="0.25">
      <c r="A218" s="329" t="s">
        <v>490</v>
      </c>
      <c r="B218" s="335" t="s">
        <v>491</v>
      </c>
      <c r="C218" s="331">
        <v>2069</v>
      </c>
      <c r="D218" s="331">
        <v>0</v>
      </c>
      <c r="E218" s="331">
        <v>48</v>
      </c>
      <c r="F218" s="331">
        <v>716</v>
      </c>
      <c r="G218" s="331">
        <v>85</v>
      </c>
      <c r="H218" s="331">
        <v>2918</v>
      </c>
      <c r="I218" s="330">
        <v>2833</v>
      </c>
      <c r="J218" s="330">
        <v>8</v>
      </c>
      <c r="K218" s="332">
        <v>101.06</v>
      </c>
      <c r="L218" s="332">
        <v>101.45</v>
      </c>
      <c r="M218" s="332">
        <v>6.01</v>
      </c>
      <c r="N218" s="332">
        <v>103.85</v>
      </c>
      <c r="O218" s="333">
        <v>1763</v>
      </c>
      <c r="P218" s="330">
        <v>87.83</v>
      </c>
      <c r="Q218" s="330">
        <v>86.92</v>
      </c>
      <c r="R218" s="330">
        <v>34.630000000000003</v>
      </c>
      <c r="S218" s="330">
        <v>120.82</v>
      </c>
      <c r="T218" s="330">
        <v>764</v>
      </c>
      <c r="U218" s="330">
        <v>139.57</v>
      </c>
      <c r="V218" s="330">
        <v>305</v>
      </c>
      <c r="W218" s="330">
        <v>0</v>
      </c>
      <c r="X218" s="330">
        <v>0</v>
      </c>
      <c r="Y218" s="330">
        <v>0</v>
      </c>
      <c r="Z218" s="330">
        <v>1</v>
      </c>
      <c r="AA218" s="330">
        <v>0</v>
      </c>
      <c r="AB218" s="330">
        <v>1</v>
      </c>
      <c r="AC218" s="330">
        <v>1</v>
      </c>
      <c r="AD218" s="334">
        <v>2069</v>
      </c>
      <c r="AE218" s="334">
        <v>3</v>
      </c>
      <c r="AF218" s="334">
        <v>10</v>
      </c>
      <c r="AG218" s="334">
        <v>13</v>
      </c>
    </row>
    <row r="219" spans="1:33" x14ac:dyDescent="0.25">
      <c r="A219" s="329" t="s">
        <v>492</v>
      </c>
      <c r="B219" s="335" t="s">
        <v>493</v>
      </c>
      <c r="C219" s="331">
        <v>4249</v>
      </c>
      <c r="D219" s="331">
        <v>0</v>
      </c>
      <c r="E219" s="331">
        <v>88</v>
      </c>
      <c r="F219" s="331">
        <v>290</v>
      </c>
      <c r="G219" s="331">
        <v>27</v>
      </c>
      <c r="H219" s="331">
        <v>4654</v>
      </c>
      <c r="I219" s="330">
        <v>4627</v>
      </c>
      <c r="J219" s="330">
        <v>0</v>
      </c>
      <c r="K219" s="332">
        <v>74.849999999999994</v>
      </c>
      <c r="L219" s="332">
        <v>75.430000000000007</v>
      </c>
      <c r="M219" s="332">
        <v>3.38</v>
      </c>
      <c r="N219" s="332">
        <v>75.63</v>
      </c>
      <c r="O219" s="333">
        <v>3811</v>
      </c>
      <c r="P219" s="330">
        <v>86.06</v>
      </c>
      <c r="Q219" s="330">
        <v>84.12</v>
      </c>
      <c r="R219" s="330">
        <v>32.26</v>
      </c>
      <c r="S219" s="330">
        <v>116.24</v>
      </c>
      <c r="T219" s="330">
        <v>356</v>
      </c>
      <c r="U219" s="330">
        <v>92.33</v>
      </c>
      <c r="V219" s="330">
        <v>429</v>
      </c>
      <c r="W219" s="330">
        <v>0</v>
      </c>
      <c r="X219" s="330">
        <v>0</v>
      </c>
      <c r="Y219" s="330">
        <v>4</v>
      </c>
      <c r="Z219" s="330">
        <v>20</v>
      </c>
      <c r="AA219" s="330">
        <v>0</v>
      </c>
      <c r="AB219" s="330">
        <v>8</v>
      </c>
      <c r="AC219" s="330">
        <v>3</v>
      </c>
      <c r="AD219" s="334">
        <v>4244</v>
      </c>
      <c r="AE219" s="334">
        <v>23</v>
      </c>
      <c r="AF219" s="334">
        <v>6</v>
      </c>
      <c r="AG219" s="334">
        <v>29</v>
      </c>
    </row>
    <row r="220" spans="1:33" x14ac:dyDescent="0.25">
      <c r="A220" s="329" t="s">
        <v>494</v>
      </c>
      <c r="B220" s="335" t="s">
        <v>495</v>
      </c>
      <c r="C220" s="331">
        <v>3629</v>
      </c>
      <c r="D220" s="331">
        <v>0</v>
      </c>
      <c r="E220" s="331">
        <v>132</v>
      </c>
      <c r="F220" s="331">
        <v>606</v>
      </c>
      <c r="G220" s="331">
        <v>199</v>
      </c>
      <c r="H220" s="331">
        <v>4566</v>
      </c>
      <c r="I220" s="330">
        <v>4367</v>
      </c>
      <c r="J220" s="330">
        <v>17</v>
      </c>
      <c r="K220" s="332">
        <v>97.4</v>
      </c>
      <c r="L220" s="332">
        <v>96.95</v>
      </c>
      <c r="M220" s="332">
        <v>3.54</v>
      </c>
      <c r="N220" s="332">
        <v>100.33</v>
      </c>
      <c r="O220" s="333">
        <v>3217</v>
      </c>
      <c r="P220" s="330">
        <v>89.97</v>
      </c>
      <c r="Q220" s="330">
        <v>89.57</v>
      </c>
      <c r="R220" s="330">
        <v>37.01</v>
      </c>
      <c r="S220" s="330">
        <v>126.53</v>
      </c>
      <c r="T220" s="330">
        <v>571</v>
      </c>
      <c r="U220" s="330">
        <v>119.48</v>
      </c>
      <c r="V220" s="330">
        <v>409</v>
      </c>
      <c r="W220" s="330">
        <v>86.41</v>
      </c>
      <c r="X220" s="330">
        <v>7</v>
      </c>
      <c r="Y220" s="330">
        <v>0</v>
      </c>
      <c r="Z220" s="330">
        <v>6</v>
      </c>
      <c r="AA220" s="330">
        <v>0</v>
      </c>
      <c r="AB220" s="330">
        <v>11</v>
      </c>
      <c r="AC220" s="330">
        <v>3</v>
      </c>
      <c r="AD220" s="334">
        <v>3602</v>
      </c>
      <c r="AE220" s="334">
        <v>13</v>
      </c>
      <c r="AF220" s="334">
        <v>18</v>
      </c>
      <c r="AG220" s="334">
        <v>31</v>
      </c>
    </row>
    <row r="221" spans="1:33" x14ac:dyDescent="0.25">
      <c r="A221" s="329" t="s">
        <v>496</v>
      </c>
      <c r="B221" s="335" t="s">
        <v>497</v>
      </c>
      <c r="C221" s="331">
        <v>3369</v>
      </c>
      <c r="D221" s="331">
        <v>0</v>
      </c>
      <c r="E221" s="331">
        <v>433</v>
      </c>
      <c r="F221" s="331">
        <v>864</v>
      </c>
      <c r="G221" s="331">
        <v>303</v>
      </c>
      <c r="H221" s="331">
        <v>4969</v>
      </c>
      <c r="I221" s="330">
        <v>4666</v>
      </c>
      <c r="J221" s="330">
        <v>7</v>
      </c>
      <c r="K221" s="332">
        <v>82.4</v>
      </c>
      <c r="L221" s="332">
        <v>80.98</v>
      </c>
      <c r="M221" s="332">
        <v>7.74</v>
      </c>
      <c r="N221" s="332">
        <v>86.11</v>
      </c>
      <c r="O221" s="333">
        <v>2903</v>
      </c>
      <c r="P221" s="330">
        <v>83.36</v>
      </c>
      <c r="Q221" s="330">
        <v>72.069999999999993</v>
      </c>
      <c r="R221" s="330">
        <v>33.950000000000003</v>
      </c>
      <c r="S221" s="330">
        <v>113.45</v>
      </c>
      <c r="T221" s="330">
        <v>1241</v>
      </c>
      <c r="U221" s="330">
        <v>98.22</v>
      </c>
      <c r="V221" s="330">
        <v>337</v>
      </c>
      <c r="W221" s="330">
        <v>92.46</v>
      </c>
      <c r="X221" s="330">
        <v>10</v>
      </c>
      <c r="Y221" s="330">
        <v>39</v>
      </c>
      <c r="Z221" s="330">
        <v>1</v>
      </c>
      <c r="AA221" s="330">
        <v>8</v>
      </c>
      <c r="AB221" s="330">
        <v>13</v>
      </c>
      <c r="AC221" s="330">
        <v>4</v>
      </c>
      <c r="AD221" s="334">
        <v>3330</v>
      </c>
      <c r="AE221" s="334">
        <v>45</v>
      </c>
      <c r="AF221" s="334">
        <v>62</v>
      </c>
      <c r="AG221" s="334">
        <v>107</v>
      </c>
    </row>
    <row r="222" spans="1:33" x14ac:dyDescent="0.25">
      <c r="A222" s="329" t="s">
        <v>498</v>
      </c>
      <c r="B222" s="335" t="s">
        <v>499</v>
      </c>
      <c r="C222" s="331">
        <v>2234</v>
      </c>
      <c r="D222" s="331">
        <v>4</v>
      </c>
      <c r="E222" s="331">
        <v>64</v>
      </c>
      <c r="F222" s="331">
        <v>235</v>
      </c>
      <c r="G222" s="331">
        <v>475</v>
      </c>
      <c r="H222" s="331">
        <v>3012</v>
      </c>
      <c r="I222" s="330">
        <v>2537</v>
      </c>
      <c r="J222" s="330">
        <v>25</v>
      </c>
      <c r="K222" s="332">
        <v>99.1</v>
      </c>
      <c r="L222" s="332">
        <v>97.54</v>
      </c>
      <c r="M222" s="332">
        <v>4.74</v>
      </c>
      <c r="N222" s="332">
        <v>102.55</v>
      </c>
      <c r="O222" s="333">
        <v>2030</v>
      </c>
      <c r="P222" s="330">
        <v>83.33</v>
      </c>
      <c r="Q222" s="330">
        <v>81.22</v>
      </c>
      <c r="R222" s="330">
        <v>30.39</v>
      </c>
      <c r="S222" s="330">
        <v>111.32</v>
      </c>
      <c r="T222" s="330">
        <v>177</v>
      </c>
      <c r="U222" s="330">
        <v>114.18</v>
      </c>
      <c r="V222" s="330">
        <v>166</v>
      </c>
      <c r="W222" s="330">
        <v>191.23</v>
      </c>
      <c r="X222" s="330">
        <v>68</v>
      </c>
      <c r="Y222" s="330">
        <v>0</v>
      </c>
      <c r="Z222" s="330">
        <v>0</v>
      </c>
      <c r="AA222" s="330">
        <v>0</v>
      </c>
      <c r="AB222" s="330">
        <v>1</v>
      </c>
      <c r="AC222" s="330">
        <v>7</v>
      </c>
      <c r="AD222" s="334">
        <v>2197</v>
      </c>
      <c r="AE222" s="334">
        <v>10</v>
      </c>
      <c r="AF222" s="334">
        <v>13</v>
      </c>
      <c r="AG222" s="334">
        <v>23</v>
      </c>
    </row>
    <row r="223" spans="1:33" x14ac:dyDescent="0.25">
      <c r="A223" s="329" t="s">
        <v>500</v>
      </c>
      <c r="B223" s="335" t="s">
        <v>501</v>
      </c>
      <c r="C223" s="331">
        <v>1257</v>
      </c>
      <c r="D223" s="331">
        <v>19</v>
      </c>
      <c r="E223" s="331">
        <v>71</v>
      </c>
      <c r="F223" s="331">
        <v>239</v>
      </c>
      <c r="G223" s="331">
        <v>302</v>
      </c>
      <c r="H223" s="331">
        <v>1888</v>
      </c>
      <c r="I223" s="330">
        <v>1586</v>
      </c>
      <c r="J223" s="330">
        <v>12</v>
      </c>
      <c r="K223" s="332">
        <v>123.38</v>
      </c>
      <c r="L223" s="332">
        <v>116.87</v>
      </c>
      <c r="M223" s="332">
        <v>9.65</v>
      </c>
      <c r="N223" s="332">
        <v>131.21</v>
      </c>
      <c r="O223" s="333">
        <v>945</v>
      </c>
      <c r="P223" s="330">
        <v>118.82</v>
      </c>
      <c r="Q223" s="330">
        <v>105.49</v>
      </c>
      <c r="R223" s="330">
        <v>25.3</v>
      </c>
      <c r="S223" s="330">
        <v>142.9</v>
      </c>
      <c r="T223" s="330">
        <v>270</v>
      </c>
      <c r="U223" s="330">
        <v>189.6</v>
      </c>
      <c r="V223" s="330">
        <v>150</v>
      </c>
      <c r="W223" s="330">
        <v>141.77000000000001</v>
      </c>
      <c r="X223" s="330">
        <v>32</v>
      </c>
      <c r="Y223" s="330">
        <v>0</v>
      </c>
      <c r="Z223" s="330">
        <v>2</v>
      </c>
      <c r="AA223" s="330">
        <v>0</v>
      </c>
      <c r="AB223" s="330">
        <v>8</v>
      </c>
      <c r="AC223" s="330">
        <v>8</v>
      </c>
      <c r="AD223" s="334">
        <v>1208</v>
      </c>
      <c r="AE223" s="334">
        <v>3</v>
      </c>
      <c r="AF223" s="334">
        <v>1</v>
      </c>
      <c r="AG223" s="334">
        <v>4</v>
      </c>
    </row>
    <row r="224" spans="1:33" x14ac:dyDescent="0.25">
      <c r="A224" s="329" t="s">
        <v>502</v>
      </c>
      <c r="B224" s="335" t="s">
        <v>503</v>
      </c>
      <c r="C224" s="331">
        <v>2705</v>
      </c>
      <c r="D224" s="331">
        <v>0</v>
      </c>
      <c r="E224" s="331">
        <v>97</v>
      </c>
      <c r="F224" s="331">
        <v>1379</v>
      </c>
      <c r="G224" s="331">
        <v>277</v>
      </c>
      <c r="H224" s="331">
        <v>4458</v>
      </c>
      <c r="I224" s="330">
        <v>4181</v>
      </c>
      <c r="J224" s="330">
        <v>53</v>
      </c>
      <c r="K224" s="332">
        <v>97.11</v>
      </c>
      <c r="L224" s="332">
        <v>100.33</v>
      </c>
      <c r="M224" s="332">
        <v>4.37</v>
      </c>
      <c r="N224" s="332">
        <v>98.66</v>
      </c>
      <c r="O224" s="333">
        <v>2481</v>
      </c>
      <c r="P224" s="330">
        <v>94.39</v>
      </c>
      <c r="Q224" s="330">
        <v>92.67</v>
      </c>
      <c r="R224" s="330">
        <v>15.06</v>
      </c>
      <c r="S224" s="330">
        <v>106.97</v>
      </c>
      <c r="T224" s="330">
        <v>1435</v>
      </c>
      <c r="U224" s="330">
        <v>108.86</v>
      </c>
      <c r="V224" s="330">
        <v>132</v>
      </c>
      <c r="W224" s="330">
        <v>183.02</v>
      </c>
      <c r="X224" s="330">
        <v>3</v>
      </c>
      <c r="Y224" s="330">
        <v>12</v>
      </c>
      <c r="Z224" s="330">
        <v>8</v>
      </c>
      <c r="AA224" s="330">
        <v>0</v>
      </c>
      <c r="AB224" s="330">
        <v>53</v>
      </c>
      <c r="AC224" s="330">
        <v>14</v>
      </c>
      <c r="AD224" s="334">
        <v>2693</v>
      </c>
      <c r="AE224" s="334">
        <v>7</v>
      </c>
      <c r="AF224" s="334">
        <v>7</v>
      </c>
      <c r="AG224" s="334">
        <v>14</v>
      </c>
    </row>
    <row r="225" spans="1:33" x14ac:dyDescent="0.25">
      <c r="A225" s="329" t="s">
        <v>504</v>
      </c>
      <c r="B225" s="335" t="s">
        <v>505</v>
      </c>
      <c r="C225" s="331">
        <v>5305</v>
      </c>
      <c r="D225" s="331">
        <v>1</v>
      </c>
      <c r="E225" s="331">
        <v>177</v>
      </c>
      <c r="F225" s="331">
        <v>723</v>
      </c>
      <c r="G225" s="331">
        <v>573</v>
      </c>
      <c r="H225" s="331">
        <v>6779</v>
      </c>
      <c r="I225" s="330">
        <v>6206</v>
      </c>
      <c r="J225" s="330">
        <v>3</v>
      </c>
      <c r="K225" s="332">
        <v>113.43</v>
      </c>
      <c r="L225" s="332">
        <v>112.21</v>
      </c>
      <c r="M225" s="332">
        <v>8.61</v>
      </c>
      <c r="N225" s="332">
        <v>118.34</v>
      </c>
      <c r="O225" s="333">
        <v>4452</v>
      </c>
      <c r="P225" s="330">
        <v>93.8</v>
      </c>
      <c r="Q225" s="330">
        <v>93.29</v>
      </c>
      <c r="R225" s="330">
        <v>36.229999999999997</v>
      </c>
      <c r="S225" s="330">
        <v>128.52000000000001</v>
      </c>
      <c r="T225" s="330">
        <v>885</v>
      </c>
      <c r="U225" s="330">
        <v>148.44</v>
      </c>
      <c r="V225" s="330">
        <v>744</v>
      </c>
      <c r="W225" s="330">
        <v>137.43</v>
      </c>
      <c r="X225" s="330">
        <v>15</v>
      </c>
      <c r="Y225" s="330">
        <v>0</v>
      </c>
      <c r="Z225" s="330">
        <v>6</v>
      </c>
      <c r="AA225" s="330">
        <v>0</v>
      </c>
      <c r="AB225" s="330">
        <v>20</v>
      </c>
      <c r="AC225" s="330">
        <v>14</v>
      </c>
      <c r="AD225" s="334">
        <v>5249</v>
      </c>
      <c r="AE225" s="334">
        <v>20</v>
      </c>
      <c r="AF225" s="334">
        <v>74</v>
      </c>
      <c r="AG225" s="334">
        <v>94</v>
      </c>
    </row>
    <row r="226" spans="1:33" x14ac:dyDescent="0.25">
      <c r="A226" s="329" t="s">
        <v>506</v>
      </c>
      <c r="B226" s="335" t="s">
        <v>507</v>
      </c>
      <c r="C226" s="331">
        <v>1461</v>
      </c>
      <c r="D226" s="331">
        <v>0</v>
      </c>
      <c r="E226" s="331">
        <v>34</v>
      </c>
      <c r="F226" s="331">
        <v>299</v>
      </c>
      <c r="G226" s="331">
        <v>154</v>
      </c>
      <c r="H226" s="331">
        <v>1948</v>
      </c>
      <c r="I226" s="330">
        <v>1794</v>
      </c>
      <c r="J226" s="330">
        <v>6</v>
      </c>
      <c r="K226" s="332">
        <v>90.6</v>
      </c>
      <c r="L226" s="332">
        <v>90</v>
      </c>
      <c r="M226" s="332">
        <v>5.4</v>
      </c>
      <c r="N226" s="332">
        <v>92.49</v>
      </c>
      <c r="O226" s="333">
        <v>1296</v>
      </c>
      <c r="P226" s="330">
        <v>86.07</v>
      </c>
      <c r="Q226" s="330">
        <v>80.83</v>
      </c>
      <c r="R226" s="330">
        <v>28.01</v>
      </c>
      <c r="S226" s="330">
        <v>105.23</v>
      </c>
      <c r="T226" s="330">
        <v>231</v>
      </c>
      <c r="U226" s="330">
        <v>110.58</v>
      </c>
      <c r="V226" s="330">
        <v>132</v>
      </c>
      <c r="W226" s="330">
        <v>0</v>
      </c>
      <c r="X226" s="330">
        <v>0</v>
      </c>
      <c r="Y226" s="330">
        <v>0</v>
      </c>
      <c r="Z226" s="330">
        <v>9</v>
      </c>
      <c r="AA226" s="330">
        <v>0</v>
      </c>
      <c r="AB226" s="330">
        <v>0</v>
      </c>
      <c r="AC226" s="330">
        <v>5</v>
      </c>
      <c r="AD226" s="334">
        <v>1447</v>
      </c>
      <c r="AE226" s="334">
        <v>5</v>
      </c>
      <c r="AF226" s="334">
        <v>13</v>
      </c>
      <c r="AG226" s="334">
        <v>18</v>
      </c>
    </row>
    <row r="227" spans="1:33" x14ac:dyDescent="0.25">
      <c r="A227" s="329" t="s">
        <v>508</v>
      </c>
      <c r="B227" s="335" t="s">
        <v>509</v>
      </c>
      <c r="C227" s="331">
        <v>3014</v>
      </c>
      <c r="D227" s="331">
        <v>6</v>
      </c>
      <c r="E227" s="331">
        <v>45</v>
      </c>
      <c r="F227" s="331">
        <v>125</v>
      </c>
      <c r="G227" s="331">
        <v>39</v>
      </c>
      <c r="H227" s="331">
        <v>3229</v>
      </c>
      <c r="I227" s="330">
        <v>3190</v>
      </c>
      <c r="J227" s="330">
        <v>3</v>
      </c>
      <c r="K227" s="332">
        <v>90.97</v>
      </c>
      <c r="L227" s="332">
        <v>87.37</v>
      </c>
      <c r="M227" s="332">
        <v>6.39</v>
      </c>
      <c r="N227" s="332">
        <v>93.82</v>
      </c>
      <c r="O227" s="333">
        <v>2007</v>
      </c>
      <c r="P227" s="330">
        <v>81.540000000000006</v>
      </c>
      <c r="Q227" s="330">
        <v>77.489999999999995</v>
      </c>
      <c r="R227" s="330">
        <v>58.03</v>
      </c>
      <c r="S227" s="330">
        <v>134.30000000000001</v>
      </c>
      <c r="T227" s="330">
        <v>154</v>
      </c>
      <c r="U227" s="330">
        <v>98.81</v>
      </c>
      <c r="V227" s="330">
        <v>900</v>
      </c>
      <c r="W227" s="330">
        <v>0</v>
      </c>
      <c r="X227" s="330">
        <v>0</v>
      </c>
      <c r="Y227" s="330">
        <v>0</v>
      </c>
      <c r="Z227" s="330">
        <v>5</v>
      </c>
      <c r="AA227" s="330">
        <v>1</v>
      </c>
      <c r="AB227" s="330">
        <v>1</v>
      </c>
      <c r="AC227" s="330">
        <v>1</v>
      </c>
      <c r="AD227" s="334">
        <v>2996</v>
      </c>
      <c r="AE227" s="334">
        <v>19</v>
      </c>
      <c r="AF227" s="334">
        <v>9</v>
      </c>
      <c r="AG227" s="334">
        <v>28</v>
      </c>
    </row>
    <row r="228" spans="1:33" x14ac:dyDescent="0.25">
      <c r="A228" s="329" t="s">
        <v>510</v>
      </c>
      <c r="B228" s="335" t="s">
        <v>511</v>
      </c>
      <c r="C228" s="331">
        <v>27179</v>
      </c>
      <c r="D228" s="331">
        <v>0</v>
      </c>
      <c r="E228" s="331">
        <v>1614</v>
      </c>
      <c r="F228" s="331">
        <v>1334</v>
      </c>
      <c r="G228" s="331">
        <v>301</v>
      </c>
      <c r="H228" s="331">
        <v>30428</v>
      </c>
      <c r="I228" s="330">
        <v>30127</v>
      </c>
      <c r="J228" s="330">
        <v>1023</v>
      </c>
      <c r="K228" s="332">
        <v>79.260000000000005</v>
      </c>
      <c r="L228" s="332">
        <v>79.36</v>
      </c>
      <c r="M228" s="332">
        <v>7.93</v>
      </c>
      <c r="N228" s="332">
        <v>82.89</v>
      </c>
      <c r="O228" s="333">
        <v>25288</v>
      </c>
      <c r="P228" s="330">
        <v>80.36</v>
      </c>
      <c r="Q228" s="330">
        <v>75.41</v>
      </c>
      <c r="R228" s="330">
        <v>32.43</v>
      </c>
      <c r="S228" s="330">
        <v>111.39</v>
      </c>
      <c r="T228" s="330">
        <v>2666</v>
      </c>
      <c r="U228" s="330">
        <v>109.11</v>
      </c>
      <c r="V228" s="330">
        <v>1692</v>
      </c>
      <c r="W228" s="330">
        <v>155.19</v>
      </c>
      <c r="X228" s="330">
        <v>66</v>
      </c>
      <c r="Y228" s="330">
        <v>0</v>
      </c>
      <c r="Z228" s="330">
        <v>179</v>
      </c>
      <c r="AA228" s="330">
        <v>103</v>
      </c>
      <c r="AB228" s="330">
        <v>85</v>
      </c>
      <c r="AC228" s="330">
        <v>12</v>
      </c>
      <c r="AD228" s="334">
        <v>27072</v>
      </c>
      <c r="AE228" s="334">
        <v>64</v>
      </c>
      <c r="AF228" s="334">
        <v>196</v>
      </c>
      <c r="AG228" s="334">
        <v>260</v>
      </c>
    </row>
    <row r="229" spans="1:33" x14ac:dyDescent="0.25">
      <c r="A229" s="329" t="s">
        <v>512</v>
      </c>
      <c r="B229" s="335" t="s">
        <v>513</v>
      </c>
      <c r="C229" s="331">
        <v>5625</v>
      </c>
      <c r="D229" s="331">
        <v>9</v>
      </c>
      <c r="E229" s="331">
        <v>448</v>
      </c>
      <c r="F229" s="331">
        <v>1103</v>
      </c>
      <c r="G229" s="331">
        <v>590</v>
      </c>
      <c r="H229" s="331">
        <v>7775</v>
      </c>
      <c r="I229" s="330">
        <v>7185</v>
      </c>
      <c r="J229" s="330">
        <v>2</v>
      </c>
      <c r="K229" s="332">
        <v>90.61</v>
      </c>
      <c r="L229" s="332">
        <v>89.43</v>
      </c>
      <c r="M229" s="332">
        <v>6.81</v>
      </c>
      <c r="N229" s="332">
        <v>95.89</v>
      </c>
      <c r="O229" s="333">
        <v>4497</v>
      </c>
      <c r="P229" s="330">
        <v>85.87</v>
      </c>
      <c r="Q229" s="330">
        <v>84.78</v>
      </c>
      <c r="R229" s="330">
        <v>45.22</v>
      </c>
      <c r="S229" s="330">
        <v>130.74</v>
      </c>
      <c r="T229" s="330">
        <v>1171</v>
      </c>
      <c r="U229" s="330">
        <v>110.31</v>
      </c>
      <c r="V229" s="330">
        <v>612</v>
      </c>
      <c r="W229" s="330">
        <v>186.54</v>
      </c>
      <c r="X229" s="330">
        <v>287</v>
      </c>
      <c r="Y229" s="330">
        <v>0</v>
      </c>
      <c r="Z229" s="330">
        <v>2</v>
      </c>
      <c r="AA229" s="330">
        <v>6</v>
      </c>
      <c r="AB229" s="330">
        <v>5</v>
      </c>
      <c r="AC229" s="330">
        <v>15</v>
      </c>
      <c r="AD229" s="334">
        <v>5393</v>
      </c>
      <c r="AE229" s="334">
        <v>35</v>
      </c>
      <c r="AF229" s="334">
        <v>16</v>
      </c>
      <c r="AG229" s="334">
        <v>51</v>
      </c>
    </row>
    <row r="230" spans="1:33" x14ac:dyDescent="0.25">
      <c r="A230" s="329" t="s">
        <v>514</v>
      </c>
      <c r="B230" s="335" t="s">
        <v>515</v>
      </c>
      <c r="C230" s="331">
        <v>5958</v>
      </c>
      <c r="D230" s="331">
        <v>21</v>
      </c>
      <c r="E230" s="331">
        <v>130</v>
      </c>
      <c r="F230" s="331">
        <v>576</v>
      </c>
      <c r="G230" s="331">
        <v>265</v>
      </c>
      <c r="H230" s="331">
        <v>6950</v>
      </c>
      <c r="I230" s="330">
        <v>6685</v>
      </c>
      <c r="J230" s="330">
        <v>83</v>
      </c>
      <c r="K230" s="332">
        <v>85.38</v>
      </c>
      <c r="L230" s="332">
        <v>85.18</v>
      </c>
      <c r="M230" s="332">
        <v>3.12</v>
      </c>
      <c r="N230" s="332">
        <v>86.6</v>
      </c>
      <c r="O230" s="333">
        <v>5554</v>
      </c>
      <c r="P230" s="330">
        <v>87.14</v>
      </c>
      <c r="Q230" s="330">
        <v>83.82</v>
      </c>
      <c r="R230" s="330">
        <v>28.62</v>
      </c>
      <c r="S230" s="330">
        <v>114.78</v>
      </c>
      <c r="T230" s="330">
        <v>579</v>
      </c>
      <c r="U230" s="330">
        <v>105.14</v>
      </c>
      <c r="V230" s="330">
        <v>395</v>
      </c>
      <c r="W230" s="330">
        <v>165.28</v>
      </c>
      <c r="X230" s="330">
        <v>64</v>
      </c>
      <c r="Y230" s="330">
        <v>0</v>
      </c>
      <c r="Z230" s="330">
        <v>15</v>
      </c>
      <c r="AA230" s="330">
        <v>6</v>
      </c>
      <c r="AB230" s="330">
        <v>39</v>
      </c>
      <c r="AC230" s="330">
        <v>13</v>
      </c>
      <c r="AD230" s="334">
        <v>5931</v>
      </c>
      <c r="AE230" s="334">
        <v>44</v>
      </c>
      <c r="AF230" s="334">
        <v>22</v>
      </c>
      <c r="AG230" s="334">
        <v>66</v>
      </c>
    </row>
    <row r="231" spans="1:33" x14ac:dyDescent="0.25">
      <c r="A231" s="329" t="s">
        <v>516</v>
      </c>
      <c r="B231" s="335" t="s">
        <v>517</v>
      </c>
      <c r="C231" s="331">
        <v>2823</v>
      </c>
      <c r="D231" s="331">
        <v>20</v>
      </c>
      <c r="E231" s="331">
        <v>257</v>
      </c>
      <c r="F231" s="331">
        <v>98</v>
      </c>
      <c r="G231" s="331">
        <v>227</v>
      </c>
      <c r="H231" s="331">
        <v>3425</v>
      </c>
      <c r="I231" s="330">
        <v>3198</v>
      </c>
      <c r="J231" s="330">
        <v>0</v>
      </c>
      <c r="K231" s="332">
        <v>93.55</v>
      </c>
      <c r="L231" s="332">
        <v>91.47</v>
      </c>
      <c r="M231" s="332">
        <v>4.32</v>
      </c>
      <c r="N231" s="332">
        <v>97.16</v>
      </c>
      <c r="O231" s="333">
        <v>1569</v>
      </c>
      <c r="P231" s="330">
        <v>77.16</v>
      </c>
      <c r="Q231" s="330">
        <v>71.650000000000006</v>
      </c>
      <c r="R231" s="330">
        <v>52.91</v>
      </c>
      <c r="S231" s="330">
        <v>127.73</v>
      </c>
      <c r="T231" s="330">
        <v>204</v>
      </c>
      <c r="U231" s="330">
        <v>113.94</v>
      </c>
      <c r="V231" s="330">
        <v>510</v>
      </c>
      <c r="W231" s="330">
        <v>0</v>
      </c>
      <c r="X231" s="330">
        <v>0</v>
      </c>
      <c r="Y231" s="330">
        <v>0</v>
      </c>
      <c r="Z231" s="330">
        <v>0</v>
      </c>
      <c r="AA231" s="330">
        <v>0</v>
      </c>
      <c r="AB231" s="330">
        <v>54</v>
      </c>
      <c r="AC231" s="330">
        <v>6</v>
      </c>
      <c r="AD231" s="334">
        <v>2013</v>
      </c>
      <c r="AE231" s="334">
        <v>12</v>
      </c>
      <c r="AF231" s="334">
        <v>9</v>
      </c>
      <c r="AG231" s="334">
        <v>21</v>
      </c>
    </row>
    <row r="232" spans="1:33" x14ac:dyDescent="0.25">
      <c r="A232" s="329" t="s">
        <v>518</v>
      </c>
      <c r="B232" s="335" t="s">
        <v>519</v>
      </c>
      <c r="C232" s="331">
        <v>15354</v>
      </c>
      <c r="D232" s="331">
        <v>13</v>
      </c>
      <c r="E232" s="331">
        <v>1555</v>
      </c>
      <c r="F232" s="331">
        <v>1645</v>
      </c>
      <c r="G232" s="331">
        <v>549</v>
      </c>
      <c r="H232" s="331">
        <v>19116</v>
      </c>
      <c r="I232" s="330">
        <v>18567</v>
      </c>
      <c r="J232" s="330">
        <v>7</v>
      </c>
      <c r="K232" s="332">
        <v>88</v>
      </c>
      <c r="L232" s="332">
        <v>85.02</v>
      </c>
      <c r="M232" s="332">
        <v>9.6300000000000008</v>
      </c>
      <c r="N232" s="332">
        <v>91.47</v>
      </c>
      <c r="O232" s="333">
        <v>14029</v>
      </c>
      <c r="P232" s="330">
        <v>81.62</v>
      </c>
      <c r="Q232" s="330">
        <v>78.709999999999994</v>
      </c>
      <c r="R232" s="330">
        <v>32.869999999999997</v>
      </c>
      <c r="S232" s="330">
        <v>113.8</v>
      </c>
      <c r="T232" s="330">
        <v>2783</v>
      </c>
      <c r="U232" s="330">
        <v>99.57</v>
      </c>
      <c r="V232" s="330">
        <v>758</v>
      </c>
      <c r="W232" s="330">
        <v>0</v>
      </c>
      <c r="X232" s="330">
        <v>0</v>
      </c>
      <c r="Y232" s="330">
        <v>30</v>
      </c>
      <c r="Z232" s="330">
        <v>88</v>
      </c>
      <c r="AA232" s="330">
        <v>84</v>
      </c>
      <c r="AB232" s="330">
        <v>0</v>
      </c>
      <c r="AC232" s="330">
        <v>5</v>
      </c>
      <c r="AD232" s="334">
        <v>14856</v>
      </c>
      <c r="AE232" s="334">
        <v>71</v>
      </c>
      <c r="AF232" s="334">
        <v>176</v>
      </c>
      <c r="AG232" s="334">
        <v>247</v>
      </c>
    </row>
    <row r="233" spans="1:33" x14ac:dyDescent="0.25">
      <c r="A233" s="329" t="s">
        <v>520</v>
      </c>
      <c r="B233" s="335" t="s">
        <v>521</v>
      </c>
      <c r="C233" s="331">
        <v>1423</v>
      </c>
      <c r="D233" s="331">
        <v>0</v>
      </c>
      <c r="E233" s="331">
        <v>46</v>
      </c>
      <c r="F233" s="331">
        <v>193</v>
      </c>
      <c r="G233" s="331">
        <v>193</v>
      </c>
      <c r="H233" s="331">
        <v>1855</v>
      </c>
      <c r="I233" s="330">
        <v>1662</v>
      </c>
      <c r="J233" s="330">
        <v>6</v>
      </c>
      <c r="K233" s="332">
        <v>91</v>
      </c>
      <c r="L233" s="332">
        <v>89.56</v>
      </c>
      <c r="M233" s="332">
        <v>5.41</v>
      </c>
      <c r="N233" s="332">
        <v>94.62</v>
      </c>
      <c r="O233" s="333">
        <v>1136</v>
      </c>
      <c r="P233" s="330">
        <v>104.26</v>
      </c>
      <c r="Q233" s="330">
        <v>88.33</v>
      </c>
      <c r="R233" s="330">
        <v>53.51</v>
      </c>
      <c r="S233" s="330">
        <v>156.4</v>
      </c>
      <c r="T233" s="330">
        <v>234</v>
      </c>
      <c r="U233" s="330">
        <v>100.05</v>
      </c>
      <c r="V233" s="330">
        <v>129</v>
      </c>
      <c r="W233" s="330">
        <v>0</v>
      </c>
      <c r="X233" s="330">
        <v>0</v>
      </c>
      <c r="Y233" s="330">
        <v>0</v>
      </c>
      <c r="Z233" s="330">
        <v>2</v>
      </c>
      <c r="AA233" s="330">
        <v>1</v>
      </c>
      <c r="AB233" s="330">
        <v>12</v>
      </c>
      <c r="AC233" s="330">
        <v>2</v>
      </c>
      <c r="AD233" s="334">
        <v>1403</v>
      </c>
      <c r="AE233" s="334">
        <v>23</v>
      </c>
      <c r="AF233" s="334">
        <v>4</v>
      </c>
      <c r="AG233" s="334">
        <v>27</v>
      </c>
    </row>
    <row r="234" spans="1:33" x14ac:dyDescent="0.25">
      <c r="A234" s="329" t="s">
        <v>522</v>
      </c>
      <c r="B234" s="335" t="s">
        <v>523</v>
      </c>
      <c r="C234" s="331">
        <v>5312</v>
      </c>
      <c r="D234" s="331">
        <v>8</v>
      </c>
      <c r="E234" s="331">
        <v>97</v>
      </c>
      <c r="F234" s="331">
        <v>1136</v>
      </c>
      <c r="G234" s="331">
        <v>742</v>
      </c>
      <c r="H234" s="331">
        <v>7295</v>
      </c>
      <c r="I234" s="330">
        <v>6553</v>
      </c>
      <c r="J234" s="330">
        <v>67</v>
      </c>
      <c r="K234" s="332">
        <v>108.77</v>
      </c>
      <c r="L234" s="332">
        <v>108.6</v>
      </c>
      <c r="M234" s="332">
        <v>3.67</v>
      </c>
      <c r="N234" s="332">
        <v>111.07</v>
      </c>
      <c r="O234" s="333">
        <v>5092</v>
      </c>
      <c r="P234" s="330">
        <v>92.67</v>
      </c>
      <c r="Q234" s="330">
        <v>97.31</v>
      </c>
      <c r="R234" s="330">
        <v>21.59</v>
      </c>
      <c r="S234" s="330">
        <v>113.67</v>
      </c>
      <c r="T234" s="330">
        <v>1000</v>
      </c>
      <c r="U234" s="330">
        <v>148.72999999999999</v>
      </c>
      <c r="V234" s="330">
        <v>175</v>
      </c>
      <c r="W234" s="330">
        <v>141.13999999999999</v>
      </c>
      <c r="X234" s="330">
        <v>76</v>
      </c>
      <c r="Y234" s="330">
        <v>0</v>
      </c>
      <c r="Z234" s="330">
        <v>6</v>
      </c>
      <c r="AA234" s="330">
        <v>0</v>
      </c>
      <c r="AB234" s="330">
        <v>52</v>
      </c>
      <c r="AC234" s="330">
        <v>11</v>
      </c>
      <c r="AD234" s="334">
        <v>5283</v>
      </c>
      <c r="AE234" s="334">
        <v>27</v>
      </c>
      <c r="AF234" s="334">
        <v>8</v>
      </c>
      <c r="AG234" s="334">
        <v>35</v>
      </c>
    </row>
    <row r="235" spans="1:33" x14ac:dyDescent="0.25">
      <c r="A235" s="329" t="s">
        <v>524</v>
      </c>
      <c r="B235" s="335" t="s">
        <v>525</v>
      </c>
      <c r="C235" s="331">
        <v>15399</v>
      </c>
      <c r="D235" s="331">
        <v>85</v>
      </c>
      <c r="E235" s="331">
        <v>1322</v>
      </c>
      <c r="F235" s="331">
        <v>957</v>
      </c>
      <c r="G235" s="331">
        <v>490</v>
      </c>
      <c r="H235" s="331">
        <v>18253</v>
      </c>
      <c r="I235" s="330">
        <v>17763</v>
      </c>
      <c r="J235" s="330">
        <v>7</v>
      </c>
      <c r="K235" s="332">
        <v>80.16</v>
      </c>
      <c r="L235" s="332">
        <v>79.099999999999994</v>
      </c>
      <c r="M235" s="332">
        <v>7.77</v>
      </c>
      <c r="N235" s="332">
        <v>82.71</v>
      </c>
      <c r="O235" s="333">
        <v>13554</v>
      </c>
      <c r="P235" s="330">
        <v>87.57</v>
      </c>
      <c r="Q235" s="330">
        <v>81</v>
      </c>
      <c r="R235" s="330">
        <v>53.86</v>
      </c>
      <c r="S235" s="330">
        <v>135.19999999999999</v>
      </c>
      <c r="T235" s="330">
        <v>1997</v>
      </c>
      <c r="U235" s="330">
        <v>96.12</v>
      </c>
      <c r="V235" s="330">
        <v>1682</v>
      </c>
      <c r="W235" s="330">
        <v>125.52</v>
      </c>
      <c r="X235" s="330">
        <v>35</v>
      </c>
      <c r="Y235" s="330">
        <v>82</v>
      </c>
      <c r="Z235" s="330">
        <v>51</v>
      </c>
      <c r="AA235" s="330">
        <v>13</v>
      </c>
      <c r="AB235" s="330">
        <v>22</v>
      </c>
      <c r="AC235" s="330">
        <v>14</v>
      </c>
      <c r="AD235" s="334">
        <v>15324</v>
      </c>
      <c r="AE235" s="334">
        <v>97</v>
      </c>
      <c r="AF235" s="334">
        <v>85</v>
      </c>
      <c r="AG235" s="334">
        <v>182</v>
      </c>
    </row>
    <row r="236" spans="1:33" x14ac:dyDescent="0.25">
      <c r="A236" s="329" t="s">
        <v>526</v>
      </c>
      <c r="B236" s="335" t="s">
        <v>527</v>
      </c>
      <c r="C236" s="331">
        <v>12365</v>
      </c>
      <c r="D236" s="331">
        <v>24</v>
      </c>
      <c r="E236" s="331">
        <v>217</v>
      </c>
      <c r="F236" s="331">
        <v>1568</v>
      </c>
      <c r="G236" s="331">
        <v>709</v>
      </c>
      <c r="H236" s="331">
        <v>14883</v>
      </c>
      <c r="I236" s="330">
        <v>14174</v>
      </c>
      <c r="J236" s="330">
        <v>3</v>
      </c>
      <c r="K236" s="332">
        <v>89.36</v>
      </c>
      <c r="L236" s="332">
        <v>89.01</v>
      </c>
      <c r="M236" s="332">
        <v>3.4</v>
      </c>
      <c r="N236" s="332">
        <v>91.17</v>
      </c>
      <c r="O236" s="333">
        <v>10376</v>
      </c>
      <c r="P236" s="330">
        <v>85.18</v>
      </c>
      <c r="Q236" s="330">
        <v>84.28</v>
      </c>
      <c r="R236" s="330">
        <v>20.8</v>
      </c>
      <c r="S236" s="330">
        <v>105.14</v>
      </c>
      <c r="T236" s="330">
        <v>1631</v>
      </c>
      <c r="U236" s="330">
        <v>106.44</v>
      </c>
      <c r="V236" s="330">
        <v>1329</v>
      </c>
      <c r="W236" s="330">
        <v>133.16999999999999</v>
      </c>
      <c r="X236" s="330">
        <v>130</v>
      </c>
      <c r="Y236" s="330">
        <v>0</v>
      </c>
      <c r="Z236" s="330">
        <v>38</v>
      </c>
      <c r="AA236" s="330">
        <v>21</v>
      </c>
      <c r="AB236" s="330">
        <v>27</v>
      </c>
      <c r="AC236" s="330">
        <v>10</v>
      </c>
      <c r="AD236" s="334">
        <v>11898</v>
      </c>
      <c r="AE236" s="334">
        <v>75</v>
      </c>
      <c r="AF236" s="334">
        <v>82</v>
      </c>
      <c r="AG236" s="334">
        <v>157</v>
      </c>
    </row>
    <row r="237" spans="1:33" x14ac:dyDescent="0.25">
      <c r="A237" s="329" t="s">
        <v>528</v>
      </c>
      <c r="B237" s="335" t="s">
        <v>529</v>
      </c>
      <c r="C237" s="331">
        <v>3526</v>
      </c>
      <c r="D237" s="331">
        <v>30</v>
      </c>
      <c r="E237" s="331">
        <v>354</v>
      </c>
      <c r="F237" s="331">
        <v>228</v>
      </c>
      <c r="G237" s="331">
        <v>491</v>
      </c>
      <c r="H237" s="331">
        <v>4629</v>
      </c>
      <c r="I237" s="330">
        <v>4138</v>
      </c>
      <c r="J237" s="330">
        <v>13</v>
      </c>
      <c r="K237" s="332">
        <v>122.04</v>
      </c>
      <c r="L237" s="332">
        <v>120.99</v>
      </c>
      <c r="M237" s="332">
        <v>7.21</v>
      </c>
      <c r="N237" s="332">
        <v>128.36000000000001</v>
      </c>
      <c r="O237" s="333">
        <v>3126</v>
      </c>
      <c r="P237" s="330">
        <v>98.74</v>
      </c>
      <c r="Q237" s="330">
        <v>98.2</v>
      </c>
      <c r="R237" s="330">
        <v>51.08</v>
      </c>
      <c r="S237" s="330">
        <v>139.75</v>
      </c>
      <c r="T237" s="330">
        <v>487</v>
      </c>
      <c r="U237" s="330">
        <v>149.30000000000001</v>
      </c>
      <c r="V237" s="330">
        <v>167</v>
      </c>
      <c r="W237" s="330">
        <v>0</v>
      </c>
      <c r="X237" s="330">
        <v>0</v>
      </c>
      <c r="Y237" s="330">
        <v>7</v>
      </c>
      <c r="Z237" s="330">
        <v>28</v>
      </c>
      <c r="AA237" s="330">
        <v>10</v>
      </c>
      <c r="AB237" s="330">
        <v>31</v>
      </c>
      <c r="AC237" s="330">
        <v>20</v>
      </c>
      <c r="AD237" s="334">
        <v>3354</v>
      </c>
      <c r="AE237" s="334">
        <v>14</v>
      </c>
      <c r="AF237" s="334">
        <v>7</v>
      </c>
      <c r="AG237" s="334">
        <v>21</v>
      </c>
    </row>
    <row r="238" spans="1:33" x14ac:dyDescent="0.25">
      <c r="A238" s="329" t="s">
        <v>530</v>
      </c>
      <c r="B238" s="335" t="s">
        <v>531</v>
      </c>
      <c r="C238" s="331">
        <v>2248</v>
      </c>
      <c r="D238" s="331">
        <v>0</v>
      </c>
      <c r="E238" s="331">
        <v>260</v>
      </c>
      <c r="F238" s="331">
        <v>475</v>
      </c>
      <c r="G238" s="331">
        <v>531</v>
      </c>
      <c r="H238" s="331">
        <v>3514</v>
      </c>
      <c r="I238" s="330">
        <v>2983</v>
      </c>
      <c r="J238" s="330">
        <v>1</v>
      </c>
      <c r="K238" s="332">
        <v>102.8</v>
      </c>
      <c r="L238" s="332">
        <v>102.81</v>
      </c>
      <c r="M238" s="332">
        <v>4.93</v>
      </c>
      <c r="N238" s="332">
        <v>106.71</v>
      </c>
      <c r="O238" s="333">
        <v>1773</v>
      </c>
      <c r="P238" s="330">
        <v>89.07</v>
      </c>
      <c r="Q238" s="330">
        <v>89.95</v>
      </c>
      <c r="R238" s="330">
        <v>61.98</v>
      </c>
      <c r="S238" s="330">
        <v>149.6</v>
      </c>
      <c r="T238" s="330">
        <v>517</v>
      </c>
      <c r="U238" s="330">
        <v>109.13</v>
      </c>
      <c r="V238" s="330">
        <v>426</v>
      </c>
      <c r="W238" s="330">
        <v>283</v>
      </c>
      <c r="X238" s="330">
        <v>33</v>
      </c>
      <c r="Y238" s="330">
        <v>0</v>
      </c>
      <c r="Z238" s="330">
        <v>0</v>
      </c>
      <c r="AA238" s="330">
        <v>4</v>
      </c>
      <c r="AB238" s="330">
        <v>44</v>
      </c>
      <c r="AC238" s="330">
        <v>18</v>
      </c>
      <c r="AD238" s="334">
        <v>2230</v>
      </c>
      <c r="AE238" s="334">
        <v>2</v>
      </c>
      <c r="AF238" s="334">
        <v>5</v>
      </c>
      <c r="AG238" s="334">
        <v>7</v>
      </c>
    </row>
    <row r="239" spans="1:33" x14ac:dyDescent="0.25">
      <c r="A239" s="329" t="s">
        <v>532</v>
      </c>
      <c r="B239" s="335" t="s">
        <v>533</v>
      </c>
      <c r="C239" s="331">
        <v>4040</v>
      </c>
      <c r="D239" s="331">
        <v>4</v>
      </c>
      <c r="E239" s="331">
        <v>345</v>
      </c>
      <c r="F239" s="331">
        <v>807</v>
      </c>
      <c r="G239" s="331">
        <v>466</v>
      </c>
      <c r="H239" s="331">
        <v>5662</v>
      </c>
      <c r="I239" s="330">
        <v>5196</v>
      </c>
      <c r="J239" s="330">
        <v>0</v>
      </c>
      <c r="K239" s="332">
        <v>97.49</v>
      </c>
      <c r="L239" s="332">
        <v>96.01</v>
      </c>
      <c r="M239" s="332">
        <v>4.51</v>
      </c>
      <c r="N239" s="332">
        <v>101.05</v>
      </c>
      <c r="O239" s="333">
        <v>3294</v>
      </c>
      <c r="P239" s="330">
        <v>89.27</v>
      </c>
      <c r="Q239" s="330">
        <v>88.38</v>
      </c>
      <c r="R239" s="330">
        <v>35.49</v>
      </c>
      <c r="S239" s="330">
        <v>123.25</v>
      </c>
      <c r="T239" s="330">
        <v>1011</v>
      </c>
      <c r="U239" s="330">
        <v>114.78</v>
      </c>
      <c r="V239" s="330">
        <v>345</v>
      </c>
      <c r="W239" s="330">
        <v>95.1</v>
      </c>
      <c r="X239" s="330">
        <v>1</v>
      </c>
      <c r="Y239" s="330">
        <v>2</v>
      </c>
      <c r="Z239" s="330">
        <v>5</v>
      </c>
      <c r="AA239" s="330">
        <v>18</v>
      </c>
      <c r="AB239" s="330">
        <v>58</v>
      </c>
      <c r="AC239" s="330">
        <v>10</v>
      </c>
      <c r="AD239" s="334">
        <v>3664</v>
      </c>
      <c r="AE239" s="334">
        <v>14</v>
      </c>
      <c r="AF239" s="334">
        <v>15</v>
      </c>
      <c r="AG239" s="334">
        <v>29</v>
      </c>
    </row>
    <row r="240" spans="1:33" x14ac:dyDescent="0.25">
      <c r="A240" s="329" t="s">
        <v>534</v>
      </c>
      <c r="B240" s="335" t="s">
        <v>535</v>
      </c>
      <c r="C240" s="331">
        <v>3174</v>
      </c>
      <c r="D240" s="331">
        <v>0</v>
      </c>
      <c r="E240" s="331">
        <v>332</v>
      </c>
      <c r="F240" s="331">
        <v>181</v>
      </c>
      <c r="G240" s="331">
        <v>1074</v>
      </c>
      <c r="H240" s="331">
        <v>4761</v>
      </c>
      <c r="I240" s="330">
        <v>3687</v>
      </c>
      <c r="J240" s="330">
        <v>27</v>
      </c>
      <c r="K240" s="332">
        <v>112.89</v>
      </c>
      <c r="L240" s="332">
        <v>110.71</v>
      </c>
      <c r="M240" s="332">
        <v>3.06</v>
      </c>
      <c r="N240" s="332">
        <v>115.29</v>
      </c>
      <c r="O240" s="333">
        <v>2302</v>
      </c>
      <c r="P240" s="330">
        <v>100.96</v>
      </c>
      <c r="Q240" s="330">
        <v>100.05</v>
      </c>
      <c r="R240" s="330">
        <v>41.43</v>
      </c>
      <c r="S240" s="330">
        <v>142.02000000000001</v>
      </c>
      <c r="T240" s="330">
        <v>227</v>
      </c>
      <c r="U240" s="330">
        <v>147.19999999999999</v>
      </c>
      <c r="V240" s="330">
        <v>412</v>
      </c>
      <c r="W240" s="330">
        <v>158.46</v>
      </c>
      <c r="X240" s="330">
        <v>65</v>
      </c>
      <c r="Y240" s="330">
        <v>0</v>
      </c>
      <c r="Z240" s="330">
        <v>0</v>
      </c>
      <c r="AA240" s="330">
        <v>0</v>
      </c>
      <c r="AB240" s="330">
        <v>41</v>
      </c>
      <c r="AC240" s="330">
        <v>37</v>
      </c>
      <c r="AD240" s="334">
        <v>2898</v>
      </c>
      <c r="AE240" s="334">
        <v>13</v>
      </c>
      <c r="AF240" s="334">
        <v>17</v>
      </c>
      <c r="AG240" s="334">
        <v>30</v>
      </c>
    </row>
    <row r="241" spans="1:33" x14ac:dyDescent="0.25">
      <c r="A241" s="329" t="s">
        <v>536</v>
      </c>
      <c r="B241" s="335" t="s">
        <v>537</v>
      </c>
      <c r="C241" s="331">
        <v>1093</v>
      </c>
      <c r="D241" s="331">
        <v>0</v>
      </c>
      <c r="E241" s="331">
        <v>103</v>
      </c>
      <c r="F241" s="331">
        <v>21</v>
      </c>
      <c r="G241" s="331">
        <v>139</v>
      </c>
      <c r="H241" s="331">
        <v>1356</v>
      </c>
      <c r="I241" s="330">
        <v>1217</v>
      </c>
      <c r="J241" s="330">
        <v>0</v>
      </c>
      <c r="K241" s="332">
        <v>93.32</v>
      </c>
      <c r="L241" s="332">
        <v>92.61</v>
      </c>
      <c r="M241" s="332">
        <v>4.57</v>
      </c>
      <c r="N241" s="332">
        <v>96.43</v>
      </c>
      <c r="O241" s="333">
        <v>925</v>
      </c>
      <c r="P241" s="330">
        <v>102.47</v>
      </c>
      <c r="Q241" s="330">
        <v>105.35</v>
      </c>
      <c r="R241" s="330">
        <v>76.69</v>
      </c>
      <c r="S241" s="330">
        <v>173.95</v>
      </c>
      <c r="T241" s="330">
        <v>103</v>
      </c>
      <c r="U241" s="330">
        <v>98.5</v>
      </c>
      <c r="V241" s="330">
        <v>151</v>
      </c>
      <c r="W241" s="330">
        <v>194.48</v>
      </c>
      <c r="X241" s="330">
        <v>18</v>
      </c>
      <c r="Y241" s="330">
        <v>0</v>
      </c>
      <c r="Z241" s="330">
        <v>2</v>
      </c>
      <c r="AA241" s="330">
        <v>0</v>
      </c>
      <c r="AB241" s="330">
        <v>11</v>
      </c>
      <c r="AC241" s="330">
        <v>13</v>
      </c>
      <c r="AD241" s="334">
        <v>1084</v>
      </c>
      <c r="AE241" s="334">
        <v>15</v>
      </c>
      <c r="AF241" s="334">
        <v>1</v>
      </c>
      <c r="AG241" s="334">
        <v>16</v>
      </c>
    </row>
    <row r="242" spans="1:33" x14ac:dyDescent="0.25">
      <c r="A242" s="329" t="s">
        <v>538</v>
      </c>
      <c r="B242" s="335" t="s">
        <v>539</v>
      </c>
      <c r="C242" s="331">
        <v>10197</v>
      </c>
      <c r="D242" s="331">
        <v>0</v>
      </c>
      <c r="E242" s="331">
        <v>278</v>
      </c>
      <c r="F242" s="331">
        <v>1761</v>
      </c>
      <c r="G242" s="331">
        <v>560</v>
      </c>
      <c r="H242" s="331">
        <v>12796</v>
      </c>
      <c r="I242" s="330">
        <v>12236</v>
      </c>
      <c r="J242" s="330">
        <v>0</v>
      </c>
      <c r="K242" s="332">
        <v>97.83</v>
      </c>
      <c r="L242" s="332">
        <v>99.38</v>
      </c>
      <c r="M242" s="332">
        <v>4.62</v>
      </c>
      <c r="N242" s="332">
        <v>100.36</v>
      </c>
      <c r="O242" s="333">
        <v>9292</v>
      </c>
      <c r="P242" s="330">
        <v>86.65</v>
      </c>
      <c r="Q242" s="330">
        <v>85.24</v>
      </c>
      <c r="R242" s="330">
        <v>19.62</v>
      </c>
      <c r="S242" s="330">
        <v>105.71</v>
      </c>
      <c r="T242" s="330">
        <v>1870</v>
      </c>
      <c r="U242" s="330">
        <v>132.72</v>
      </c>
      <c r="V242" s="330">
        <v>501</v>
      </c>
      <c r="W242" s="330">
        <v>188.53</v>
      </c>
      <c r="X242" s="330">
        <v>85</v>
      </c>
      <c r="Y242" s="330">
        <v>0</v>
      </c>
      <c r="Z242" s="330">
        <v>29</v>
      </c>
      <c r="AA242" s="330">
        <v>1</v>
      </c>
      <c r="AB242" s="330">
        <v>65</v>
      </c>
      <c r="AC242" s="330">
        <v>8</v>
      </c>
      <c r="AD242" s="334">
        <v>9857</v>
      </c>
      <c r="AE242" s="334">
        <v>52</v>
      </c>
      <c r="AF242" s="334">
        <v>76</v>
      </c>
      <c r="AG242" s="334">
        <v>128</v>
      </c>
    </row>
    <row r="243" spans="1:33" x14ac:dyDescent="0.25">
      <c r="A243" s="329" t="s">
        <v>540</v>
      </c>
      <c r="B243" s="335" t="s">
        <v>541</v>
      </c>
      <c r="C243" s="331">
        <v>4173</v>
      </c>
      <c r="D243" s="331">
        <v>0</v>
      </c>
      <c r="E243" s="331">
        <v>68</v>
      </c>
      <c r="F243" s="331">
        <v>219</v>
      </c>
      <c r="G243" s="331">
        <v>431</v>
      </c>
      <c r="H243" s="331">
        <v>4891</v>
      </c>
      <c r="I243" s="330">
        <v>4460</v>
      </c>
      <c r="J243" s="330">
        <v>2</v>
      </c>
      <c r="K243" s="332">
        <v>93.73</v>
      </c>
      <c r="L243" s="332">
        <v>89.78</v>
      </c>
      <c r="M243" s="332">
        <v>4.6399999999999997</v>
      </c>
      <c r="N243" s="332">
        <v>98.2</v>
      </c>
      <c r="O243" s="333">
        <v>3684</v>
      </c>
      <c r="P243" s="330">
        <v>81.98</v>
      </c>
      <c r="Q243" s="330">
        <v>60.08</v>
      </c>
      <c r="R243" s="330">
        <v>55.85</v>
      </c>
      <c r="S243" s="330">
        <v>133.13</v>
      </c>
      <c r="T243" s="330">
        <v>178</v>
      </c>
      <c r="U243" s="330">
        <v>124.22</v>
      </c>
      <c r="V243" s="330">
        <v>229</v>
      </c>
      <c r="W243" s="330">
        <v>113.99</v>
      </c>
      <c r="X243" s="330">
        <v>6</v>
      </c>
      <c r="Y243" s="330">
        <v>42</v>
      </c>
      <c r="Z243" s="330">
        <v>9</v>
      </c>
      <c r="AA243" s="330">
        <v>0</v>
      </c>
      <c r="AB243" s="330">
        <v>34</v>
      </c>
      <c r="AC243" s="330">
        <v>8</v>
      </c>
      <c r="AD243" s="334">
        <v>3934</v>
      </c>
      <c r="AE243" s="334">
        <v>3</v>
      </c>
      <c r="AF243" s="334">
        <v>21</v>
      </c>
      <c r="AG243" s="334">
        <v>24</v>
      </c>
    </row>
    <row r="244" spans="1:33" x14ac:dyDescent="0.25">
      <c r="A244" s="329" t="s">
        <v>542</v>
      </c>
      <c r="B244" s="335" t="s">
        <v>543</v>
      </c>
      <c r="C244" s="331">
        <v>963</v>
      </c>
      <c r="D244" s="331">
        <v>0</v>
      </c>
      <c r="E244" s="331">
        <v>91</v>
      </c>
      <c r="F244" s="331">
        <v>0</v>
      </c>
      <c r="G244" s="331">
        <v>219</v>
      </c>
      <c r="H244" s="331">
        <v>1273</v>
      </c>
      <c r="I244" s="330">
        <v>1054</v>
      </c>
      <c r="J244" s="330">
        <v>0</v>
      </c>
      <c r="K244" s="332">
        <v>86.54</v>
      </c>
      <c r="L244" s="332">
        <v>86.31</v>
      </c>
      <c r="M244" s="332">
        <v>4.2300000000000004</v>
      </c>
      <c r="N244" s="332">
        <v>89.92</v>
      </c>
      <c r="O244" s="333">
        <v>753</v>
      </c>
      <c r="P244" s="330">
        <v>121.34</v>
      </c>
      <c r="Q244" s="330">
        <v>68.75</v>
      </c>
      <c r="R244" s="330">
        <v>41.79</v>
      </c>
      <c r="S244" s="330">
        <v>163.13</v>
      </c>
      <c r="T244" s="330">
        <v>57</v>
      </c>
      <c r="U244" s="330">
        <v>105.7</v>
      </c>
      <c r="V244" s="330">
        <v>132</v>
      </c>
      <c r="W244" s="330">
        <v>0</v>
      </c>
      <c r="X244" s="330">
        <v>0</v>
      </c>
      <c r="Y244" s="330">
        <v>0</v>
      </c>
      <c r="Z244" s="330">
        <v>1</v>
      </c>
      <c r="AA244" s="330">
        <v>0</v>
      </c>
      <c r="AB244" s="330">
        <v>15</v>
      </c>
      <c r="AC244" s="330">
        <v>4</v>
      </c>
      <c r="AD244" s="334">
        <v>898</v>
      </c>
      <c r="AE244" s="334">
        <v>4</v>
      </c>
      <c r="AF244" s="334">
        <v>1</v>
      </c>
      <c r="AG244" s="334">
        <v>5</v>
      </c>
    </row>
    <row r="245" spans="1:33" x14ac:dyDescent="0.25">
      <c r="A245" s="329" t="s">
        <v>544</v>
      </c>
      <c r="B245" s="335" t="s">
        <v>545</v>
      </c>
      <c r="C245" s="331">
        <v>1594</v>
      </c>
      <c r="D245" s="331">
        <v>0</v>
      </c>
      <c r="E245" s="331">
        <v>167</v>
      </c>
      <c r="F245" s="331">
        <v>295</v>
      </c>
      <c r="G245" s="331">
        <v>437</v>
      </c>
      <c r="H245" s="331">
        <v>2493</v>
      </c>
      <c r="I245" s="330">
        <v>2056</v>
      </c>
      <c r="J245" s="330">
        <v>10</v>
      </c>
      <c r="K245" s="332">
        <v>89.04</v>
      </c>
      <c r="L245" s="332">
        <v>87.8</v>
      </c>
      <c r="M245" s="332">
        <v>5.12</v>
      </c>
      <c r="N245" s="332">
        <v>93.36</v>
      </c>
      <c r="O245" s="333">
        <v>1246</v>
      </c>
      <c r="P245" s="330">
        <v>91.61</v>
      </c>
      <c r="Q245" s="330">
        <v>72.44</v>
      </c>
      <c r="R245" s="330">
        <v>37.11</v>
      </c>
      <c r="S245" s="330">
        <v>128.61000000000001</v>
      </c>
      <c r="T245" s="330">
        <v>332</v>
      </c>
      <c r="U245" s="330">
        <v>104.85</v>
      </c>
      <c r="V245" s="330">
        <v>140</v>
      </c>
      <c r="W245" s="330">
        <v>0</v>
      </c>
      <c r="X245" s="330">
        <v>0</v>
      </c>
      <c r="Y245" s="330">
        <v>0</v>
      </c>
      <c r="Z245" s="330">
        <v>0</v>
      </c>
      <c r="AA245" s="330">
        <v>0</v>
      </c>
      <c r="AB245" s="330">
        <v>26</v>
      </c>
      <c r="AC245" s="330">
        <v>16</v>
      </c>
      <c r="AD245" s="334">
        <v>1518</v>
      </c>
      <c r="AE245" s="334">
        <v>8</v>
      </c>
      <c r="AF245" s="334">
        <v>0</v>
      </c>
      <c r="AG245" s="334">
        <v>8</v>
      </c>
    </row>
    <row r="246" spans="1:33" x14ac:dyDescent="0.25">
      <c r="A246" s="329" t="s">
        <v>546</v>
      </c>
      <c r="B246" s="335" t="s">
        <v>547</v>
      </c>
      <c r="C246" s="331">
        <v>3847</v>
      </c>
      <c r="D246" s="331">
        <v>66</v>
      </c>
      <c r="E246" s="331">
        <v>173</v>
      </c>
      <c r="F246" s="331">
        <v>605</v>
      </c>
      <c r="G246" s="331">
        <v>155</v>
      </c>
      <c r="H246" s="331">
        <v>4846</v>
      </c>
      <c r="I246" s="330">
        <v>4691</v>
      </c>
      <c r="J246" s="330">
        <v>16</v>
      </c>
      <c r="K246" s="332">
        <v>92.62</v>
      </c>
      <c r="L246" s="332">
        <v>93.78</v>
      </c>
      <c r="M246" s="332">
        <v>4.6500000000000004</v>
      </c>
      <c r="N246" s="332">
        <v>93.78</v>
      </c>
      <c r="O246" s="333">
        <v>3572</v>
      </c>
      <c r="P246" s="330">
        <v>83.54</v>
      </c>
      <c r="Q246" s="330">
        <v>83.3</v>
      </c>
      <c r="R246" s="330">
        <v>40.4</v>
      </c>
      <c r="S246" s="330">
        <v>123.4</v>
      </c>
      <c r="T246" s="330">
        <v>676</v>
      </c>
      <c r="U246" s="330">
        <v>115.34</v>
      </c>
      <c r="V246" s="330">
        <v>304</v>
      </c>
      <c r="W246" s="330">
        <v>205.22</v>
      </c>
      <c r="X246" s="330">
        <v>8</v>
      </c>
      <c r="Y246" s="330">
        <v>0</v>
      </c>
      <c r="Z246" s="330">
        <v>22</v>
      </c>
      <c r="AA246" s="330">
        <v>0</v>
      </c>
      <c r="AB246" s="330">
        <v>13</v>
      </c>
      <c r="AC246" s="330">
        <v>12</v>
      </c>
      <c r="AD246" s="334">
        <v>3812</v>
      </c>
      <c r="AE246" s="334">
        <v>19</v>
      </c>
      <c r="AF246" s="334">
        <v>5</v>
      </c>
      <c r="AG246" s="334">
        <v>24</v>
      </c>
    </row>
    <row r="247" spans="1:33" x14ac:dyDescent="0.25">
      <c r="A247" s="329" t="s">
        <v>548</v>
      </c>
      <c r="B247" s="335" t="s">
        <v>549</v>
      </c>
      <c r="C247" s="331">
        <v>5788</v>
      </c>
      <c r="D247" s="331">
        <v>0</v>
      </c>
      <c r="E247" s="331">
        <v>216</v>
      </c>
      <c r="F247" s="331">
        <v>924</v>
      </c>
      <c r="G247" s="331">
        <v>503</v>
      </c>
      <c r="H247" s="331">
        <v>7431</v>
      </c>
      <c r="I247" s="330">
        <v>6928</v>
      </c>
      <c r="J247" s="330">
        <v>4</v>
      </c>
      <c r="K247" s="332">
        <v>89.35</v>
      </c>
      <c r="L247" s="332">
        <v>89.22</v>
      </c>
      <c r="M247" s="332">
        <v>4.58</v>
      </c>
      <c r="N247" s="332">
        <v>90.5</v>
      </c>
      <c r="O247" s="333">
        <v>4601</v>
      </c>
      <c r="P247" s="330">
        <v>87.62</v>
      </c>
      <c r="Q247" s="330">
        <v>82.69</v>
      </c>
      <c r="R247" s="330">
        <v>31.06</v>
      </c>
      <c r="S247" s="330">
        <v>118.68</v>
      </c>
      <c r="T247" s="330">
        <v>1102</v>
      </c>
      <c r="U247" s="330">
        <v>111.89</v>
      </c>
      <c r="V247" s="330">
        <v>1090</v>
      </c>
      <c r="W247" s="330">
        <v>0</v>
      </c>
      <c r="X247" s="330">
        <v>0</v>
      </c>
      <c r="Y247" s="330">
        <v>0</v>
      </c>
      <c r="Z247" s="330">
        <v>37</v>
      </c>
      <c r="AA247" s="330">
        <v>0</v>
      </c>
      <c r="AB247" s="330">
        <v>12</v>
      </c>
      <c r="AC247" s="330">
        <v>3</v>
      </c>
      <c r="AD247" s="334">
        <v>5788</v>
      </c>
      <c r="AE247" s="334">
        <v>13</v>
      </c>
      <c r="AF247" s="334">
        <v>24</v>
      </c>
      <c r="AG247" s="334">
        <v>37</v>
      </c>
    </row>
    <row r="248" spans="1:33" x14ac:dyDescent="0.25">
      <c r="A248" s="329" t="s">
        <v>550</v>
      </c>
      <c r="B248" s="335" t="s">
        <v>551</v>
      </c>
      <c r="C248" s="331">
        <v>5770</v>
      </c>
      <c r="D248" s="331">
        <v>2</v>
      </c>
      <c r="E248" s="331">
        <v>184</v>
      </c>
      <c r="F248" s="331">
        <v>902</v>
      </c>
      <c r="G248" s="331">
        <v>626</v>
      </c>
      <c r="H248" s="331">
        <v>7484</v>
      </c>
      <c r="I248" s="330">
        <v>6858</v>
      </c>
      <c r="J248" s="330">
        <v>0</v>
      </c>
      <c r="K248" s="332">
        <v>112.33</v>
      </c>
      <c r="L248" s="332">
        <v>107.8</v>
      </c>
      <c r="M248" s="332">
        <v>4.4000000000000004</v>
      </c>
      <c r="N248" s="332">
        <v>113.75</v>
      </c>
      <c r="O248" s="333">
        <v>5235</v>
      </c>
      <c r="P248" s="330">
        <v>94.11</v>
      </c>
      <c r="Q248" s="330">
        <v>86.36</v>
      </c>
      <c r="R248" s="330">
        <v>20.55</v>
      </c>
      <c r="S248" s="330">
        <v>112.16</v>
      </c>
      <c r="T248" s="330">
        <v>897</v>
      </c>
      <c r="U248" s="330">
        <v>164.55</v>
      </c>
      <c r="V248" s="330">
        <v>348</v>
      </c>
      <c r="W248" s="330">
        <v>164.02</v>
      </c>
      <c r="X248" s="330">
        <v>37</v>
      </c>
      <c r="Y248" s="330">
        <v>0</v>
      </c>
      <c r="Z248" s="330">
        <v>9</v>
      </c>
      <c r="AA248" s="330">
        <v>5</v>
      </c>
      <c r="AB248" s="330">
        <v>63</v>
      </c>
      <c r="AC248" s="330">
        <v>14</v>
      </c>
      <c r="AD248" s="334">
        <v>5585</v>
      </c>
      <c r="AE248" s="334">
        <v>40</v>
      </c>
      <c r="AF248" s="334">
        <v>5</v>
      </c>
      <c r="AG248" s="334">
        <v>45</v>
      </c>
    </row>
    <row r="249" spans="1:33" x14ac:dyDescent="0.25">
      <c r="A249" s="329" t="s">
        <v>552</v>
      </c>
      <c r="B249" s="335" t="s">
        <v>553</v>
      </c>
      <c r="C249" s="331">
        <v>3846</v>
      </c>
      <c r="D249" s="331">
        <v>3</v>
      </c>
      <c r="E249" s="331">
        <v>205</v>
      </c>
      <c r="F249" s="331">
        <v>1123</v>
      </c>
      <c r="G249" s="331">
        <v>133</v>
      </c>
      <c r="H249" s="331">
        <v>5310</v>
      </c>
      <c r="I249" s="330">
        <v>5177</v>
      </c>
      <c r="J249" s="330">
        <v>129</v>
      </c>
      <c r="K249" s="332">
        <v>88.69</v>
      </c>
      <c r="L249" s="332">
        <v>88.01</v>
      </c>
      <c r="M249" s="332">
        <v>2.71</v>
      </c>
      <c r="N249" s="332">
        <v>91.3</v>
      </c>
      <c r="O249" s="333">
        <v>3529</v>
      </c>
      <c r="P249" s="330">
        <v>87.81</v>
      </c>
      <c r="Q249" s="330">
        <v>81.75</v>
      </c>
      <c r="R249" s="330">
        <v>27.37</v>
      </c>
      <c r="S249" s="330">
        <v>115.03</v>
      </c>
      <c r="T249" s="330">
        <v>1301</v>
      </c>
      <c r="U249" s="330">
        <v>100.73</v>
      </c>
      <c r="V249" s="330">
        <v>304</v>
      </c>
      <c r="W249" s="330">
        <v>0</v>
      </c>
      <c r="X249" s="330">
        <v>0</v>
      </c>
      <c r="Y249" s="330">
        <v>16</v>
      </c>
      <c r="Z249" s="330">
        <v>6</v>
      </c>
      <c r="AA249" s="330">
        <v>0</v>
      </c>
      <c r="AB249" s="330">
        <v>19</v>
      </c>
      <c r="AC249" s="330">
        <v>6</v>
      </c>
      <c r="AD249" s="334">
        <v>3843</v>
      </c>
      <c r="AE249" s="334">
        <v>24</v>
      </c>
      <c r="AF249" s="334">
        <v>2</v>
      </c>
      <c r="AG249" s="334">
        <v>26</v>
      </c>
    </row>
    <row r="250" spans="1:33" x14ac:dyDescent="0.25">
      <c r="A250" s="329" t="s">
        <v>554</v>
      </c>
      <c r="B250" s="335" t="s">
        <v>555</v>
      </c>
      <c r="C250" s="331">
        <v>9050</v>
      </c>
      <c r="D250" s="331">
        <v>4</v>
      </c>
      <c r="E250" s="331">
        <v>288</v>
      </c>
      <c r="F250" s="331">
        <v>1703</v>
      </c>
      <c r="G250" s="331">
        <v>593</v>
      </c>
      <c r="H250" s="331">
        <v>11638</v>
      </c>
      <c r="I250" s="330">
        <v>11045</v>
      </c>
      <c r="J250" s="330">
        <v>2</v>
      </c>
      <c r="K250" s="332">
        <v>93.59</v>
      </c>
      <c r="L250" s="332">
        <v>93.11</v>
      </c>
      <c r="M250" s="332">
        <v>4.45</v>
      </c>
      <c r="N250" s="332">
        <v>94.86</v>
      </c>
      <c r="O250" s="333">
        <v>8215</v>
      </c>
      <c r="P250" s="330">
        <v>86.87</v>
      </c>
      <c r="Q250" s="330">
        <v>84.81</v>
      </c>
      <c r="R250" s="330">
        <v>27.19</v>
      </c>
      <c r="S250" s="330">
        <v>113.42</v>
      </c>
      <c r="T250" s="330">
        <v>1948</v>
      </c>
      <c r="U250" s="330">
        <v>114.16</v>
      </c>
      <c r="V250" s="330">
        <v>519</v>
      </c>
      <c r="W250" s="330">
        <v>117.36</v>
      </c>
      <c r="X250" s="330">
        <v>15</v>
      </c>
      <c r="Y250" s="330">
        <v>40</v>
      </c>
      <c r="Z250" s="330">
        <v>28</v>
      </c>
      <c r="AA250" s="330">
        <v>1</v>
      </c>
      <c r="AB250" s="330">
        <v>7</v>
      </c>
      <c r="AC250" s="330">
        <v>8</v>
      </c>
      <c r="AD250" s="334">
        <v>8941</v>
      </c>
      <c r="AE250" s="334">
        <v>53</v>
      </c>
      <c r="AF250" s="334">
        <v>27</v>
      </c>
      <c r="AG250" s="334">
        <v>80</v>
      </c>
    </row>
    <row r="251" spans="1:33" x14ac:dyDescent="0.25">
      <c r="A251" s="329" t="s">
        <v>556</v>
      </c>
      <c r="B251" s="335" t="s">
        <v>557</v>
      </c>
      <c r="C251" s="331">
        <v>5661</v>
      </c>
      <c r="D251" s="331">
        <v>0</v>
      </c>
      <c r="E251" s="331">
        <v>263</v>
      </c>
      <c r="F251" s="331">
        <v>647</v>
      </c>
      <c r="G251" s="331">
        <v>248</v>
      </c>
      <c r="H251" s="331">
        <v>6819</v>
      </c>
      <c r="I251" s="330">
        <v>6571</v>
      </c>
      <c r="J251" s="330">
        <v>0</v>
      </c>
      <c r="K251" s="332">
        <v>89.2</v>
      </c>
      <c r="L251" s="332">
        <v>89.04</v>
      </c>
      <c r="M251" s="332">
        <v>4.2</v>
      </c>
      <c r="N251" s="332">
        <v>90.33</v>
      </c>
      <c r="O251" s="333">
        <v>5537</v>
      </c>
      <c r="P251" s="330">
        <v>81.69</v>
      </c>
      <c r="Q251" s="330">
        <v>81.8</v>
      </c>
      <c r="R251" s="330">
        <v>42.26</v>
      </c>
      <c r="S251" s="330">
        <v>123.8</v>
      </c>
      <c r="T251" s="330">
        <v>804</v>
      </c>
      <c r="U251" s="330">
        <v>103.63</v>
      </c>
      <c r="V251" s="330">
        <v>91</v>
      </c>
      <c r="W251" s="330">
        <v>165</v>
      </c>
      <c r="X251" s="330">
        <v>102</v>
      </c>
      <c r="Y251" s="330">
        <v>0</v>
      </c>
      <c r="Z251" s="330">
        <v>12</v>
      </c>
      <c r="AA251" s="330">
        <v>0</v>
      </c>
      <c r="AB251" s="330">
        <v>9</v>
      </c>
      <c r="AC251" s="330">
        <v>7</v>
      </c>
      <c r="AD251" s="334">
        <v>5661</v>
      </c>
      <c r="AE251" s="334">
        <v>35</v>
      </c>
      <c r="AF251" s="334">
        <v>4</v>
      </c>
      <c r="AG251" s="334">
        <v>39</v>
      </c>
    </row>
    <row r="252" spans="1:33" x14ac:dyDescent="0.25">
      <c r="A252" s="329" t="s">
        <v>558</v>
      </c>
      <c r="B252" s="335" t="s">
        <v>559</v>
      </c>
      <c r="C252" s="331">
        <v>3716</v>
      </c>
      <c r="D252" s="331">
        <v>6</v>
      </c>
      <c r="E252" s="331">
        <v>434</v>
      </c>
      <c r="F252" s="331">
        <v>756</v>
      </c>
      <c r="G252" s="331">
        <v>203</v>
      </c>
      <c r="H252" s="331">
        <v>5115</v>
      </c>
      <c r="I252" s="330">
        <v>4912</v>
      </c>
      <c r="J252" s="330">
        <v>0</v>
      </c>
      <c r="K252" s="332">
        <v>80.61</v>
      </c>
      <c r="L252" s="332">
        <v>79.95</v>
      </c>
      <c r="M252" s="332">
        <v>3.37</v>
      </c>
      <c r="N252" s="332">
        <v>82.91</v>
      </c>
      <c r="O252" s="333">
        <v>3215</v>
      </c>
      <c r="P252" s="330">
        <v>83.46</v>
      </c>
      <c r="Q252" s="330">
        <v>77.59</v>
      </c>
      <c r="R252" s="330">
        <v>47.98</v>
      </c>
      <c r="S252" s="330">
        <v>130.77000000000001</v>
      </c>
      <c r="T252" s="330">
        <v>929</v>
      </c>
      <c r="U252" s="330">
        <v>97.12</v>
      </c>
      <c r="V252" s="330">
        <v>428</v>
      </c>
      <c r="W252" s="330">
        <v>106.16</v>
      </c>
      <c r="X252" s="330">
        <v>180</v>
      </c>
      <c r="Y252" s="330">
        <v>13</v>
      </c>
      <c r="Z252" s="330">
        <v>3</v>
      </c>
      <c r="AA252" s="330">
        <v>2</v>
      </c>
      <c r="AB252" s="330">
        <v>2</v>
      </c>
      <c r="AC252" s="330">
        <v>9</v>
      </c>
      <c r="AD252" s="334">
        <v>3596</v>
      </c>
      <c r="AE252" s="334">
        <v>39</v>
      </c>
      <c r="AF252" s="334">
        <v>32</v>
      </c>
      <c r="AG252" s="334">
        <v>71</v>
      </c>
    </row>
    <row r="253" spans="1:33" x14ac:dyDescent="0.25">
      <c r="A253" s="329" t="s">
        <v>560</v>
      </c>
      <c r="B253" s="335" t="s">
        <v>561</v>
      </c>
      <c r="C253" s="331">
        <v>5744</v>
      </c>
      <c r="D253" s="331">
        <v>83</v>
      </c>
      <c r="E253" s="331">
        <v>846</v>
      </c>
      <c r="F253" s="331">
        <v>1105</v>
      </c>
      <c r="G253" s="331">
        <v>1011</v>
      </c>
      <c r="H253" s="331">
        <v>8789</v>
      </c>
      <c r="I253" s="330">
        <v>7778</v>
      </c>
      <c r="J253" s="330">
        <v>52</v>
      </c>
      <c r="K253" s="332">
        <v>106.69</v>
      </c>
      <c r="L253" s="332">
        <v>106.07</v>
      </c>
      <c r="M253" s="332">
        <v>6.98</v>
      </c>
      <c r="N253" s="332">
        <v>112.78</v>
      </c>
      <c r="O253" s="333">
        <v>4580</v>
      </c>
      <c r="P253" s="330">
        <v>92.25</v>
      </c>
      <c r="Q253" s="330">
        <v>90.43</v>
      </c>
      <c r="R253" s="330">
        <v>36.51</v>
      </c>
      <c r="S253" s="330">
        <v>126.48</v>
      </c>
      <c r="T253" s="330">
        <v>1716</v>
      </c>
      <c r="U253" s="330">
        <v>140.25</v>
      </c>
      <c r="V253" s="330">
        <v>820</v>
      </c>
      <c r="W253" s="330">
        <v>123.28</v>
      </c>
      <c r="X253" s="330">
        <v>2</v>
      </c>
      <c r="Y253" s="330">
        <v>188</v>
      </c>
      <c r="Z253" s="330">
        <v>1</v>
      </c>
      <c r="AA253" s="330">
        <v>0</v>
      </c>
      <c r="AB253" s="330">
        <v>81</v>
      </c>
      <c r="AC253" s="330">
        <v>44</v>
      </c>
      <c r="AD253" s="334">
        <v>5625</v>
      </c>
      <c r="AE253" s="334">
        <v>26</v>
      </c>
      <c r="AF253" s="334">
        <v>37</v>
      </c>
      <c r="AG253" s="334">
        <v>63</v>
      </c>
    </row>
    <row r="254" spans="1:33" x14ac:dyDescent="0.25">
      <c r="A254" s="329" t="s">
        <v>562</v>
      </c>
      <c r="B254" s="335" t="s">
        <v>563</v>
      </c>
      <c r="C254" s="331">
        <v>2775</v>
      </c>
      <c r="D254" s="331">
        <v>0</v>
      </c>
      <c r="E254" s="331">
        <v>426</v>
      </c>
      <c r="F254" s="331">
        <v>325</v>
      </c>
      <c r="G254" s="331">
        <v>250</v>
      </c>
      <c r="H254" s="331">
        <v>3776</v>
      </c>
      <c r="I254" s="330">
        <v>3526</v>
      </c>
      <c r="J254" s="330">
        <v>2</v>
      </c>
      <c r="K254" s="332">
        <v>98.98</v>
      </c>
      <c r="L254" s="332">
        <v>97.45</v>
      </c>
      <c r="M254" s="332">
        <v>11.77</v>
      </c>
      <c r="N254" s="332">
        <v>108.49</v>
      </c>
      <c r="O254" s="333">
        <v>2489</v>
      </c>
      <c r="P254" s="330">
        <v>89.82</v>
      </c>
      <c r="Q254" s="330">
        <v>85.75</v>
      </c>
      <c r="R254" s="330">
        <v>55.3</v>
      </c>
      <c r="S254" s="330">
        <v>142.57</v>
      </c>
      <c r="T254" s="330">
        <v>499</v>
      </c>
      <c r="U254" s="330">
        <v>150.87</v>
      </c>
      <c r="V254" s="330">
        <v>271</v>
      </c>
      <c r="W254" s="330">
        <v>0</v>
      </c>
      <c r="X254" s="330">
        <v>0</v>
      </c>
      <c r="Y254" s="330">
        <v>0</v>
      </c>
      <c r="Z254" s="330">
        <v>1</v>
      </c>
      <c r="AA254" s="330">
        <v>1</v>
      </c>
      <c r="AB254" s="330">
        <v>32</v>
      </c>
      <c r="AC254" s="330">
        <v>4</v>
      </c>
      <c r="AD254" s="334">
        <v>2775</v>
      </c>
      <c r="AE254" s="334">
        <v>26</v>
      </c>
      <c r="AF254" s="334">
        <v>14</v>
      </c>
      <c r="AG254" s="334">
        <v>40</v>
      </c>
    </row>
    <row r="255" spans="1:33" x14ac:dyDescent="0.25">
      <c r="A255" s="329" t="s">
        <v>564</v>
      </c>
      <c r="B255" s="335" t="s">
        <v>565</v>
      </c>
      <c r="C255" s="331">
        <v>14777</v>
      </c>
      <c r="D255" s="331">
        <v>82</v>
      </c>
      <c r="E255" s="331">
        <v>1528</v>
      </c>
      <c r="F255" s="331">
        <v>647</v>
      </c>
      <c r="G255" s="331">
        <v>2745</v>
      </c>
      <c r="H255" s="331">
        <v>19779</v>
      </c>
      <c r="I255" s="330">
        <v>17034</v>
      </c>
      <c r="J255" s="330">
        <v>74</v>
      </c>
      <c r="K255" s="332">
        <v>122.47</v>
      </c>
      <c r="L255" s="332">
        <v>125.5</v>
      </c>
      <c r="M255" s="332">
        <v>11.27</v>
      </c>
      <c r="N255" s="332">
        <v>130.88999999999999</v>
      </c>
      <c r="O255" s="333">
        <v>12124</v>
      </c>
      <c r="P255" s="330">
        <v>106.29</v>
      </c>
      <c r="Q255" s="330">
        <v>105.86</v>
      </c>
      <c r="R255" s="330">
        <v>50.06</v>
      </c>
      <c r="S255" s="330">
        <v>151.51</v>
      </c>
      <c r="T255" s="330">
        <v>1967</v>
      </c>
      <c r="U255" s="330">
        <v>201.76</v>
      </c>
      <c r="V255" s="330">
        <v>913</v>
      </c>
      <c r="W255" s="330">
        <v>200.1</v>
      </c>
      <c r="X255" s="330">
        <v>20</v>
      </c>
      <c r="Y255" s="330">
        <v>33</v>
      </c>
      <c r="Z255" s="330">
        <v>4</v>
      </c>
      <c r="AA255" s="330">
        <v>15</v>
      </c>
      <c r="AB255" s="330">
        <v>271</v>
      </c>
      <c r="AC255" s="330">
        <v>122</v>
      </c>
      <c r="AD255" s="334">
        <v>13967</v>
      </c>
      <c r="AE255" s="334">
        <v>89</v>
      </c>
      <c r="AF255" s="334">
        <v>73</v>
      </c>
      <c r="AG255" s="334">
        <v>162</v>
      </c>
    </row>
    <row r="256" spans="1:33" x14ac:dyDescent="0.25">
      <c r="A256" s="329" t="s">
        <v>566</v>
      </c>
      <c r="B256" s="335" t="s">
        <v>567</v>
      </c>
      <c r="C256" s="330">
        <v>4888</v>
      </c>
      <c r="D256" s="330">
        <v>0</v>
      </c>
      <c r="E256" s="330">
        <v>115</v>
      </c>
      <c r="F256" s="330">
        <v>313</v>
      </c>
      <c r="G256" s="330">
        <v>432</v>
      </c>
      <c r="H256" s="330">
        <v>5748</v>
      </c>
      <c r="I256" s="330">
        <v>5316</v>
      </c>
      <c r="J256" s="330">
        <v>72</v>
      </c>
      <c r="K256" s="330">
        <v>117.98</v>
      </c>
      <c r="L256" s="332">
        <v>113.14</v>
      </c>
      <c r="M256" s="332">
        <v>5.38</v>
      </c>
      <c r="N256" s="332">
        <v>122.84</v>
      </c>
      <c r="O256" s="333">
        <v>4758</v>
      </c>
      <c r="P256" s="330">
        <v>111.01</v>
      </c>
      <c r="Q256" s="330">
        <v>102.52</v>
      </c>
      <c r="R256" s="330">
        <v>67.7</v>
      </c>
      <c r="S256" s="330">
        <v>175.86</v>
      </c>
      <c r="T256" s="330">
        <v>357</v>
      </c>
      <c r="U256" s="330">
        <v>215.82</v>
      </c>
      <c r="V256" s="330">
        <v>121</v>
      </c>
      <c r="W256" s="330">
        <v>135.97</v>
      </c>
      <c r="X256" s="330">
        <v>6</v>
      </c>
      <c r="Y256" s="330">
        <v>0</v>
      </c>
      <c r="Z256" s="330">
        <v>4</v>
      </c>
      <c r="AA256" s="330">
        <v>0</v>
      </c>
      <c r="AB256" s="330">
        <v>12</v>
      </c>
      <c r="AC256" s="330">
        <v>11</v>
      </c>
      <c r="AD256" s="330">
        <v>4882</v>
      </c>
      <c r="AE256" s="330">
        <v>14</v>
      </c>
      <c r="AF256" s="330">
        <v>9</v>
      </c>
      <c r="AG256" s="330">
        <v>23</v>
      </c>
    </row>
    <row r="257" spans="1:33" x14ac:dyDescent="0.25">
      <c r="A257" s="329" t="s">
        <v>568</v>
      </c>
      <c r="B257" s="335" t="s">
        <v>569</v>
      </c>
      <c r="C257" s="330">
        <v>1886</v>
      </c>
      <c r="D257" s="330">
        <v>83</v>
      </c>
      <c r="E257" s="330">
        <v>242</v>
      </c>
      <c r="F257" s="330">
        <v>193</v>
      </c>
      <c r="G257" s="330">
        <v>196</v>
      </c>
      <c r="H257" s="330">
        <v>2600</v>
      </c>
      <c r="I257" s="330">
        <v>2404</v>
      </c>
      <c r="J257" s="330">
        <v>6</v>
      </c>
      <c r="K257" s="330">
        <v>123.04</v>
      </c>
      <c r="L257" s="332">
        <v>119.56</v>
      </c>
      <c r="M257" s="332">
        <v>7.05</v>
      </c>
      <c r="N257" s="332">
        <v>129.16</v>
      </c>
      <c r="O257" s="333">
        <v>1581</v>
      </c>
      <c r="P257" s="330">
        <v>111.25</v>
      </c>
      <c r="Q257" s="330">
        <v>99.29</v>
      </c>
      <c r="R257" s="330">
        <v>36.229999999999997</v>
      </c>
      <c r="S257" s="330">
        <v>145.94</v>
      </c>
      <c r="T257" s="330">
        <v>374</v>
      </c>
      <c r="U257" s="330">
        <v>179.06</v>
      </c>
      <c r="V257" s="330">
        <v>193</v>
      </c>
      <c r="W257" s="330">
        <v>197.67</v>
      </c>
      <c r="X257" s="330">
        <v>38</v>
      </c>
      <c r="Y257" s="330">
        <v>0</v>
      </c>
      <c r="Z257" s="330">
        <v>13</v>
      </c>
      <c r="AA257" s="330">
        <v>0</v>
      </c>
      <c r="AB257" s="330">
        <v>23</v>
      </c>
      <c r="AC257" s="330">
        <v>7</v>
      </c>
      <c r="AD257" s="330">
        <v>1881</v>
      </c>
      <c r="AE257" s="330">
        <v>17</v>
      </c>
      <c r="AF257" s="330">
        <v>5</v>
      </c>
      <c r="AG257" s="330">
        <v>22</v>
      </c>
    </row>
    <row r="258" spans="1:33" x14ac:dyDescent="0.25">
      <c r="A258" s="329" t="s">
        <v>570</v>
      </c>
      <c r="B258" s="335" t="s">
        <v>571</v>
      </c>
      <c r="C258" s="330">
        <v>14591</v>
      </c>
      <c r="D258" s="330">
        <v>2</v>
      </c>
      <c r="E258" s="330">
        <v>638</v>
      </c>
      <c r="F258" s="330">
        <v>2071</v>
      </c>
      <c r="G258" s="330">
        <v>430</v>
      </c>
      <c r="H258" s="330">
        <v>17732</v>
      </c>
      <c r="I258" s="330">
        <v>17302</v>
      </c>
      <c r="J258" s="330">
        <v>6</v>
      </c>
      <c r="K258" s="330">
        <v>89.88</v>
      </c>
      <c r="L258" s="332">
        <v>89.99</v>
      </c>
      <c r="M258" s="332">
        <v>1.83</v>
      </c>
      <c r="N258" s="332">
        <v>91.53</v>
      </c>
      <c r="O258" s="333">
        <v>13568</v>
      </c>
      <c r="P258" s="330">
        <v>92.96</v>
      </c>
      <c r="Q258" s="330">
        <v>88.13</v>
      </c>
      <c r="R258" s="330">
        <v>31.87</v>
      </c>
      <c r="S258" s="330">
        <v>123.78</v>
      </c>
      <c r="T258" s="330">
        <v>2515</v>
      </c>
      <c r="U258" s="330">
        <v>101.46</v>
      </c>
      <c r="V258" s="330">
        <v>946</v>
      </c>
      <c r="W258" s="330">
        <v>0</v>
      </c>
      <c r="X258" s="330">
        <v>0</v>
      </c>
      <c r="Y258" s="330">
        <v>0</v>
      </c>
      <c r="Z258" s="330">
        <v>76</v>
      </c>
      <c r="AA258" s="330">
        <v>32</v>
      </c>
      <c r="AB258" s="330">
        <v>28</v>
      </c>
      <c r="AC258" s="330">
        <v>8</v>
      </c>
      <c r="AD258" s="330">
        <v>14545</v>
      </c>
      <c r="AE258" s="330">
        <v>139</v>
      </c>
      <c r="AF258" s="330">
        <v>167</v>
      </c>
      <c r="AG258" s="330">
        <v>306</v>
      </c>
    </row>
    <row r="259" spans="1:33" x14ac:dyDescent="0.25">
      <c r="A259" s="329" t="s">
        <v>572</v>
      </c>
      <c r="B259" s="335" t="s">
        <v>573</v>
      </c>
      <c r="C259" s="331">
        <v>6039</v>
      </c>
      <c r="D259" s="331">
        <v>1</v>
      </c>
      <c r="E259" s="331">
        <v>251</v>
      </c>
      <c r="F259" s="331">
        <v>1682</v>
      </c>
      <c r="G259" s="331">
        <v>337</v>
      </c>
      <c r="H259" s="331">
        <v>8310</v>
      </c>
      <c r="I259" s="330">
        <v>7973</v>
      </c>
      <c r="J259" s="330">
        <v>3</v>
      </c>
      <c r="K259" s="332">
        <v>84.14</v>
      </c>
      <c r="L259" s="332">
        <v>84.38</v>
      </c>
      <c r="M259" s="332">
        <v>4.01</v>
      </c>
      <c r="N259" s="332">
        <v>86.41</v>
      </c>
      <c r="O259" s="333">
        <v>5516</v>
      </c>
      <c r="P259" s="330">
        <v>78.05</v>
      </c>
      <c r="Q259" s="330">
        <v>86.27</v>
      </c>
      <c r="R259" s="330">
        <v>17.41</v>
      </c>
      <c r="S259" s="330">
        <v>94.93</v>
      </c>
      <c r="T259" s="330">
        <v>1767</v>
      </c>
      <c r="U259" s="330">
        <v>104</v>
      </c>
      <c r="V259" s="330">
        <v>519</v>
      </c>
      <c r="W259" s="330">
        <v>161.25</v>
      </c>
      <c r="X259" s="330">
        <v>130</v>
      </c>
      <c r="Y259" s="330">
        <v>0</v>
      </c>
      <c r="Z259" s="330">
        <v>14</v>
      </c>
      <c r="AA259" s="330">
        <v>8</v>
      </c>
      <c r="AB259" s="330">
        <v>57</v>
      </c>
      <c r="AC259" s="330">
        <v>5</v>
      </c>
      <c r="AD259" s="334">
        <v>6039</v>
      </c>
      <c r="AE259" s="334">
        <v>22</v>
      </c>
      <c r="AF259" s="334">
        <v>25</v>
      </c>
      <c r="AG259" s="334">
        <v>47</v>
      </c>
    </row>
    <row r="260" spans="1:33" x14ac:dyDescent="0.25">
      <c r="A260" s="329" t="s">
        <v>574</v>
      </c>
      <c r="B260" s="335" t="s">
        <v>575</v>
      </c>
      <c r="C260" s="331">
        <v>2656</v>
      </c>
      <c r="D260" s="331">
        <v>2</v>
      </c>
      <c r="E260" s="331">
        <v>121</v>
      </c>
      <c r="F260" s="331">
        <v>1038</v>
      </c>
      <c r="G260" s="331">
        <v>73</v>
      </c>
      <c r="H260" s="331">
        <v>3890</v>
      </c>
      <c r="I260" s="330">
        <v>3817</v>
      </c>
      <c r="J260" s="330">
        <v>11</v>
      </c>
      <c r="K260" s="332">
        <v>87.08</v>
      </c>
      <c r="L260" s="332">
        <v>86.98</v>
      </c>
      <c r="M260" s="332">
        <v>5.24</v>
      </c>
      <c r="N260" s="332">
        <v>88.32</v>
      </c>
      <c r="O260" s="333">
        <v>2396</v>
      </c>
      <c r="P260" s="330">
        <v>83.03</v>
      </c>
      <c r="Q260" s="330">
        <v>82.69</v>
      </c>
      <c r="R260" s="330">
        <v>19.14</v>
      </c>
      <c r="S260" s="330">
        <v>101.65</v>
      </c>
      <c r="T260" s="330">
        <v>1044</v>
      </c>
      <c r="U260" s="330">
        <v>96.39</v>
      </c>
      <c r="V260" s="330">
        <v>201</v>
      </c>
      <c r="W260" s="330">
        <v>138.03</v>
      </c>
      <c r="X260" s="330">
        <v>63</v>
      </c>
      <c r="Y260" s="330">
        <v>0</v>
      </c>
      <c r="Z260" s="330">
        <v>17</v>
      </c>
      <c r="AA260" s="330">
        <v>0</v>
      </c>
      <c r="AB260" s="330">
        <v>11</v>
      </c>
      <c r="AC260" s="330">
        <v>3</v>
      </c>
      <c r="AD260" s="334">
        <v>2498</v>
      </c>
      <c r="AE260" s="334">
        <v>27</v>
      </c>
      <c r="AF260" s="334">
        <v>4</v>
      </c>
      <c r="AG260" s="334">
        <v>31</v>
      </c>
    </row>
    <row r="261" spans="1:33" x14ac:dyDescent="0.25">
      <c r="A261" s="329" t="s">
        <v>576</v>
      </c>
      <c r="B261" s="335" t="s">
        <v>577</v>
      </c>
      <c r="C261" s="331">
        <v>1668</v>
      </c>
      <c r="D261" s="331">
        <v>3</v>
      </c>
      <c r="E261" s="331">
        <v>148</v>
      </c>
      <c r="F261" s="331">
        <v>313</v>
      </c>
      <c r="G261" s="331">
        <v>390</v>
      </c>
      <c r="H261" s="331">
        <v>2522</v>
      </c>
      <c r="I261" s="330">
        <v>2132</v>
      </c>
      <c r="J261" s="330">
        <v>7</v>
      </c>
      <c r="K261" s="332">
        <v>115.26</v>
      </c>
      <c r="L261" s="332">
        <v>114.28</v>
      </c>
      <c r="M261" s="332">
        <v>7.29</v>
      </c>
      <c r="N261" s="332">
        <v>121.6</v>
      </c>
      <c r="O261" s="333">
        <v>1389</v>
      </c>
      <c r="P261" s="330">
        <v>101.55</v>
      </c>
      <c r="Q261" s="330">
        <v>90.26</v>
      </c>
      <c r="R261" s="330">
        <v>33.71</v>
      </c>
      <c r="S261" s="330">
        <v>135.18</v>
      </c>
      <c r="T261" s="330">
        <v>407</v>
      </c>
      <c r="U261" s="330">
        <v>133.1</v>
      </c>
      <c r="V261" s="330">
        <v>132</v>
      </c>
      <c r="W261" s="330">
        <v>0</v>
      </c>
      <c r="X261" s="330">
        <v>0</v>
      </c>
      <c r="Y261" s="330">
        <v>0</v>
      </c>
      <c r="Z261" s="330">
        <v>0</v>
      </c>
      <c r="AA261" s="330">
        <v>0</v>
      </c>
      <c r="AB261" s="330">
        <v>122</v>
      </c>
      <c r="AC261" s="330">
        <v>26</v>
      </c>
      <c r="AD261" s="334">
        <v>1541</v>
      </c>
      <c r="AE261" s="334">
        <v>7</v>
      </c>
      <c r="AF261" s="334">
        <v>1</v>
      </c>
      <c r="AG261" s="334">
        <v>8</v>
      </c>
    </row>
    <row r="262" spans="1:33" x14ac:dyDescent="0.25">
      <c r="A262" s="329" t="s">
        <v>578</v>
      </c>
      <c r="B262" s="335" t="s">
        <v>579</v>
      </c>
      <c r="C262" s="331">
        <v>4327</v>
      </c>
      <c r="D262" s="331">
        <v>0</v>
      </c>
      <c r="E262" s="331">
        <v>403</v>
      </c>
      <c r="F262" s="331">
        <v>1323</v>
      </c>
      <c r="G262" s="331">
        <v>1167</v>
      </c>
      <c r="H262" s="331">
        <v>7220</v>
      </c>
      <c r="I262" s="330">
        <v>6053</v>
      </c>
      <c r="J262" s="330">
        <v>39</v>
      </c>
      <c r="K262" s="332">
        <v>84.42</v>
      </c>
      <c r="L262" s="332">
        <v>83.75</v>
      </c>
      <c r="M262" s="332">
        <v>7.68</v>
      </c>
      <c r="N262" s="332">
        <v>88.65</v>
      </c>
      <c r="O262" s="333">
        <v>3766</v>
      </c>
      <c r="P262" s="330">
        <v>84.47</v>
      </c>
      <c r="Q262" s="330">
        <v>78.400000000000006</v>
      </c>
      <c r="R262" s="330">
        <v>27.96</v>
      </c>
      <c r="S262" s="330">
        <v>111.66</v>
      </c>
      <c r="T262" s="330">
        <v>1626</v>
      </c>
      <c r="U262" s="330">
        <v>109.56</v>
      </c>
      <c r="V262" s="330">
        <v>420</v>
      </c>
      <c r="W262" s="330">
        <v>148.08000000000001</v>
      </c>
      <c r="X262" s="330">
        <v>64</v>
      </c>
      <c r="Y262" s="330">
        <v>12</v>
      </c>
      <c r="Z262" s="330">
        <v>6</v>
      </c>
      <c r="AA262" s="330">
        <v>0</v>
      </c>
      <c r="AB262" s="330">
        <v>16</v>
      </c>
      <c r="AC262" s="330">
        <v>18</v>
      </c>
      <c r="AD262" s="334">
        <v>4120</v>
      </c>
      <c r="AE262" s="334">
        <v>12</v>
      </c>
      <c r="AF262" s="334">
        <v>16</v>
      </c>
      <c r="AG262" s="334">
        <v>28</v>
      </c>
    </row>
    <row r="263" spans="1:33" x14ac:dyDescent="0.25">
      <c r="A263" s="329" t="s">
        <v>580</v>
      </c>
      <c r="B263" s="335" t="s">
        <v>581</v>
      </c>
      <c r="C263" s="331">
        <v>12700</v>
      </c>
      <c r="D263" s="331">
        <v>4</v>
      </c>
      <c r="E263" s="331">
        <v>298</v>
      </c>
      <c r="F263" s="331">
        <v>802</v>
      </c>
      <c r="G263" s="331">
        <v>170</v>
      </c>
      <c r="H263" s="331">
        <v>13974</v>
      </c>
      <c r="I263" s="330">
        <v>13804</v>
      </c>
      <c r="J263" s="330">
        <v>266</v>
      </c>
      <c r="K263" s="332">
        <v>81.95</v>
      </c>
      <c r="L263" s="332">
        <v>82.36</v>
      </c>
      <c r="M263" s="332">
        <v>9.49</v>
      </c>
      <c r="N263" s="332">
        <v>84.59</v>
      </c>
      <c r="O263" s="333">
        <v>11143</v>
      </c>
      <c r="P263" s="330">
        <v>84.32</v>
      </c>
      <c r="Q263" s="330">
        <v>79.86</v>
      </c>
      <c r="R263" s="330">
        <v>44.41</v>
      </c>
      <c r="S263" s="330">
        <v>127.65</v>
      </c>
      <c r="T263" s="330">
        <v>1023</v>
      </c>
      <c r="U263" s="330">
        <v>97.45</v>
      </c>
      <c r="V263" s="330">
        <v>1485</v>
      </c>
      <c r="W263" s="330">
        <v>174.85</v>
      </c>
      <c r="X263" s="330">
        <v>53</v>
      </c>
      <c r="Y263" s="330">
        <v>6</v>
      </c>
      <c r="Z263" s="330">
        <v>62</v>
      </c>
      <c r="AA263" s="330">
        <v>0</v>
      </c>
      <c r="AB263" s="330">
        <v>12</v>
      </c>
      <c r="AC263" s="330">
        <v>2</v>
      </c>
      <c r="AD263" s="334">
        <v>12700</v>
      </c>
      <c r="AE263" s="334">
        <v>97</v>
      </c>
      <c r="AF263" s="334">
        <v>105</v>
      </c>
      <c r="AG263" s="334">
        <v>202</v>
      </c>
    </row>
    <row r="264" spans="1:33" x14ac:dyDescent="0.25">
      <c r="A264" s="329" t="s">
        <v>582</v>
      </c>
      <c r="B264" s="335" t="s">
        <v>583</v>
      </c>
      <c r="C264" s="331">
        <v>5838</v>
      </c>
      <c r="D264" s="331">
        <v>71</v>
      </c>
      <c r="E264" s="331">
        <v>803</v>
      </c>
      <c r="F264" s="331">
        <v>1284</v>
      </c>
      <c r="G264" s="331">
        <v>273</v>
      </c>
      <c r="H264" s="331">
        <v>8269</v>
      </c>
      <c r="I264" s="330">
        <v>7996</v>
      </c>
      <c r="J264" s="330">
        <v>11</v>
      </c>
      <c r="K264" s="332">
        <v>77.17</v>
      </c>
      <c r="L264" s="332">
        <v>77.099999999999994</v>
      </c>
      <c r="M264" s="332">
        <v>4.34</v>
      </c>
      <c r="N264" s="332">
        <v>80.150000000000006</v>
      </c>
      <c r="O264" s="333">
        <v>4933</v>
      </c>
      <c r="P264" s="330">
        <v>93.03</v>
      </c>
      <c r="Q264" s="330">
        <v>89.48</v>
      </c>
      <c r="R264" s="330">
        <v>55.57</v>
      </c>
      <c r="S264" s="330">
        <v>146.6</v>
      </c>
      <c r="T264" s="330">
        <v>1670</v>
      </c>
      <c r="U264" s="330">
        <v>92.23</v>
      </c>
      <c r="V264" s="330">
        <v>445</v>
      </c>
      <c r="W264" s="330">
        <v>185.75</v>
      </c>
      <c r="X264" s="330">
        <v>120</v>
      </c>
      <c r="Y264" s="330">
        <v>0</v>
      </c>
      <c r="Z264" s="330">
        <v>6</v>
      </c>
      <c r="AA264" s="330">
        <v>1</v>
      </c>
      <c r="AB264" s="330">
        <v>3</v>
      </c>
      <c r="AC264" s="330">
        <v>6</v>
      </c>
      <c r="AD264" s="334">
        <v>5354</v>
      </c>
      <c r="AE264" s="334">
        <v>31</v>
      </c>
      <c r="AF264" s="334">
        <v>38</v>
      </c>
      <c r="AG264" s="334">
        <v>69</v>
      </c>
    </row>
    <row r="265" spans="1:33" x14ac:dyDescent="0.25">
      <c r="A265" s="329" t="s">
        <v>584</v>
      </c>
      <c r="B265" s="335" t="s">
        <v>585</v>
      </c>
      <c r="C265" s="331">
        <v>6571</v>
      </c>
      <c r="D265" s="331">
        <v>2</v>
      </c>
      <c r="E265" s="331">
        <v>85</v>
      </c>
      <c r="F265" s="331">
        <v>659</v>
      </c>
      <c r="G265" s="331">
        <v>592</v>
      </c>
      <c r="H265" s="331">
        <v>7909</v>
      </c>
      <c r="I265" s="330">
        <v>7317</v>
      </c>
      <c r="J265" s="330">
        <v>159</v>
      </c>
      <c r="K265" s="332">
        <v>105.69</v>
      </c>
      <c r="L265" s="332">
        <v>103</v>
      </c>
      <c r="M265" s="332">
        <v>4.63</v>
      </c>
      <c r="N265" s="332">
        <v>107.29</v>
      </c>
      <c r="O265" s="333">
        <v>6037</v>
      </c>
      <c r="P265" s="330">
        <v>85.57</v>
      </c>
      <c r="Q265" s="330">
        <v>89.43</v>
      </c>
      <c r="R265" s="330">
        <v>28.54</v>
      </c>
      <c r="S265" s="330">
        <v>113.77</v>
      </c>
      <c r="T265" s="330">
        <v>669</v>
      </c>
      <c r="U265" s="330">
        <v>133.9</v>
      </c>
      <c r="V265" s="330">
        <v>190</v>
      </c>
      <c r="W265" s="330">
        <v>164.68</v>
      </c>
      <c r="X265" s="330">
        <v>7</v>
      </c>
      <c r="Y265" s="330">
        <v>0</v>
      </c>
      <c r="Z265" s="330">
        <v>17</v>
      </c>
      <c r="AA265" s="330">
        <v>0</v>
      </c>
      <c r="AB265" s="330">
        <v>63</v>
      </c>
      <c r="AC265" s="330">
        <v>10</v>
      </c>
      <c r="AD265" s="334">
        <v>6194</v>
      </c>
      <c r="AE265" s="334">
        <v>37</v>
      </c>
      <c r="AF265" s="334">
        <v>81</v>
      </c>
      <c r="AG265" s="334">
        <v>118</v>
      </c>
    </row>
    <row r="266" spans="1:33" x14ac:dyDescent="0.25">
      <c r="A266" s="329" t="s">
        <v>586</v>
      </c>
      <c r="B266" s="335" t="s">
        <v>587</v>
      </c>
      <c r="C266" s="331">
        <v>1365</v>
      </c>
      <c r="D266" s="331">
        <v>0</v>
      </c>
      <c r="E266" s="331">
        <v>128</v>
      </c>
      <c r="F266" s="331">
        <v>146</v>
      </c>
      <c r="G266" s="331">
        <v>303</v>
      </c>
      <c r="H266" s="331">
        <v>1942</v>
      </c>
      <c r="I266" s="330">
        <v>1639</v>
      </c>
      <c r="J266" s="330">
        <v>0</v>
      </c>
      <c r="K266" s="332">
        <v>99.84</v>
      </c>
      <c r="L266" s="332">
        <v>97.38</v>
      </c>
      <c r="M266" s="332">
        <v>4.5599999999999996</v>
      </c>
      <c r="N266" s="332">
        <v>103.48</v>
      </c>
      <c r="O266" s="333">
        <v>1020</v>
      </c>
      <c r="P266" s="330">
        <v>87.92</v>
      </c>
      <c r="Q266" s="330">
        <v>82.14</v>
      </c>
      <c r="R266" s="330">
        <v>35.67</v>
      </c>
      <c r="S266" s="330">
        <v>118.64</v>
      </c>
      <c r="T266" s="330">
        <v>245</v>
      </c>
      <c r="U266" s="330">
        <v>124.78</v>
      </c>
      <c r="V266" s="330">
        <v>272</v>
      </c>
      <c r="W266" s="330">
        <v>0</v>
      </c>
      <c r="X266" s="330">
        <v>0</v>
      </c>
      <c r="Y266" s="330">
        <v>0</v>
      </c>
      <c r="Z266" s="330">
        <v>1</v>
      </c>
      <c r="AA266" s="330">
        <v>0</v>
      </c>
      <c r="AB266" s="330">
        <v>10</v>
      </c>
      <c r="AC266" s="330">
        <v>7</v>
      </c>
      <c r="AD266" s="334">
        <v>1299</v>
      </c>
      <c r="AE266" s="334">
        <v>3</v>
      </c>
      <c r="AF266" s="334">
        <v>2</v>
      </c>
      <c r="AG266" s="334">
        <v>5</v>
      </c>
    </row>
    <row r="267" spans="1:33" x14ac:dyDescent="0.25">
      <c r="A267" s="329" t="s">
        <v>588</v>
      </c>
      <c r="B267" s="335" t="s">
        <v>589</v>
      </c>
      <c r="C267" s="331">
        <v>31708</v>
      </c>
      <c r="D267" s="331">
        <v>38</v>
      </c>
      <c r="E267" s="331">
        <v>529</v>
      </c>
      <c r="F267" s="331">
        <v>1972</v>
      </c>
      <c r="G267" s="331">
        <v>292</v>
      </c>
      <c r="H267" s="331">
        <v>34539</v>
      </c>
      <c r="I267" s="330">
        <v>34247</v>
      </c>
      <c r="J267" s="330">
        <v>2638</v>
      </c>
      <c r="K267" s="332">
        <v>80.430000000000007</v>
      </c>
      <c r="L267" s="332">
        <v>80.33</v>
      </c>
      <c r="M267" s="332">
        <v>6.24</v>
      </c>
      <c r="N267" s="332">
        <v>81.61</v>
      </c>
      <c r="O267" s="333">
        <v>29894</v>
      </c>
      <c r="P267" s="330">
        <v>82.74</v>
      </c>
      <c r="Q267" s="330">
        <v>76.83</v>
      </c>
      <c r="R267" s="330">
        <v>32.99</v>
      </c>
      <c r="S267" s="330">
        <v>114.42</v>
      </c>
      <c r="T267" s="330">
        <v>2010</v>
      </c>
      <c r="U267" s="330">
        <v>99.89</v>
      </c>
      <c r="V267" s="330">
        <v>1498</v>
      </c>
      <c r="W267" s="330">
        <v>164.37</v>
      </c>
      <c r="X267" s="330">
        <v>433</v>
      </c>
      <c r="Y267" s="330">
        <v>6</v>
      </c>
      <c r="Z267" s="330">
        <v>4</v>
      </c>
      <c r="AA267" s="330">
        <v>0</v>
      </c>
      <c r="AB267" s="330">
        <v>72</v>
      </c>
      <c r="AC267" s="330">
        <v>7</v>
      </c>
      <c r="AD267" s="334">
        <v>31419</v>
      </c>
      <c r="AE267" s="334">
        <v>335</v>
      </c>
      <c r="AF267" s="334">
        <v>73</v>
      </c>
      <c r="AG267" s="334">
        <v>408</v>
      </c>
    </row>
    <row r="268" spans="1:33" x14ac:dyDescent="0.25">
      <c r="A268" s="329" t="s">
        <v>590</v>
      </c>
      <c r="B268" s="335" t="s">
        <v>591</v>
      </c>
      <c r="C268" s="331">
        <v>3003</v>
      </c>
      <c r="D268" s="331">
        <v>1</v>
      </c>
      <c r="E268" s="331">
        <v>127</v>
      </c>
      <c r="F268" s="331">
        <v>307</v>
      </c>
      <c r="G268" s="331">
        <v>261</v>
      </c>
      <c r="H268" s="331">
        <v>3699</v>
      </c>
      <c r="I268" s="330">
        <v>3438</v>
      </c>
      <c r="J268" s="330">
        <v>281</v>
      </c>
      <c r="K268" s="332">
        <v>114.24</v>
      </c>
      <c r="L268" s="332">
        <v>110.16</v>
      </c>
      <c r="M268" s="332">
        <v>5.0999999999999996</v>
      </c>
      <c r="N268" s="332">
        <v>116.47</v>
      </c>
      <c r="O268" s="333">
        <v>2978</v>
      </c>
      <c r="P268" s="330">
        <v>101.97</v>
      </c>
      <c r="Q268" s="330">
        <v>90.74</v>
      </c>
      <c r="R268" s="330">
        <v>25.46</v>
      </c>
      <c r="S268" s="330">
        <v>127.17</v>
      </c>
      <c r="T268" s="330">
        <v>394</v>
      </c>
      <c r="U268" s="330">
        <v>229.93</v>
      </c>
      <c r="V268" s="330">
        <v>20</v>
      </c>
      <c r="W268" s="330">
        <v>0</v>
      </c>
      <c r="X268" s="330">
        <v>0</v>
      </c>
      <c r="Y268" s="330">
        <v>3</v>
      </c>
      <c r="Z268" s="330">
        <v>4</v>
      </c>
      <c r="AA268" s="330">
        <v>0</v>
      </c>
      <c r="AB268" s="330">
        <v>25</v>
      </c>
      <c r="AC268" s="330">
        <v>15</v>
      </c>
      <c r="AD268" s="334">
        <v>3003</v>
      </c>
      <c r="AE268" s="334">
        <v>11</v>
      </c>
      <c r="AF268" s="334">
        <v>4</v>
      </c>
      <c r="AG268" s="334">
        <v>15</v>
      </c>
    </row>
    <row r="269" spans="1:33" x14ac:dyDescent="0.25">
      <c r="A269" s="329" t="s">
        <v>592</v>
      </c>
      <c r="B269" s="335" t="s">
        <v>593</v>
      </c>
      <c r="C269" s="331">
        <v>4662</v>
      </c>
      <c r="D269" s="331">
        <v>8</v>
      </c>
      <c r="E269" s="331">
        <v>368</v>
      </c>
      <c r="F269" s="331">
        <v>852</v>
      </c>
      <c r="G269" s="331">
        <v>587</v>
      </c>
      <c r="H269" s="331">
        <v>6477</v>
      </c>
      <c r="I269" s="330">
        <v>5890</v>
      </c>
      <c r="J269" s="330">
        <v>21</v>
      </c>
      <c r="K269" s="332">
        <v>119.7</v>
      </c>
      <c r="L269" s="332">
        <v>119.45</v>
      </c>
      <c r="M269" s="332">
        <v>7.68</v>
      </c>
      <c r="N269" s="332">
        <v>127</v>
      </c>
      <c r="O269" s="333">
        <v>4045</v>
      </c>
      <c r="P269" s="330">
        <v>112.55</v>
      </c>
      <c r="Q269" s="330">
        <v>103.73</v>
      </c>
      <c r="R269" s="330">
        <v>44.34</v>
      </c>
      <c r="S269" s="330">
        <v>154.57</v>
      </c>
      <c r="T269" s="330">
        <v>728</v>
      </c>
      <c r="U269" s="330">
        <v>180.85</v>
      </c>
      <c r="V269" s="330">
        <v>365</v>
      </c>
      <c r="W269" s="330">
        <v>220.29</v>
      </c>
      <c r="X269" s="330">
        <v>87</v>
      </c>
      <c r="Y269" s="330">
        <v>0</v>
      </c>
      <c r="Z269" s="330">
        <v>8</v>
      </c>
      <c r="AA269" s="330">
        <v>3</v>
      </c>
      <c r="AB269" s="330">
        <v>18</v>
      </c>
      <c r="AC269" s="330">
        <v>17</v>
      </c>
      <c r="AD269" s="334">
        <v>4464</v>
      </c>
      <c r="AE269" s="334">
        <v>21</v>
      </c>
      <c r="AF269" s="334">
        <v>17</v>
      </c>
      <c r="AG269" s="334">
        <v>38</v>
      </c>
    </row>
    <row r="270" spans="1:33" x14ac:dyDescent="0.25">
      <c r="A270" s="329" t="s">
        <v>594</v>
      </c>
      <c r="B270" s="335" t="s">
        <v>595</v>
      </c>
      <c r="C270" s="331">
        <v>7567</v>
      </c>
      <c r="D270" s="331">
        <v>0</v>
      </c>
      <c r="E270" s="331">
        <v>236</v>
      </c>
      <c r="F270" s="331">
        <v>437</v>
      </c>
      <c r="G270" s="331">
        <v>569</v>
      </c>
      <c r="H270" s="331">
        <v>8809</v>
      </c>
      <c r="I270" s="330">
        <v>8240</v>
      </c>
      <c r="J270" s="330">
        <v>2</v>
      </c>
      <c r="K270" s="332">
        <v>99.18</v>
      </c>
      <c r="L270" s="332">
        <v>98.82</v>
      </c>
      <c r="M270" s="332">
        <v>5.21</v>
      </c>
      <c r="N270" s="332">
        <v>101.61</v>
      </c>
      <c r="O270" s="333">
        <v>6510</v>
      </c>
      <c r="P270" s="330">
        <v>90.32</v>
      </c>
      <c r="Q270" s="330">
        <v>86.04</v>
      </c>
      <c r="R270" s="330">
        <v>45.89</v>
      </c>
      <c r="S270" s="330">
        <v>135.6</v>
      </c>
      <c r="T270" s="330">
        <v>602</v>
      </c>
      <c r="U270" s="330">
        <v>127.29</v>
      </c>
      <c r="V270" s="330">
        <v>944</v>
      </c>
      <c r="W270" s="330">
        <v>176.33</v>
      </c>
      <c r="X270" s="330">
        <v>1</v>
      </c>
      <c r="Y270" s="330">
        <v>14</v>
      </c>
      <c r="Z270" s="330">
        <v>4</v>
      </c>
      <c r="AA270" s="330">
        <v>0</v>
      </c>
      <c r="AB270" s="330">
        <v>54</v>
      </c>
      <c r="AC270" s="330">
        <v>15</v>
      </c>
      <c r="AD270" s="334">
        <v>7500</v>
      </c>
      <c r="AE270" s="334">
        <v>43</v>
      </c>
      <c r="AF270" s="334">
        <v>31</v>
      </c>
      <c r="AG270" s="334">
        <v>74</v>
      </c>
    </row>
    <row r="271" spans="1:33" x14ac:dyDescent="0.25">
      <c r="A271" s="329" t="s">
        <v>596</v>
      </c>
      <c r="B271" s="335" t="s">
        <v>597</v>
      </c>
      <c r="C271" s="331">
        <v>3630</v>
      </c>
      <c r="D271" s="331">
        <v>0</v>
      </c>
      <c r="E271" s="331">
        <v>528</v>
      </c>
      <c r="F271" s="331">
        <v>919</v>
      </c>
      <c r="G271" s="331">
        <v>902</v>
      </c>
      <c r="H271" s="331">
        <v>5979</v>
      </c>
      <c r="I271" s="330">
        <v>5077</v>
      </c>
      <c r="J271" s="330">
        <v>1</v>
      </c>
      <c r="K271" s="332">
        <v>98.63</v>
      </c>
      <c r="L271" s="332">
        <v>96.61</v>
      </c>
      <c r="M271" s="332">
        <v>7.34</v>
      </c>
      <c r="N271" s="332">
        <v>104.33</v>
      </c>
      <c r="O271" s="333">
        <v>3013</v>
      </c>
      <c r="P271" s="330">
        <v>84.37</v>
      </c>
      <c r="Q271" s="330">
        <v>81.14</v>
      </c>
      <c r="R271" s="330">
        <v>42.62</v>
      </c>
      <c r="S271" s="330">
        <v>124.76</v>
      </c>
      <c r="T271" s="330">
        <v>1320</v>
      </c>
      <c r="U271" s="330">
        <v>123.53</v>
      </c>
      <c r="V271" s="330">
        <v>378</v>
      </c>
      <c r="W271" s="330">
        <v>173.11</v>
      </c>
      <c r="X271" s="330">
        <v>78</v>
      </c>
      <c r="Y271" s="330">
        <v>0</v>
      </c>
      <c r="Z271" s="330">
        <v>2</v>
      </c>
      <c r="AA271" s="330">
        <v>0</v>
      </c>
      <c r="AB271" s="330">
        <v>58</v>
      </c>
      <c r="AC271" s="330">
        <v>36</v>
      </c>
      <c r="AD271" s="334">
        <v>3513</v>
      </c>
      <c r="AE271" s="334">
        <v>11</v>
      </c>
      <c r="AF271" s="334">
        <v>3</v>
      </c>
      <c r="AG271" s="334">
        <v>14</v>
      </c>
    </row>
    <row r="272" spans="1:33" x14ac:dyDescent="0.25">
      <c r="A272" s="329" t="s">
        <v>598</v>
      </c>
      <c r="B272" s="335" t="s">
        <v>599</v>
      </c>
      <c r="C272" s="331">
        <v>20105</v>
      </c>
      <c r="D272" s="331">
        <v>0</v>
      </c>
      <c r="E272" s="331">
        <v>516</v>
      </c>
      <c r="F272" s="331">
        <v>1600</v>
      </c>
      <c r="G272" s="331">
        <v>182</v>
      </c>
      <c r="H272" s="331">
        <v>22403</v>
      </c>
      <c r="I272" s="330">
        <v>22221</v>
      </c>
      <c r="J272" s="330">
        <v>55</v>
      </c>
      <c r="K272" s="332">
        <v>83.21</v>
      </c>
      <c r="L272" s="332">
        <v>80.06</v>
      </c>
      <c r="M272" s="332">
        <v>3.48</v>
      </c>
      <c r="N272" s="332">
        <v>86.37</v>
      </c>
      <c r="O272" s="333">
        <v>17284</v>
      </c>
      <c r="P272" s="330">
        <v>83.41</v>
      </c>
      <c r="Q272" s="330">
        <v>72.42</v>
      </c>
      <c r="R272" s="330">
        <v>33.56</v>
      </c>
      <c r="S272" s="330">
        <v>113.83</v>
      </c>
      <c r="T272" s="330">
        <v>1979</v>
      </c>
      <c r="U272" s="330">
        <v>103.76</v>
      </c>
      <c r="V272" s="330">
        <v>1760</v>
      </c>
      <c r="W272" s="330">
        <v>108.25</v>
      </c>
      <c r="X272" s="330">
        <v>22</v>
      </c>
      <c r="Y272" s="330">
        <v>10</v>
      </c>
      <c r="Z272" s="330">
        <v>63</v>
      </c>
      <c r="AA272" s="330">
        <v>0</v>
      </c>
      <c r="AB272" s="330">
        <v>0</v>
      </c>
      <c r="AC272" s="330">
        <v>3</v>
      </c>
      <c r="AD272" s="334">
        <v>19074</v>
      </c>
      <c r="AE272" s="334">
        <v>83</v>
      </c>
      <c r="AF272" s="334">
        <v>68</v>
      </c>
      <c r="AG272" s="334">
        <v>151</v>
      </c>
    </row>
    <row r="273" spans="1:33" x14ac:dyDescent="0.25">
      <c r="A273" s="329" t="s">
        <v>600</v>
      </c>
      <c r="B273" s="335" t="s">
        <v>601</v>
      </c>
      <c r="C273" s="331">
        <v>1412</v>
      </c>
      <c r="D273" s="331">
        <v>0</v>
      </c>
      <c r="E273" s="331">
        <v>124</v>
      </c>
      <c r="F273" s="331">
        <v>109</v>
      </c>
      <c r="G273" s="331">
        <v>127</v>
      </c>
      <c r="H273" s="331">
        <v>1772</v>
      </c>
      <c r="I273" s="330">
        <v>1645</v>
      </c>
      <c r="J273" s="330">
        <v>0</v>
      </c>
      <c r="K273" s="332">
        <v>89.31</v>
      </c>
      <c r="L273" s="332">
        <v>87.83</v>
      </c>
      <c r="M273" s="332">
        <v>5.1100000000000003</v>
      </c>
      <c r="N273" s="332">
        <v>93.44</v>
      </c>
      <c r="O273" s="333">
        <v>1235</v>
      </c>
      <c r="P273" s="330">
        <v>83.76</v>
      </c>
      <c r="Q273" s="330">
        <v>79.73</v>
      </c>
      <c r="R273" s="330">
        <v>30.87</v>
      </c>
      <c r="S273" s="330">
        <v>113.56</v>
      </c>
      <c r="T273" s="330">
        <v>201</v>
      </c>
      <c r="U273" s="330">
        <v>107.64</v>
      </c>
      <c r="V273" s="330">
        <v>159</v>
      </c>
      <c r="W273" s="330">
        <v>0</v>
      </c>
      <c r="X273" s="330">
        <v>0</v>
      </c>
      <c r="Y273" s="330">
        <v>0</v>
      </c>
      <c r="Z273" s="330">
        <v>0</v>
      </c>
      <c r="AA273" s="330">
        <v>0</v>
      </c>
      <c r="AB273" s="330">
        <v>0</v>
      </c>
      <c r="AC273" s="330">
        <v>6</v>
      </c>
      <c r="AD273" s="334">
        <v>1412</v>
      </c>
      <c r="AE273" s="334">
        <v>3</v>
      </c>
      <c r="AF273" s="334">
        <v>4</v>
      </c>
      <c r="AG273" s="334">
        <v>7</v>
      </c>
    </row>
    <row r="274" spans="1:33" x14ac:dyDescent="0.25">
      <c r="A274" s="329" t="s">
        <v>602</v>
      </c>
      <c r="B274" s="335" t="s">
        <v>603</v>
      </c>
      <c r="C274" s="331">
        <v>1036</v>
      </c>
      <c r="D274" s="331">
        <v>0</v>
      </c>
      <c r="E274" s="331">
        <v>115</v>
      </c>
      <c r="F274" s="331">
        <v>70</v>
      </c>
      <c r="G274" s="331">
        <v>213</v>
      </c>
      <c r="H274" s="331">
        <v>1434</v>
      </c>
      <c r="I274" s="330">
        <v>1221</v>
      </c>
      <c r="J274" s="330">
        <v>0</v>
      </c>
      <c r="K274" s="332">
        <v>125.57</v>
      </c>
      <c r="L274" s="332">
        <v>123.64</v>
      </c>
      <c r="M274" s="332">
        <v>6.87</v>
      </c>
      <c r="N274" s="332">
        <v>132.06</v>
      </c>
      <c r="O274" s="333">
        <v>679</v>
      </c>
      <c r="P274" s="330">
        <v>136.22</v>
      </c>
      <c r="Q274" s="330">
        <v>101.56</v>
      </c>
      <c r="R274" s="330">
        <v>52.83</v>
      </c>
      <c r="S274" s="330">
        <v>189.05</v>
      </c>
      <c r="T274" s="330">
        <v>86</v>
      </c>
      <c r="U274" s="330">
        <v>178.51</v>
      </c>
      <c r="V274" s="330">
        <v>256</v>
      </c>
      <c r="W274" s="330">
        <v>131.30000000000001</v>
      </c>
      <c r="X274" s="330">
        <v>7</v>
      </c>
      <c r="Y274" s="330">
        <v>0</v>
      </c>
      <c r="Z274" s="330">
        <v>0</v>
      </c>
      <c r="AA274" s="330">
        <v>0</v>
      </c>
      <c r="AB274" s="330">
        <v>6</v>
      </c>
      <c r="AC274" s="330">
        <v>3</v>
      </c>
      <c r="AD274" s="334">
        <v>990</v>
      </c>
      <c r="AE274" s="334">
        <v>2</v>
      </c>
      <c r="AF274" s="334">
        <v>1</v>
      </c>
      <c r="AG274" s="334">
        <v>3</v>
      </c>
    </row>
    <row r="275" spans="1:33" x14ac:dyDescent="0.25">
      <c r="A275" s="329" t="s">
        <v>604</v>
      </c>
      <c r="B275" s="335" t="s">
        <v>605</v>
      </c>
      <c r="C275" s="331">
        <v>4047</v>
      </c>
      <c r="D275" s="331">
        <v>0</v>
      </c>
      <c r="E275" s="331">
        <v>167</v>
      </c>
      <c r="F275" s="331">
        <v>1394</v>
      </c>
      <c r="G275" s="331">
        <v>580</v>
      </c>
      <c r="H275" s="331">
        <v>6188</v>
      </c>
      <c r="I275" s="330">
        <v>5608</v>
      </c>
      <c r="J275" s="330">
        <v>1</v>
      </c>
      <c r="K275" s="332">
        <v>88.84</v>
      </c>
      <c r="L275" s="332">
        <v>86.36</v>
      </c>
      <c r="M275" s="332">
        <v>3.87</v>
      </c>
      <c r="N275" s="332">
        <v>92.51</v>
      </c>
      <c r="O275" s="333">
        <v>3423</v>
      </c>
      <c r="P275" s="330">
        <v>86.33</v>
      </c>
      <c r="Q275" s="330">
        <v>80.59</v>
      </c>
      <c r="R275" s="330">
        <v>18.55</v>
      </c>
      <c r="S275" s="330">
        <v>104.15</v>
      </c>
      <c r="T275" s="330">
        <v>1284</v>
      </c>
      <c r="U275" s="330">
        <v>126.77</v>
      </c>
      <c r="V275" s="330">
        <v>562</v>
      </c>
      <c r="W275" s="330">
        <v>98.4</v>
      </c>
      <c r="X275" s="330">
        <v>10</v>
      </c>
      <c r="Y275" s="330">
        <v>0</v>
      </c>
      <c r="Z275" s="330">
        <v>13</v>
      </c>
      <c r="AA275" s="330">
        <v>0</v>
      </c>
      <c r="AB275" s="330">
        <v>41</v>
      </c>
      <c r="AC275" s="330">
        <v>2</v>
      </c>
      <c r="AD275" s="334">
        <v>4012</v>
      </c>
      <c r="AE275" s="334">
        <v>7</v>
      </c>
      <c r="AF275" s="334">
        <v>20</v>
      </c>
      <c r="AG275" s="334">
        <v>27</v>
      </c>
    </row>
    <row r="276" spans="1:33" x14ac:dyDescent="0.25">
      <c r="A276" s="329" t="s">
        <v>606</v>
      </c>
      <c r="B276" s="335" t="s">
        <v>607</v>
      </c>
      <c r="C276" s="331">
        <v>11289</v>
      </c>
      <c r="D276" s="331">
        <v>0</v>
      </c>
      <c r="E276" s="331">
        <v>333</v>
      </c>
      <c r="F276" s="331">
        <v>1858</v>
      </c>
      <c r="G276" s="331">
        <v>409</v>
      </c>
      <c r="H276" s="331">
        <v>13889</v>
      </c>
      <c r="I276" s="330">
        <v>13480</v>
      </c>
      <c r="J276" s="330">
        <v>19</v>
      </c>
      <c r="K276" s="332">
        <v>90.93</v>
      </c>
      <c r="L276" s="332">
        <v>87.73</v>
      </c>
      <c r="M276" s="332">
        <v>5.77</v>
      </c>
      <c r="N276" s="332">
        <v>93.11</v>
      </c>
      <c r="O276" s="333">
        <v>10234</v>
      </c>
      <c r="P276" s="330">
        <v>87.7</v>
      </c>
      <c r="Q276" s="330">
        <v>87.1</v>
      </c>
      <c r="R276" s="330">
        <v>37.4</v>
      </c>
      <c r="S276" s="330">
        <v>124.16</v>
      </c>
      <c r="T276" s="330">
        <v>1868</v>
      </c>
      <c r="U276" s="330">
        <v>110.84</v>
      </c>
      <c r="V276" s="330">
        <v>762</v>
      </c>
      <c r="W276" s="330">
        <v>183.44</v>
      </c>
      <c r="X276" s="330">
        <v>208</v>
      </c>
      <c r="Y276" s="330">
        <v>0</v>
      </c>
      <c r="Z276" s="330">
        <v>63</v>
      </c>
      <c r="AA276" s="330">
        <v>134</v>
      </c>
      <c r="AB276" s="330">
        <v>74</v>
      </c>
      <c r="AC276" s="330">
        <v>5</v>
      </c>
      <c r="AD276" s="334">
        <v>11249</v>
      </c>
      <c r="AE276" s="334">
        <v>25</v>
      </c>
      <c r="AF276" s="334">
        <v>204</v>
      </c>
      <c r="AG276" s="334">
        <v>229</v>
      </c>
    </row>
    <row r="277" spans="1:33" x14ac:dyDescent="0.25">
      <c r="A277" s="329" t="s">
        <v>608</v>
      </c>
      <c r="B277" s="335" t="s">
        <v>609</v>
      </c>
      <c r="C277" s="331">
        <v>1904</v>
      </c>
      <c r="D277" s="331">
        <v>0</v>
      </c>
      <c r="E277" s="331">
        <v>237</v>
      </c>
      <c r="F277" s="331">
        <v>547</v>
      </c>
      <c r="G277" s="331">
        <v>78</v>
      </c>
      <c r="H277" s="331">
        <v>2766</v>
      </c>
      <c r="I277" s="330">
        <v>2688</v>
      </c>
      <c r="J277" s="330">
        <v>0</v>
      </c>
      <c r="K277" s="332">
        <v>99.32</v>
      </c>
      <c r="L277" s="332">
        <v>99</v>
      </c>
      <c r="M277" s="332">
        <v>4.16</v>
      </c>
      <c r="N277" s="332">
        <v>102.73</v>
      </c>
      <c r="O277" s="333">
        <v>1683</v>
      </c>
      <c r="P277" s="330">
        <v>91.83</v>
      </c>
      <c r="Q277" s="330">
        <v>85.24</v>
      </c>
      <c r="R277" s="330">
        <v>34.51</v>
      </c>
      <c r="S277" s="330">
        <v>125.9</v>
      </c>
      <c r="T277" s="330">
        <v>765</v>
      </c>
      <c r="U277" s="330">
        <v>122.12</v>
      </c>
      <c r="V277" s="330">
        <v>160</v>
      </c>
      <c r="W277" s="330">
        <v>0</v>
      </c>
      <c r="X277" s="330">
        <v>0</v>
      </c>
      <c r="Y277" s="330">
        <v>2</v>
      </c>
      <c r="Z277" s="330">
        <v>0</v>
      </c>
      <c r="AA277" s="330">
        <v>7</v>
      </c>
      <c r="AB277" s="330">
        <v>1</v>
      </c>
      <c r="AC277" s="330">
        <v>1</v>
      </c>
      <c r="AD277" s="334">
        <v>1892</v>
      </c>
      <c r="AE277" s="334">
        <v>5</v>
      </c>
      <c r="AF277" s="334">
        <v>2</v>
      </c>
      <c r="AG277" s="334">
        <v>7</v>
      </c>
    </row>
    <row r="278" spans="1:33" x14ac:dyDescent="0.25">
      <c r="A278" s="329" t="s">
        <v>610</v>
      </c>
      <c r="B278" s="335" t="s">
        <v>611</v>
      </c>
      <c r="C278" s="331">
        <v>7043</v>
      </c>
      <c r="D278" s="331">
        <v>0</v>
      </c>
      <c r="E278" s="331">
        <v>356</v>
      </c>
      <c r="F278" s="331">
        <v>362</v>
      </c>
      <c r="G278" s="331">
        <v>680</v>
      </c>
      <c r="H278" s="331">
        <v>8441</v>
      </c>
      <c r="I278" s="330">
        <v>7761</v>
      </c>
      <c r="J278" s="330">
        <v>1</v>
      </c>
      <c r="K278" s="332">
        <v>107.95</v>
      </c>
      <c r="L278" s="332">
        <v>107.86</v>
      </c>
      <c r="M278" s="332">
        <v>3.48</v>
      </c>
      <c r="N278" s="332">
        <v>111.03</v>
      </c>
      <c r="O278" s="333">
        <v>6197</v>
      </c>
      <c r="P278" s="330">
        <v>93.45</v>
      </c>
      <c r="Q278" s="330">
        <v>91</v>
      </c>
      <c r="R278" s="330">
        <v>32.869999999999997</v>
      </c>
      <c r="S278" s="330">
        <v>125.9</v>
      </c>
      <c r="T278" s="330">
        <v>555</v>
      </c>
      <c r="U278" s="330">
        <v>141.5</v>
      </c>
      <c r="V278" s="330">
        <v>597</v>
      </c>
      <c r="W278" s="330">
        <v>153.53</v>
      </c>
      <c r="X278" s="330">
        <v>1</v>
      </c>
      <c r="Y278" s="330">
        <v>220</v>
      </c>
      <c r="Z278" s="330">
        <v>12</v>
      </c>
      <c r="AA278" s="330">
        <v>5</v>
      </c>
      <c r="AB278" s="330">
        <v>77</v>
      </c>
      <c r="AC278" s="330">
        <v>11</v>
      </c>
      <c r="AD278" s="334">
        <v>6878</v>
      </c>
      <c r="AE278" s="334">
        <v>20</v>
      </c>
      <c r="AF278" s="334">
        <v>9</v>
      </c>
      <c r="AG278" s="334">
        <v>29</v>
      </c>
    </row>
    <row r="279" spans="1:33" x14ac:dyDescent="0.25">
      <c r="A279" s="329" t="s">
        <v>612</v>
      </c>
      <c r="B279" s="335" t="s">
        <v>613</v>
      </c>
      <c r="C279" s="331">
        <v>4252</v>
      </c>
      <c r="D279" s="331">
        <v>0</v>
      </c>
      <c r="E279" s="331">
        <v>81</v>
      </c>
      <c r="F279" s="331">
        <v>557</v>
      </c>
      <c r="G279" s="331">
        <v>583</v>
      </c>
      <c r="H279" s="331">
        <v>5473</v>
      </c>
      <c r="I279" s="330">
        <v>4890</v>
      </c>
      <c r="J279" s="330">
        <v>0</v>
      </c>
      <c r="K279" s="332">
        <v>96.28</v>
      </c>
      <c r="L279" s="332">
        <v>95.78</v>
      </c>
      <c r="M279" s="332">
        <v>3.94</v>
      </c>
      <c r="N279" s="332">
        <v>98.57</v>
      </c>
      <c r="O279" s="333">
        <v>3831</v>
      </c>
      <c r="P279" s="330">
        <v>87.96</v>
      </c>
      <c r="Q279" s="330">
        <v>84.25</v>
      </c>
      <c r="R279" s="330">
        <v>33.24</v>
      </c>
      <c r="S279" s="330">
        <v>121.15</v>
      </c>
      <c r="T279" s="330">
        <v>624</v>
      </c>
      <c r="U279" s="330">
        <v>131.94999999999999</v>
      </c>
      <c r="V279" s="330">
        <v>412</v>
      </c>
      <c r="W279" s="330">
        <v>154.69999999999999</v>
      </c>
      <c r="X279" s="330">
        <v>4</v>
      </c>
      <c r="Y279" s="330">
        <v>0</v>
      </c>
      <c r="Z279" s="330">
        <v>15</v>
      </c>
      <c r="AA279" s="330">
        <v>1</v>
      </c>
      <c r="AB279" s="330">
        <v>113</v>
      </c>
      <c r="AC279" s="330">
        <v>9</v>
      </c>
      <c r="AD279" s="334">
        <v>4246</v>
      </c>
      <c r="AE279" s="334">
        <v>27</v>
      </c>
      <c r="AF279" s="334">
        <v>5</v>
      </c>
      <c r="AG279" s="334">
        <v>32</v>
      </c>
    </row>
    <row r="280" spans="1:33" x14ac:dyDescent="0.25">
      <c r="A280" s="329" t="s">
        <v>614</v>
      </c>
      <c r="B280" s="335" t="s">
        <v>615</v>
      </c>
      <c r="C280" s="331">
        <v>3974</v>
      </c>
      <c r="D280" s="331">
        <v>0</v>
      </c>
      <c r="E280" s="331">
        <v>112</v>
      </c>
      <c r="F280" s="331">
        <v>682</v>
      </c>
      <c r="G280" s="331">
        <v>134</v>
      </c>
      <c r="H280" s="331">
        <v>4902</v>
      </c>
      <c r="I280" s="330">
        <v>4768</v>
      </c>
      <c r="J280" s="330">
        <v>31</v>
      </c>
      <c r="K280" s="332">
        <v>92.57</v>
      </c>
      <c r="L280" s="332">
        <v>90.1</v>
      </c>
      <c r="M280" s="332">
        <v>7.15</v>
      </c>
      <c r="N280" s="332">
        <v>97.64</v>
      </c>
      <c r="O280" s="333">
        <v>3697</v>
      </c>
      <c r="P280" s="330">
        <v>94.52</v>
      </c>
      <c r="Q280" s="330">
        <v>82.03</v>
      </c>
      <c r="R280" s="330">
        <v>35.07</v>
      </c>
      <c r="S280" s="330">
        <v>129.18</v>
      </c>
      <c r="T280" s="330">
        <v>776</v>
      </c>
      <c r="U280" s="330">
        <v>119.84</v>
      </c>
      <c r="V280" s="330">
        <v>238</v>
      </c>
      <c r="W280" s="330">
        <v>0</v>
      </c>
      <c r="X280" s="330">
        <v>0</v>
      </c>
      <c r="Y280" s="330">
        <v>0</v>
      </c>
      <c r="Z280" s="330">
        <v>5</v>
      </c>
      <c r="AA280" s="330">
        <v>9</v>
      </c>
      <c r="AB280" s="330">
        <v>11</v>
      </c>
      <c r="AC280" s="330">
        <v>5</v>
      </c>
      <c r="AD280" s="334">
        <v>3974</v>
      </c>
      <c r="AE280" s="334">
        <v>15</v>
      </c>
      <c r="AF280" s="334">
        <v>33</v>
      </c>
      <c r="AG280" s="334">
        <v>48</v>
      </c>
    </row>
    <row r="281" spans="1:33" x14ac:dyDescent="0.25">
      <c r="A281" s="329" t="s">
        <v>616</v>
      </c>
      <c r="B281" s="335" t="s">
        <v>617</v>
      </c>
      <c r="C281" s="331">
        <v>4599</v>
      </c>
      <c r="D281" s="331">
        <v>46</v>
      </c>
      <c r="E281" s="331">
        <v>77</v>
      </c>
      <c r="F281" s="331">
        <v>885</v>
      </c>
      <c r="G281" s="331">
        <v>184</v>
      </c>
      <c r="H281" s="331">
        <v>5791</v>
      </c>
      <c r="I281" s="330">
        <v>5607</v>
      </c>
      <c r="J281" s="330">
        <v>88</v>
      </c>
      <c r="K281" s="332">
        <v>114.39</v>
      </c>
      <c r="L281" s="332">
        <v>118.68</v>
      </c>
      <c r="M281" s="332">
        <v>6.01</v>
      </c>
      <c r="N281" s="332">
        <v>117.03</v>
      </c>
      <c r="O281" s="333">
        <v>4363</v>
      </c>
      <c r="P281" s="330">
        <v>100.53</v>
      </c>
      <c r="Q281" s="330">
        <v>98.27</v>
      </c>
      <c r="R281" s="330">
        <v>18.22</v>
      </c>
      <c r="S281" s="330">
        <v>117.81</v>
      </c>
      <c r="T281" s="330">
        <v>904</v>
      </c>
      <c r="U281" s="330">
        <v>162.12</v>
      </c>
      <c r="V281" s="330">
        <v>163</v>
      </c>
      <c r="W281" s="330">
        <v>0</v>
      </c>
      <c r="X281" s="330">
        <v>0</v>
      </c>
      <c r="Y281" s="330">
        <v>0</v>
      </c>
      <c r="Z281" s="330">
        <v>8</v>
      </c>
      <c r="AA281" s="330">
        <v>0</v>
      </c>
      <c r="AB281" s="330">
        <v>0</v>
      </c>
      <c r="AC281" s="330">
        <v>1</v>
      </c>
      <c r="AD281" s="334">
        <v>4589</v>
      </c>
      <c r="AE281" s="334">
        <v>7</v>
      </c>
      <c r="AF281" s="334">
        <v>38</v>
      </c>
      <c r="AG281" s="334">
        <v>45</v>
      </c>
    </row>
    <row r="282" spans="1:33" x14ac:dyDescent="0.25">
      <c r="A282" s="329" t="s">
        <v>618</v>
      </c>
      <c r="B282" s="335" t="s">
        <v>619</v>
      </c>
      <c r="C282" s="331">
        <v>1647</v>
      </c>
      <c r="D282" s="331">
        <v>0</v>
      </c>
      <c r="E282" s="331">
        <v>72</v>
      </c>
      <c r="F282" s="331">
        <v>91</v>
      </c>
      <c r="G282" s="331">
        <v>294</v>
      </c>
      <c r="H282" s="331">
        <v>2104</v>
      </c>
      <c r="I282" s="330">
        <v>1810</v>
      </c>
      <c r="J282" s="330">
        <v>1</v>
      </c>
      <c r="K282" s="332">
        <v>105.6</v>
      </c>
      <c r="L282" s="332">
        <v>105.35</v>
      </c>
      <c r="M282" s="332">
        <v>7.39</v>
      </c>
      <c r="N282" s="332">
        <v>110.52</v>
      </c>
      <c r="O282" s="333">
        <v>1235</v>
      </c>
      <c r="P282" s="330">
        <v>110.93</v>
      </c>
      <c r="Q282" s="330">
        <v>106.33</v>
      </c>
      <c r="R282" s="330">
        <v>58.92</v>
      </c>
      <c r="S282" s="330">
        <v>159.96</v>
      </c>
      <c r="T282" s="330">
        <v>131</v>
      </c>
      <c r="U282" s="330">
        <v>151.80000000000001</v>
      </c>
      <c r="V282" s="330">
        <v>344</v>
      </c>
      <c r="W282" s="330">
        <v>0</v>
      </c>
      <c r="X282" s="330">
        <v>0</v>
      </c>
      <c r="Y282" s="330">
        <v>0</v>
      </c>
      <c r="Z282" s="330">
        <v>1</v>
      </c>
      <c r="AA282" s="330">
        <v>0</v>
      </c>
      <c r="AB282" s="330">
        <v>24</v>
      </c>
      <c r="AC282" s="330">
        <v>10</v>
      </c>
      <c r="AD282" s="334">
        <v>1630</v>
      </c>
      <c r="AE282" s="334">
        <v>23</v>
      </c>
      <c r="AF282" s="334">
        <v>8</v>
      </c>
      <c r="AG282" s="334">
        <v>31</v>
      </c>
    </row>
    <row r="283" spans="1:33" x14ac:dyDescent="0.25">
      <c r="A283" s="329" t="s">
        <v>620</v>
      </c>
      <c r="B283" s="335" t="s">
        <v>621</v>
      </c>
      <c r="C283" s="331">
        <v>7546</v>
      </c>
      <c r="D283" s="331">
        <v>16</v>
      </c>
      <c r="E283" s="331">
        <v>41</v>
      </c>
      <c r="F283" s="331">
        <v>535</v>
      </c>
      <c r="G283" s="331">
        <v>923</v>
      </c>
      <c r="H283" s="331">
        <v>9061</v>
      </c>
      <c r="I283" s="330">
        <v>8138</v>
      </c>
      <c r="J283" s="330">
        <v>1</v>
      </c>
      <c r="K283" s="332">
        <v>115.17</v>
      </c>
      <c r="L283" s="332">
        <v>115.16</v>
      </c>
      <c r="M283" s="332">
        <v>1.1000000000000001</v>
      </c>
      <c r="N283" s="332">
        <v>116.26</v>
      </c>
      <c r="O283" s="333">
        <v>6430</v>
      </c>
      <c r="P283" s="330">
        <v>95.83</v>
      </c>
      <c r="Q283" s="330">
        <v>93.89</v>
      </c>
      <c r="R283" s="330">
        <v>22.58</v>
      </c>
      <c r="S283" s="330">
        <v>118.28</v>
      </c>
      <c r="T283" s="330">
        <v>552</v>
      </c>
      <c r="U283" s="330">
        <v>142.05000000000001</v>
      </c>
      <c r="V283" s="330">
        <v>1033</v>
      </c>
      <c r="W283" s="330">
        <v>0</v>
      </c>
      <c r="X283" s="330">
        <v>0</v>
      </c>
      <c r="Y283" s="330">
        <v>0</v>
      </c>
      <c r="Z283" s="330">
        <v>7</v>
      </c>
      <c r="AA283" s="330">
        <v>0</v>
      </c>
      <c r="AB283" s="330">
        <v>62</v>
      </c>
      <c r="AC283" s="330">
        <v>16</v>
      </c>
      <c r="AD283" s="334">
        <v>7538</v>
      </c>
      <c r="AE283" s="334">
        <v>21</v>
      </c>
      <c r="AF283" s="334">
        <v>15</v>
      </c>
      <c r="AG283" s="334">
        <v>36</v>
      </c>
    </row>
    <row r="284" spans="1:33" x14ac:dyDescent="0.25">
      <c r="A284" s="329" t="s">
        <v>622</v>
      </c>
      <c r="B284" s="335" t="s">
        <v>623</v>
      </c>
      <c r="C284" s="331">
        <v>4151</v>
      </c>
      <c r="D284" s="331">
        <v>43</v>
      </c>
      <c r="E284" s="331">
        <v>263</v>
      </c>
      <c r="F284" s="331">
        <v>941</v>
      </c>
      <c r="G284" s="331">
        <v>522</v>
      </c>
      <c r="H284" s="331">
        <v>5920</v>
      </c>
      <c r="I284" s="330">
        <v>5398</v>
      </c>
      <c r="J284" s="330">
        <v>11</v>
      </c>
      <c r="K284" s="332">
        <v>89.78</v>
      </c>
      <c r="L284" s="332">
        <v>84.9</v>
      </c>
      <c r="M284" s="332">
        <v>7.03</v>
      </c>
      <c r="N284" s="332">
        <v>95.56</v>
      </c>
      <c r="O284" s="333">
        <v>3756</v>
      </c>
      <c r="P284" s="330">
        <v>86.3</v>
      </c>
      <c r="Q284" s="330">
        <v>76.989999999999995</v>
      </c>
      <c r="R284" s="330">
        <v>44.61</v>
      </c>
      <c r="S284" s="330">
        <v>127.93</v>
      </c>
      <c r="T284" s="330">
        <v>913</v>
      </c>
      <c r="U284" s="330">
        <v>114.95</v>
      </c>
      <c r="V284" s="330">
        <v>411</v>
      </c>
      <c r="W284" s="330">
        <v>153.47</v>
      </c>
      <c r="X284" s="330">
        <v>1</v>
      </c>
      <c r="Y284" s="330">
        <v>0</v>
      </c>
      <c r="Z284" s="330">
        <v>13</v>
      </c>
      <c r="AA284" s="330">
        <v>0</v>
      </c>
      <c r="AB284" s="330">
        <v>13</v>
      </c>
      <c r="AC284" s="330">
        <v>10</v>
      </c>
      <c r="AD284" s="334">
        <v>4144</v>
      </c>
      <c r="AE284" s="334">
        <v>16</v>
      </c>
      <c r="AF284" s="334">
        <v>10</v>
      </c>
      <c r="AG284" s="334">
        <v>26</v>
      </c>
    </row>
    <row r="285" spans="1:33" x14ac:dyDescent="0.25">
      <c r="A285" s="329" t="s">
        <v>624</v>
      </c>
      <c r="B285" s="335" t="s">
        <v>625</v>
      </c>
      <c r="C285" s="331">
        <v>2420</v>
      </c>
      <c r="D285" s="331">
        <v>0</v>
      </c>
      <c r="E285" s="331">
        <v>13</v>
      </c>
      <c r="F285" s="331">
        <v>345</v>
      </c>
      <c r="G285" s="331">
        <v>191</v>
      </c>
      <c r="H285" s="331">
        <v>2969</v>
      </c>
      <c r="I285" s="330">
        <v>2778</v>
      </c>
      <c r="J285" s="330">
        <v>7</v>
      </c>
      <c r="K285" s="332">
        <v>84.08</v>
      </c>
      <c r="L285" s="332">
        <v>81.349999999999994</v>
      </c>
      <c r="M285" s="332">
        <v>5.04</v>
      </c>
      <c r="N285" s="332">
        <v>86.75</v>
      </c>
      <c r="O285" s="333">
        <v>2310</v>
      </c>
      <c r="P285" s="330">
        <v>68.86</v>
      </c>
      <c r="Q285" s="330">
        <v>66.180000000000007</v>
      </c>
      <c r="R285" s="330">
        <v>29.29</v>
      </c>
      <c r="S285" s="330">
        <v>90.53</v>
      </c>
      <c r="T285" s="330">
        <v>296</v>
      </c>
      <c r="U285" s="330">
        <v>108.4</v>
      </c>
      <c r="V285" s="330">
        <v>90</v>
      </c>
      <c r="W285" s="330">
        <v>147.85</v>
      </c>
      <c r="X285" s="330">
        <v>41</v>
      </c>
      <c r="Y285" s="330">
        <v>43</v>
      </c>
      <c r="Z285" s="330">
        <v>0</v>
      </c>
      <c r="AA285" s="330">
        <v>0</v>
      </c>
      <c r="AB285" s="330">
        <v>1</v>
      </c>
      <c r="AC285" s="330">
        <v>1</v>
      </c>
      <c r="AD285" s="334">
        <v>2412</v>
      </c>
      <c r="AE285" s="334">
        <v>5</v>
      </c>
      <c r="AF285" s="334">
        <v>2</v>
      </c>
      <c r="AG285" s="334">
        <v>7</v>
      </c>
    </row>
    <row r="286" spans="1:33" x14ac:dyDescent="0.25">
      <c r="A286" s="329" t="s">
        <v>626</v>
      </c>
      <c r="B286" s="335" t="s">
        <v>627</v>
      </c>
      <c r="C286" s="331">
        <v>29070</v>
      </c>
      <c r="D286" s="331">
        <v>102</v>
      </c>
      <c r="E286" s="331">
        <v>1435</v>
      </c>
      <c r="F286" s="331">
        <v>886</v>
      </c>
      <c r="G286" s="331">
        <v>2988</v>
      </c>
      <c r="H286" s="331">
        <v>34481</v>
      </c>
      <c r="I286" s="330">
        <v>31493</v>
      </c>
      <c r="J286" s="330">
        <v>104</v>
      </c>
      <c r="K286" s="332">
        <v>125.85</v>
      </c>
      <c r="L286" s="332">
        <v>124.06</v>
      </c>
      <c r="M286" s="332">
        <v>13.5</v>
      </c>
      <c r="N286" s="332">
        <v>138.38999999999999</v>
      </c>
      <c r="O286" s="333">
        <v>25608</v>
      </c>
      <c r="P286" s="330">
        <v>112.06</v>
      </c>
      <c r="Q286" s="330">
        <v>111.81</v>
      </c>
      <c r="R286" s="330">
        <v>48.4</v>
      </c>
      <c r="S286" s="330">
        <v>158.49</v>
      </c>
      <c r="T286" s="330">
        <v>1885</v>
      </c>
      <c r="U286" s="330">
        <v>204.26</v>
      </c>
      <c r="V286" s="330">
        <v>1777</v>
      </c>
      <c r="W286" s="330">
        <v>198.29</v>
      </c>
      <c r="X286" s="330">
        <v>119</v>
      </c>
      <c r="Y286" s="330">
        <v>0</v>
      </c>
      <c r="Z286" s="330">
        <v>71</v>
      </c>
      <c r="AA286" s="330">
        <v>116</v>
      </c>
      <c r="AB286" s="330">
        <v>389</v>
      </c>
      <c r="AC286" s="330">
        <v>144</v>
      </c>
      <c r="AD286" s="334">
        <v>27864</v>
      </c>
      <c r="AE286" s="334">
        <v>173</v>
      </c>
      <c r="AF286" s="334">
        <v>248</v>
      </c>
      <c r="AG286" s="334">
        <v>421</v>
      </c>
    </row>
    <row r="287" spans="1:33" x14ac:dyDescent="0.25">
      <c r="A287" s="329" t="s">
        <v>628</v>
      </c>
      <c r="B287" s="335" t="s">
        <v>629</v>
      </c>
      <c r="C287" s="331">
        <v>11744</v>
      </c>
      <c r="D287" s="331">
        <v>4</v>
      </c>
      <c r="E287" s="331">
        <v>430</v>
      </c>
      <c r="F287" s="331">
        <v>3349</v>
      </c>
      <c r="G287" s="331">
        <v>568</v>
      </c>
      <c r="H287" s="331">
        <v>16095</v>
      </c>
      <c r="I287" s="330">
        <v>15527</v>
      </c>
      <c r="J287" s="330">
        <v>9</v>
      </c>
      <c r="K287" s="332">
        <v>89.19</v>
      </c>
      <c r="L287" s="332">
        <v>90.53</v>
      </c>
      <c r="M287" s="332">
        <v>4.29</v>
      </c>
      <c r="N287" s="332">
        <v>93.12</v>
      </c>
      <c r="O287" s="333">
        <v>9925</v>
      </c>
      <c r="P287" s="330">
        <v>89.28</v>
      </c>
      <c r="Q287" s="330">
        <v>88.39</v>
      </c>
      <c r="R287" s="330">
        <v>21.19</v>
      </c>
      <c r="S287" s="330">
        <v>110.46</v>
      </c>
      <c r="T287" s="330">
        <v>3642</v>
      </c>
      <c r="U287" s="330">
        <v>121.05</v>
      </c>
      <c r="V287" s="330">
        <v>1706</v>
      </c>
      <c r="W287" s="330">
        <v>160</v>
      </c>
      <c r="X287" s="330">
        <v>74</v>
      </c>
      <c r="Y287" s="330">
        <v>0</v>
      </c>
      <c r="Z287" s="330">
        <v>59</v>
      </c>
      <c r="AA287" s="330">
        <v>0</v>
      </c>
      <c r="AB287" s="330">
        <v>29</v>
      </c>
      <c r="AC287" s="330">
        <v>22</v>
      </c>
      <c r="AD287" s="334">
        <v>11668</v>
      </c>
      <c r="AE287" s="334">
        <v>57</v>
      </c>
      <c r="AF287" s="334">
        <v>34</v>
      </c>
      <c r="AG287" s="334">
        <v>91</v>
      </c>
    </row>
    <row r="288" spans="1:33" x14ac:dyDescent="0.25">
      <c r="A288" s="329" t="s">
        <v>630</v>
      </c>
      <c r="B288" s="335" t="s">
        <v>631</v>
      </c>
      <c r="C288" s="331">
        <v>6211</v>
      </c>
      <c r="D288" s="331">
        <v>0</v>
      </c>
      <c r="E288" s="331">
        <v>209</v>
      </c>
      <c r="F288" s="331">
        <v>834</v>
      </c>
      <c r="G288" s="331">
        <v>416</v>
      </c>
      <c r="H288" s="331">
        <v>7670</v>
      </c>
      <c r="I288" s="330">
        <v>7254</v>
      </c>
      <c r="J288" s="330">
        <v>1</v>
      </c>
      <c r="K288" s="332">
        <v>112</v>
      </c>
      <c r="L288" s="332">
        <v>107.42</v>
      </c>
      <c r="M288" s="332">
        <v>4.6500000000000004</v>
      </c>
      <c r="N288" s="332">
        <v>115.69</v>
      </c>
      <c r="O288" s="333">
        <v>5525</v>
      </c>
      <c r="P288" s="330">
        <v>100.21</v>
      </c>
      <c r="Q288" s="330">
        <v>91.79</v>
      </c>
      <c r="R288" s="330">
        <v>23.56</v>
      </c>
      <c r="S288" s="330">
        <v>122.72</v>
      </c>
      <c r="T288" s="330">
        <v>719</v>
      </c>
      <c r="U288" s="330">
        <v>155.36000000000001</v>
      </c>
      <c r="V288" s="330">
        <v>511</v>
      </c>
      <c r="W288" s="330">
        <v>133.58000000000001</v>
      </c>
      <c r="X288" s="330">
        <v>111</v>
      </c>
      <c r="Y288" s="330">
        <v>0</v>
      </c>
      <c r="Z288" s="330">
        <v>2</v>
      </c>
      <c r="AA288" s="330">
        <v>2</v>
      </c>
      <c r="AB288" s="330">
        <v>29</v>
      </c>
      <c r="AC288" s="330">
        <v>9</v>
      </c>
      <c r="AD288" s="334">
        <v>6056</v>
      </c>
      <c r="AE288" s="334">
        <v>25</v>
      </c>
      <c r="AF288" s="334">
        <v>23</v>
      </c>
      <c r="AG288" s="334">
        <v>48</v>
      </c>
    </row>
    <row r="289" spans="1:33" x14ac:dyDescent="0.25">
      <c r="A289" s="329" t="s">
        <v>632</v>
      </c>
      <c r="B289" s="335" t="s">
        <v>633</v>
      </c>
      <c r="C289" s="331">
        <v>1430</v>
      </c>
      <c r="D289" s="331">
        <v>2</v>
      </c>
      <c r="E289" s="331">
        <v>55</v>
      </c>
      <c r="F289" s="331">
        <v>213</v>
      </c>
      <c r="G289" s="331">
        <v>378</v>
      </c>
      <c r="H289" s="331">
        <v>2078</v>
      </c>
      <c r="I289" s="330">
        <v>1700</v>
      </c>
      <c r="J289" s="330">
        <v>1</v>
      </c>
      <c r="K289" s="332">
        <v>109.12</v>
      </c>
      <c r="L289" s="332">
        <v>109.2</v>
      </c>
      <c r="M289" s="332">
        <v>6.19</v>
      </c>
      <c r="N289" s="332">
        <v>113.33</v>
      </c>
      <c r="O289" s="333">
        <v>1009</v>
      </c>
      <c r="P289" s="330">
        <v>98.43</v>
      </c>
      <c r="Q289" s="330">
        <v>95.64</v>
      </c>
      <c r="R289" s="330">
        <v>57.67</v>
      </c>
      <c r="S289" s="330">
        <v>155.87</v>
      </c>
      <c r="T289" s="330">
        <v>253</v>
      </c>
      <c r="U289" s="330">
        <v>151.87</v>
      </c>
      <c r="V289" s="330">
        <v>391</v>
      </c>
      <c r="W289" s="330">
        <v>0</v>
      </c>
      <c r="X289" s="330">
        <v>0</v>
      </c>
      <c r="Y289" s="330">
        <v>0</v>
      </c>
      <c r="Z289" s="330">
        <v>0</v>
      </c>
      <c r="AA289" s="330">
        <v>3</v>
      </c>
      <c r="AB289" s="330">
        <v>9</v>
      </c>
      <c r="AC289" s="330">
        <v>7</v>
      </c>
      <c r="AD289" s="334">
        <v>1417</v>
      </c>
      <c r="AE289" s="334">
        <v>6</v>
      </c>
      <c r="AF289" s="334">
        <v>7</v>
      </c>
      <c r="AG289" s="334">
        <v>13</v>
      </c>
    </row>
    <row r="290" spans="1:33" x14ac:dyDescent="0.25">
      <c r="A290" s="329" t="s">
        <v>634</v>
      </c>
      <c r="B290" s="335" t="s">
        <v>635</v>
      </c>
      <c r="C290" s="331">
        <v>6580</v>
      </c>
      <c r="D290" s="331">
        <v>19</v>
      </c>
      <c r="E290" s="331">
        <v>141</v>
      </c>
      <c r="F290" s="331">
        <v>492</v>
      </c>
      <c r="G290" s="331">
        <v>594</v>
      </c>
      <c r="H290" s="331">
        <v>7826</v>
      </c>
      <c r="I290" s="330">
        <v>7232</v>
      </c>
      <c r="J290" s="330">
        <v>23</v>
      </c>
      <c r="K290" s="332">
        <v>109.29</v>
      </c>
      <c r="L290" s="332">
        <v>109.45</v>
      </c>
      <c r="M290" s="332">
        <v>5.3</v>
      </c>
      <c r="N290" s="332">
        <v>110.08</v>
      </c>
      <c r="O290" s="333">
        <v>5514</v>
      </c>
      <c r="P290" s="330">
        <v>101.07</v>
      </c>
      <c r="Q290" s="330">
        <v>94.44</v>
      </c>
      <c r="R290" s="330">
        <v>28.45</v>
      </c>
      <c r="S290" s="330">
        <v>125.88</v>
      </c>
      <c r="T290" s="330">
        <v>609</v>
      </c>
      <c r="U290" s="330">
        <v>161.88</v>
      </c>
      <c r="V290" s="330">
        <v>979</v>
      </c>
      <c r="W290" s="330">
        <v>187.96</v>
      </c>
      <c r="X290" s="330">
        <v>29</v>
      </c>
      <c r="Y290" s="330">
        <v>0</v>
      </c>
      <c r="Z290" s="330">
        <v>23</v>
      </c>
      <c r="AA290" s="330">
        <v>1</v>
      </c>
      <c r="AB290" s="330">
        <v>63</v>
      </c>
      <c r="AC290" s="330">
        <v>22</v>
      </c>
      <c r="AD290" s="334">
        <v>6522</v>
      </c>
      <c r="AE290" s="334">
        <v>30</v>
      </c>
      <c r="AF290" s="334">
        <v>14</v>
      </c>
      <c r="AG290" s="334">
        <v>44</v>
      </c>
    </row>
    <row r="291" spans="1:33" x14ac:dyDescent="0.25">
      <c r="A291" s="329" t="s">
        <v>636</v>
      </c>
      <c r="B291" s="335" t="s">
        <v>637</v>
      </c>
      <c r="C291" s="331">
        <v>32465</v>
      </c>
      <c r="D291" s="331">
        <v>7</v>
      </c>
      <c r="E291" s="331">
        <v>2245</v>
      </c>
      <c r="F291" s="331">
        <v>619</v>
      </c>
      <c r="G291" s="331">
        <v>498</v>
      </c>
      <c r="H291" s="331">
        <v>35834</v>
      </c>
      <c r="I291" s="330">
        <v>35336</v>
      </c>
      <c r="J291" s="330">
        <v>15</v>
      </c>
      <c r="K291" s="332">
        <v>83.77</v>
      </c>
      <c r="L291" s="332">
        <v>84.3</v>
      </c>
      <c r="M291" s="332">
        <v>5.73</v>
      </c>
      <c r="N291" s="332">
        <v>84.5</v>
      </c>
      <c r="O291" s="333">
        <v>30221</v>
      </c>
      <c r="P291" s="330">
        <v>80.28</v>
      </c>
      <c r="Q291" s="330">
        <v>79.38</v>
      </c>
      <c r="R291" s="330">
        <v>37.58</v>
      </c>
      <c r="S291" s="330">
        <v>116.03</v>
      </c>
      <c r="T291" s="330">
        <v>2682</v>
      </c>
      <c r="U291" s="330">
        <v>98.48</v>
      </c>
      <c r="V291" s="330">
        <v>1854</v>
      </c>
      <c r="W291" s="330">
        <v>0</v>
      </c>
      <c r="X291" s="330">
        <v>0</v>
      </c>
      <c r="Y291" s="330">
        <v>0</v>
      </c>
      <c r="Z291" s="330">
        <v>175</v>
      </c>
      <c r="AA291" s="330">
        <v>7</v>
      </c>
      <c r="AB291" s="330">
        <v>87</v>
      </c>
      <c r="AC291" s="330">
        <v>9</v>
      </c>
      <c r="AD291" s="334">
        <v>32427</v>
      </c>
      <c r="AE291" s="334">
        <v>116</v>
      </c>
      <c r="AF291" s="334">
        <v>125</v>
      </c>
      <c r="AG291" s="334">
        <v>241</v>
      </c>
    </row>
    <row r="292" spans="1:33" x14ac:dyDescent="0.25">
      <c r="A292" s="329" t="s">
        <v>638</v>
      </c>
      <c r="B292" s="335" t="s">
        <v>639</v>
      </c>
      <c r="C292" s="331">
        <v>26888</v>
      </c>
      <c r="D292" s="331">
        <v>8</v>
      </c>
      <c r="E292" s="331">
        <v>331</v>
      </c>
      <c r="F292" s="331">
        <v>798</v>
      </c>
      <c r="G292" s="331">
        <v>511</v>
      </c>
      <c r="H292" s="331">
        <v>28536</v>
      </c>
      <c r="I292" s="330">
        <v>28025</v>
      </c>
      <c r="J292" s="330">
        <v>2</v>
      </c>
      <c r="K292" s="332">
        <v>86.48</v>
      </c>
      <c r="L292" s="332">
        <v>87.43</v>
      </c>
      <c r="M292" s="332">
        <v>8.3699999999999992</v>
      </c>
      <c r="N292" s="332">
        <v>90.63</v>
      </c>
      <c r="O292" s="333">
        <v>24879</v>
      </c>
      <c r="P292" s="330">
        <v>104.8</v>
      </c>
      <c r="Q292" s="330">
        <v>98.7</v>
      </c>
      <c r="R292" s="330">
        <v>42.97</v>
      </c>
      <c r="S292" s="330">
        <v>145.69999999999999</v>
      </c>
      <c r="T292" s="330">
        <v>1014</v>
      </c>
      <c r="U292" s="330">
        <v>107.29</v>
      </c>
      <c r="V292" s="330">
        <v>1741</v>
      </c>
      <c r="W292" s="330">
        <v>128.13999999999999</v>
      </c>
      <c r="X292" s="330">
        <v>62</v>
      </c>
      <c r="Y292" s="330">
        <v>0</v>
      </c>
      <c r="Z292" s="330">
        <v>138</v>
      </c>
      <c r="AA292" s="330">
        <v>44</v>
      </c>
      <c r="AB292" s="330">
        <v>10</v>
      </c>
      <c r="AC292" s="330">
        <v>11</v>
      </c>
      <c r="AD292" s="334">
        <v>26831</v>
      </c>
      <c r="AE292" s="334">
        <v>162</v>
      </c>
      <c r="AF292" s="334">
        <v>21</v>
      </c>
      <c r="AG292" s="334">
        <v>183</v>
      </c>
    </row>
    <row r="293" spans="1:33" x14ac:dyDescent="0.25">
      <c r="A293" s="329" t="s">
        <v>640</v>
      </c>
      <c r="B293" s="335" t="s">
        <v>641</v>
      </c>
      <c r="C293" s="331">
        <v>10628</v>
      </c>
      <c r="D293" s="331">
        <v>8</v>
      </c>
      <c r="E293" s="331">
        <v>1034</v>
      </c>
      <c r="F293" s="331">
        <v>838</v>
      </c>
      <c r="G293" s="331">
        <v>1341</v>
      </c>
      <c r="H293" s="331">
        <v>13849</v>
      </c>
      <c r="I293" s="330">
        <v>12508</v>
      </c>
      <c r="J293" s="330">
        <v>15</v>
      </c>
      <c r="K293" s="332">
        <v>122.04</v>
      </c>
      <c r="L293" s="332">
        <v>117.68</v>
      </c>
      <c r="M293" s="332">
        <v>9.6300000000000008</v>
      </c>
      <c r="N293" s="332">
        <v>126.95</v>
      </c>
      <c r="O293" s="333">
        <v>8804</v>
      </c>
      <c r="P293" s="330">
        <v>101.54</v>
      </c>
      <c r="Q293" s="330">
        <v>99.41</v>
      </c>
      <c r="R293" s="330">
        <v>34.6</v>
      </c>
      <c r="S293" s="330">
        <v>131.81</v>
      </c>
      <c r="T293" s="330">
        <v>1238</v>
      </c>
      <c r="U293" s="330">
        <v>175.4</v>
      </c>
      <c r="V293" s="330">
        <v>1326</v>
      </c>
      <c r="W293" s="330">
        <v>171.89</v>
      </c>
      <c r="X293" s="330">
        <v>62</v>
      </c>
      <c r="Y293" s="330">
        <v>0</v>
      </c>
      <c r="Z293" s="330">
        <v>8</v>
      </c>
      <c r="AA293" s="330">
        <v>2</v>
      </c>
      <c r="AB293" s="330">
        <v>177</v>
      </c>
      <c r="AC293" s="330">
        <v>18</v>
      </c>
      <c r="AD293" s="334">
        <v>10256</v>
      </c>
      <c r="AE293" s="334">
        <v>41</v>
      </c>
      <c r="AF293" s="334">
        <v>26</v>
      </c>
      <c r="AG293" s="334">
        <v>67</v>
      </c>
    </row>
    <row r="294" spans="1:33" x14ac:dyDescent="0.25">
      <c r="A294" s="329" t="s">
        <v>642</v>
      </c>
      <c r="B294" s="335" t="s">
        <v>643</v>
      </c>
      <c r="C294" s="331">
        <v>8440</v>
      </c>
      <c r="D294" s="331">
        <v>64</v>
      </c>
      <c r="E294" s="331">
        <v>1063</v>
      </c>
      <c r="F294" s="331">
        <v>1073</v>
      </c>
      <c r="G294" s="331">
        <v>2101</v>
      </c>
      <c r="H294" s="331">
        <v>12741</v>
      </c>
      <c r="I294" s="330">
        <v>10640</v>
      </c>
      <c r="J294" s="330">
        <v>161</v>
      </c>
      <c r="K294" s="332">
        <v>131.24</v>
      </c>
      <c r="L294" s="332">
        <v>137.47</v>
      </c>
      <c r="M294" s="332">
        <v>6.64</v>
      </c>
      <c r="N294" s="332">
        <v>135.37</v>
      </c>
      <c r="O294" s="333">
        <v>7542</v>
      </c>
      <c r="P294" s="330">
        <v>123.08</v>
      </c>
      <c r="Q294" s="330">
        <v>119.82</v>
      </c>
      <c r="R294" s="330">
        <v>35.9</v>
      </c>
      <c r="S294" s="330">
        <v>155.43</v>
      </c>
      <c r="T294" s="330">
        <v>2047</v>
      </c>
      <c r="U294" s="330">
        <v>203.86</v>
      </c>
      <c r="V294" s="330">
        <v>519</v>
      </c>
      <c r="W294" s="330">
        <v>231.71</v>
      </c>
      <c r="X294" s="330">
        <v>8</v>
      </c>
      <c r="Y294" s="330">
        <v>10</v>
      </c>
      <c r="Z294" s="330">
        <v>0</v>
      </c>
      <c r="AA294" s="330">
        <v>6</v>
      </c>
      <c r="AB294" s="330">
        <v>286</v>
      </c>
      <c r="AC294" s="330">
        <v>79</v>
      </c>
      <c r="AD294" s="334">
        <v>8152</v>
      </c>
      <c r="AE294" s="334">
        <v>44</v>
      </c>
      <c r="AF294" s="334">
        <v>25</v>
      </c>
      <c r="AG294" s="334">
        <v>69</v>
      </c>
    </row>
    <row r="295" spans="1:33" x14ac:dyDescent="0.25">
      <c r="A295" s="329" t="s">
        <v>644</v>
      </c>
      <c r="B295" s="335" t="s">
        <v>645</v>
      </c>
      <c r="C295" s="331">
        <v>11692</v>
      </c>
      <c r="D295" s="331">
        <v>0</v>
      </c>
      <c r="E295" s="331">
        <v>378</v>
      </c>
      <c r="F295" s="331">
        <v>2359</v>
      </c>
      <c r="G295" s="331">
        <v>663</v>
      </c>
      <c r="H295" s="331">
        <v>15092</v>
      </c>
      <c r="I295" s="330">
        <v>14429</v>
      </c>
      <c r="J295" s="330">
        <v>5</v>
      </c>
      <c r="K295" s="332">
        <v>84.86</v>
      </c>
      <c r="L295" s="332">
        <v>86.48</v>
      </c>
      <c r="M295" s="332">
        <v>5.3</v>
      </c>
      <c r="N295" s="332">
        <v>86.47</v>
      </c>
      <c r="O295" s="333">
        <v>11075</v>
      </c>
      <c r="P295" s="330">
        <v>82.32</v>
      </c>
      <c r="Q295" s="330">
        <v>84.62</v>
      </c>
      <c r="R295" s="330">
        <v>37.380000000000003</v>
      </c>
      <c r="S295" s="330">
        <v>99.56</v>
      </c>
      <c r="T295" s="330">
        <v>2694</v>
      </c>
      <c r="U295" s="330">
        <v>105.23</v>
      </c>
      <c r="V295" s="330">
        <v>560</v>
      </c>
      <c r="W295" s="330">
        <v>100.47</v>
      </c>
      <c r="X295" s="330">
        <v>2</v>
      </c>
      <c r="Y295" s="330">
        <v>0</v>
      </c>
      <c r="Z295" s="330">
        <v>61</v>
      </c>
      <c r="AA295" s="330">
        <v>0</v>
      </c>
      <c r="AB295" s="330">
        <v>29</v>
      </c>
      <c r="AC295" s="330">
        <v>10</v>
      </c>
      <c r="AD295" s="334">
        <v>11692</v>
      </c>
      <c r="AE295" s="334">
        <v>40</v>
      </c>
      <c r="AF295" s="334">
        <v>54</v>
      </c>
      <c r="AG295" s="334">
        <v>94</v>
      </c>
    </row>
    <row r="296" spans="1:33" x14ac:dyDescent="0.25">
      <c r="A296" s="329" t="s">
        <v>646</v>
      </c>
      <c r="B296" s="335" t="s">
        <v>647</v>
      </c>
      <c r="C296" s="331">
        <v>2404</v>
      </c>
      <c r="D296" s="331">
        <v>0</v>
      </c>
      <c r="E296" s="331">
        <v>162</v>
      </c>
      <c r="F296" s="331">
        <v>593</v>
      </c>
      <c r="G296" s="331">
        <v>562</v>
      </c>
      <c r="H296" s="331">
        <v>3721</v>
      </c>
      <c r="I296" s="330">
        <v>3159</v>
      </c>
      <c r="J296" s="330">
        <v>77</v>
      </c>
      <c r="K296" s="332">
        <v>103.54</v>
      </c>
      <c r="L296" s="332">
        <v>102.21</v>
      </c>
      <c r="M296" s="332">
        <v>7.26</v>
      </c>
      <c r="N296" s="332">
        <v>109.76</v>
      </c>
      <c r="O296" s="333">
        <v>1970</v>
      </c>
      <c r="P296" s="330">
        <v>95.94</v>
      </c>
      <c r="Q296" s="330">
        <v>89.56</v>
      </c>
      <c r="R296" s="330">
        <v>33.79</v>
      </c>
      <c r="S296" s="330">
        <v>129.47</v>
      </c>
      <c r="T296" s="330">
        <v>523</v>
      </c>
      <c r="U296" s="330">
        <v>133.13</v>
      </c>
      <c r="V296" s="330">
        <v>347</v>
      </c>
      <c r="W296" s="330">
        <v>190.06</v>
      </c>
      <c r="X296" s="330">
        <v>115</v>
      </c>
      <c r="Y296" s="330">
        <v>1</v>
      </c>
      <c r="Z296" s="330">
        <v>2</v>
      </c>
      <c r="AA296" s="330">
        <v>0</v>
      </c>
      <c r="AB296" s="330">
        <v>44</v>
      </c>
      <c r="AC296" s="330">
        <v>18</v>
      </c>
      <c r="AD296" s="334">
        <v>2322</v>
      </c>
      <c r="AE296" s="334">
        <v>13</v>
      </c>
      <c r="AF296" s="334">
        <v>13</v>
      </c>
      <c r="AG296" s="334">
        <v>26</v>
      </c>
    </row>
    <row r="297" spans="1:33" x14ac:dyDescent="0.25">
      <c r="A297" s="329" t="s">
        <v>648</v>
      </c>
      <c r="B297" s="335" t="s">
        <v>649</v>
      </c>
      <c r="C297" s="331">
        <v>5382</v>
      </c>
      <c r="D297" s="331">
        <v>90</v>
      </c>
      <c r="E297" s="331">
        <v>328</v>
      </c>
      <c r="F297" s="331">
        <v>599</v>
      </c>
      <c r="G297" s="331">
        <v>331</v>
      </c>
      <c r="H297" s="331">
        <v>6730</v>
      </c>
      <c r="I297" s="330">
        <v>6399</v>
      </c>
      <c r="J297" s="330">
        <v>131</v>
      </c>
      <c r="K297" s="332">
        <v>114.58</v>
      </c>
      <c r="L297" s="332">
        <v>118.57</v>
      </c>
      <c r="M297" s="332">
        <v>7.22</v>
      </c>
      <c r="N297" s="332">
        <v>117.94</v>
      </c>
      <c r="O297" s="333">
        <v>4959</v>
      </c>
      <c r="P297" s="330">
        <v>90.12</v>
      </c>
      <c r="Q297" s="330">
        <v>89.23</v>
      </c>
      <c r="R297" s="330">
        <v>34.08</v>
      </c>
      <c r="S297" s="330">
        <v>123.21</v>
      </c>
      <c r="T297" s="330">
        <v>724</v>
      </c>
      <c r="U297" s="330">
        <v>171.22</v>
      </c>
      <c r="V297" s="330">
        <v>310</v>
      </c>
      <c r="W297" s="330">
        <v>0</v>
      </c>
      <c r="X297" s="330">
        <v>0</v>
      </c>
      <c r="Y297" s="330">
        <v>0</v>
      </c>
      <c r="Z297" s="330">
        <v>20</v>
      </c>
      <c r="AA297" s="330">
        <v>0</v>
      </c>
      <c r="AB297" s="330">
        <v>16</v>
      </c>
      <c r="AC297" s="330">
        <v>31</v>
      </c>
      <c r="AD297" s="334">
        <v>5382</v>
      </c>
      <c r="AE297" s="334">
        <v>39</v>
      </c>
      <c r="AF297" s="334">
        <v>12</v>
      </c>
      <c r="AG297" s="334">
        <v>51</v>
      </c>
    </row>
    <row r="298" spans="1:33" x14ac:dyDescent="0.25">
      <c r="A298" s="329" t="s">
        <v>650</v>
      </c>
      <c r="B298" s="335" t="s">
        <v>651</v>
      </c>
      <c r="C298" s="331">
        <v>1107</v>
      </c>
      <c r="D298" s="331">
        <v>0</v>
      </c>
      <c r="E298" s="331">
        <v>128</v>
      </c>
      <c r="F298" s="331">
        <v>164</v>
      </c>
      <c r="G298" s="331">
        <v>365</v>
      </c>
      <c r="H298" s="331">
        <v>1764</v>
      </c>
      <c r="I298" s="330">
        <v>1399</v>
      </c>
      <c r="J298" s="330">
        <v>0</v>
      </c>
      <c r="K298" s="332">
        <v>119.45</v>
      </c>
      <c r="L298" s="332">
        <v>118.82</v>
      </c>
      <c r="M298" s="332">
        <v>4.7699999999999996</v>
      </c>
      <c r="N298" s="332">
        <v>123.92</v>
      </c>
      <c r="O298" s="333">
        <v>908</v>
      </c>
      <c r="P298" s="330">
        <v>103.03</v>
      </c>
      <c r="Q298" s="330">
        <v>99.41</v>
      </c>
      <c r="R298" s="330">
        <v>32.21</v>
      </c>
      <c r="S298" s="330">
        <v>134.05000000000001</v>
      </c>
      <c r="T298" s="330">
        <v>135</v>
      </c>
      <c r="U298" s="330">
        <v>180.47</v>
      </c>
      <c r="V298" s="330">
        <v>151</v>
      </c>
      <c r="W298" s="330">
        <v>121.1</v>
      </c>
      <c r="X298" s="330">
        <v>3</v>
      </c>
      <c r="Y298" s="330">
        <v>0</v>
      </c>
      <c r="Z298" s="330">
        <v>0</v>
      </c>
      <c r="AA298" s="330">
        <v>0</v>
      </c>
      <c r="AB298" s="330">
        <v>15</v>
      </c>
      <c r="AC298" s="330">
        <v>10</v>
      </c>
      <c r="AD298" s="334">
        <v>1059</v>
      </c>
      <c r="AE298" s="334">
        <v>2</v>
      </c>
      <c r="AF298" s="334">
        <v>2</v>
      </c>
      <c r="AG298" s="334">
        <v>4</v>
      </c>
    </row>
    <row r="299" spans="1:33" x14ac:dyDescent="0.25">
      <c r="A299" s="329" t="s">
        <v>652</v>
      </c>
      <c r="B299" s="335" t="s">
        <v>653</v>
      </c>
      <c r="C299" s="331">
        <v>2079</v>
      </c>
      <c r="D299" s="331">
        <v>0</v>
      </c>
      <c r="E299" s="331">
        <v>94</v>
      </c>
      <c r="F299" s="331">
        <v>343</v>
      </c>
      <c r="G299" s="331">
        <v>473</v>
      </c>
      <c r="H299" s="331">
        <v>2989</v>
      </c>
      <c r="I299" s="330">
        <v>2516</v>
      </c>
      <c r="J299" s="330">
        <v>0</v>
      </c>
      <c r="K299" s="332">
        <v>104.96</v>
      </c>
      <c r="L299" s="332">
        <v>103.16</v>
      </c>
      <c r="M299" s="332">
        <v>5.4</v>
      </c>
      <c r="N299" s="332">
        <v>109.18</v>
      </c>
      <c r="O299" s="333">
        <v>1388</v>
      </c>
      <c r="P299" s="330">
        <v>82.14</v>
      </c>
      <c r="Q299" s="330">
        <v>78.5</v>
      </c>
      <c r="R299" s="330">
        <v>37.36</v>
      </c>
      <c r="S299" s="330">
        <v>116.04</v>
      </c>
      <c r="T299" s="330">
        <v>238</v>
      </c>
      <c r="U299" s="330">
        <v>145.91999999999999</v>
      </c>
      <c r="V299" s="330">
        <v>673</v>
      </c>
      <c r="W299" s="330">
        <v>178.67</v>
      </c>
      <c r="X299" s="330">
        <v>55</v>
      </c>
      <c r="Y299" s="330">
        <v>0</v>
      </c>
      <c r="Z299" s="330">
        <v>2</v>
      </c>
      <c r="AA299" s="330">
        <v>0</v>
      </c>
      <c r="AB299" s="330">
        <v>12</v>
      </c>
      <c r="AC299" s="330">
        <v>16</v>
      </c>
      <c r="AD299" s="334">
        <v>2072</v>
      </c>
      <c r="AE299" s="334">
        <v>16</v>
      </c>
      <c r="AF299" s="334">
        <v>5</v>
      </c>
      <c r="AG299" s="334">
        <v>21</v>
      </c>
    </row>
    <row r="300" spans="1:33" x14ac:dyDescent="0.25">
      <c r="A300" s="329" t="s">
        <v>654</v>
      </c>
      <c r="B300" s="335" t="s">
        <v>655</v>
      </c>
      <c r="C300" s="331">
        <v>2709</v>
      </c>
      <c r="D300" s="331">
        <v>0</v>
      </c>
      <c r="E300" s="331">
        <v>315</v>
      </c>
      <c r="F300" s="331">
        <v>329</v>
      </c>
      <c r="G300" s="331">
        <v>346</v>
      </c>
      <c r="H300" s="331">
        <v>3699</v>
      </c>
      <c r="I300" s="330">
        <v>3353</v>
      </c>
      <c r="J300" s="330">
        <v>140</v>
      </c>
      <c r="K300" s="332">
        <v>112.42</v>
      </c>
      <c r="L300" s="332">
        <v>111.11</v>
      </c>
      <c r="M300" s="332">
        <v>7.79</v>
      </c>
      <c r="N300" s="332">
        <v>118.58</v>
      </c>
      <c r="O300" s="333">
        <v>2204</v>
      </c>
      <c r="P300" s="330">
        <v>100.91</v>
      </c>
      <c r="Q300" s="330">
        <v>98.39</v>
      </c>
      <c r="R300" s="330">
        <v>38.61</v>
      </c>
      <c r="S300" s="330">
        <v>139.36000000000001</v>
      </c>
      <c r="T300" s="330">
        <v>244</v>
      </c>
      <c r="U300" s="330">
        <v>153.26</v>
      </c>
      <c r="V300" s="330">
        <v>364</v>
      </c>
      <c r="W300" s="330">
        <v>0</v>
      </c>
      <c r="X300" s="330">
        <v>0</v>
      </c>
      <c r="Y300" s="330">
        <v>0</v>
      </c>
      <c r="Z300" s="330">
        <v>0</v>
      </c>
      <c r="AA300" s="330">
        <v>0</v>
      </c>
      <c r="AB300" s="330">
        <v>9</v>
      </c>
      <c r="AC300" s="330">
        <v>15</v>
      </c>
      <c r="AD300" s="334">
        <v>2577</v>
      </c>
      <c r="AE300" s="334">
        <v>8</v>
      </c>
      <c r="AF300" s="334">
        <v>4</v>
      </c>
      <c r="AG300" s="334">
        <v>12</v>
      </c>
    </row>
    <row r="301" spans="1:33" x14ac:dyDescent="0.25">
      <c r="A301" s="329" t="s">
        <v>656</v>
      </c>
      <c r="B301" s="335" t="s">
        <v>657</v>
      </c>
      <c r="C301" s="331">
        <v>7907</v>
      </c>
      <c r="D301" s="331">
        <v>4</v>
      </c>
      <c r="E301" s="331">
        <v>318</v>
      </c>
      <c r="F301" s="331">
        <v>819</v>
      </c>
      <c r="G301" s="331">
        <v>594</v>
      </c>
      <c r="H301" s="331">
        <v>9642</v>
      </c>
      <c r="I301" s="330">
        <v>9048</v>
      </c>
      <c r="J301" s="330">
        <v>1</v>
      </c>
      <c r="K301" s="332">
        <v>118.8</v>
      </c>
      <c r="L301" s="332">
        <v>120.41</v>
      </c>
      <c r="M301" s="332">
        <v>5.0199999999999996</v>
      </c>
      <c r="N301" s="332">
        <v>121.42</v>
      </c>
      <c r="O301" s="333">
        <v>7529</v>
      </c>
      <c r="P301" s="330">
        <v>110.98</v>
      </c>
      <c r="Q301" s="330">
        <v>96.84</v>
      </c>
      <c r="R301" s="330">
        <v>23.24</v>
      </c>
      <c r="S301" s="330">
        <v>132.85</v>
      </c>
      <c r="T301" s="330">
        <v>973</v>
      </c>
      <c r="U301" s="330">
        <v>150.69</v>
      </c>
      <c r="V301" s="330">
        <v>354</v>
      </c>
      <c r="W301" s="330">
        <v>182.81</v>
      </c>
      <c r="X301" s="330">
        <v>81</v>
      </c>
      <c r="Y301" s="330">
        <v>0</v>
      </c>
      <c r="Z301" s="330">
        <v>4</v>
      </c>
      <c r="AA301" s="330">
        <v>0</v>
      </c>
      <c r="AB301" s="330">
        <v>57</v>
      </c>
      <c r="AC301" s="330">
        <v>17</v>
      </c>
      <c r="AD301" s="334">
        <v>7893</v>
      </c>
      <c r="AE301" s="334">
        <v>21</v>
      </c>
      <c r="AF301" s="334">
        <v>10</v>
      </c>
      <c r="AG301" s="334">
        <v>31</v>
      </c>
    </row>
    <row r="302" spans="1:33" x14ac:dyDescent="0.25">
      <c r="A302" s="329" t="s">
        <v>658</v>
      </c>
      <c r="B302" s="335" t="s">
        <v>659</v>
      </c>
      <c r="C302" s="331">
        <v>2253</v>
      </c>
      <c r="D302" s="331">
        <v>8</v>
      </c>
      <c r="E302" s="331">
        <v>38</v>
      </c>
      <c r="F302" s="331">
        <v>147</v>
      </c>
      <c r="G302" s="331">
        <v>106</v>
      </c>
      <c r="H302" s="331">
        <v>2552</v>
      </c>
      <c r="I302" s="330">
        <v>2446</v>
      </c>
      <c r="J302" s="330">
        <v>3</v>
      </c>
      <c r="K302" s="332">
        <v>91.89</v>
      </c>
      <c r="L302" s="332">
        <v>82.92</v>
      </c>
      <c r="M302" s="332">
        <v>8.58</v>
      </c>
      <c r="N302" s="332">
        <v>94.88</v>
      </c>
      <c r="O302" s="333">
        <v>2112</v>
      </c>
      <c r="P302" s="330">
        <v>88.84</v>
      </c>
      <c r="Q302" s="330">
        <v>77.22</v>
      </c>
      <c r="R302" s="330">
        <v>35.06</v>
      </c>
      <c r="S302" s="330">
        <v>122.3</v>
      </c>
      <c r="T302" s="330">
        <v>110</v>
      </c>
      <c r="U302" s="330">
        <v>114.97</v>
      </c>
      <c r="V302" s="330">
        <v>98</v>
      </c>
      <c r="W302" s="330">
        <v>85.21</v>
      </c>
      <c r="X302" s="330">
        <v>4</v>
      </c>
      <c r="Y302" s="330">
        <v>0</v>
      </c>
      <c r="Z302" s="330">
        <v>5</v>
      </c>
      <c r="AA302" s="330">
        <v>0</v>
      </c>
      <c r="AB302" s="330">
        <v>8</v>
      </c>
      <c r="AC302" s="330">
        <v>4</v>
      </c>
      <c r="AD302" s="334">
        <v>2185</v>
      </c>
      <c r="AE302" s="334">
        <v>4</v>
      </c>
      <c r="AF302" s="334">
        <v>10</v>
      </c>
      <c r="AG302" s="334">
        <v>14</v>
      </c>
    </row>
    <row r="303" spans="1:33" x14ac:dyDescent="0.25">
      <c r="A303" s="329" t="s">
        <v>660</v>
      </c>
      <c r="B303" s="335" t="s">
        <v>661</v>
      </c>
      <c r="C303" s="331">
        <v>728</v>
      </c>
      <c r="D303" s="331">
        <v>5</v>
      </c>
      <c r="E303" s="331">
        <v>139</v>
      </c>
      <c r="F303" s="331">
        <v>374</v>
      </c>
      <c r="G303" s="331">
        <v>273</v>
      </c>
      <c r="H303" s="331">
        <v>1519</v>
      </c>
      <c r="I303" s="330">
        <v>1246</v>
      </c>
      <c r="J303" s="330">
        <v>0</v>
      </c>
      <c r="K303" s="332">
        <v>92.11</v>
      </c>
      <c r="L303" s="332">
        <v>89.31</v>
      </c>
      <c r="M303" s="332">
        <v>5.89</v>
      </c>
      <c r="N303" s="332">
        <v>95.82</v>
      </c>
      <c r="O303" s="333">
        <v>501</v>
      </c>
      <c r="P303" s="330">
        <v>101.58</v>
      </c>
      <c r="Q303" s="330">
        <v>94.65</v>
      </c>
      <c r="R303" s="330">
        <v>36.25</v>
      </c>
      <c r="S303" s="330">
        <v>137.38</v>
      </c>
      <c r="T303" s="330">
        <v>480</v>
      </c>
      <c r="U303" s="330">
        <v>107.28</v>
      </c>
      <c r="V303" s="330">
        <v>200</v>
      </c>
      <c r="W303" s="330">
        <v>0</v>
      </c>
      <c r="X303" s="330">
        <v>0</v>
      </c>
      <c r="Y303" s="330">
        <v>0</v>
      </c>
      <c r="Z303" s="330">
        <v>0</v>
      </c>
      <c r="AA303" s="330">
        <v>1</v>
      </c>
      <c r="AB303" s="330">
        <v>14</v>
      </c>
      <c r="AC303" s="330">
        <v>1</v>
      </c>
      <c r="AD303" s="334">
        <v>717</v>
      </c>
      <c r="AE303" s="334">
        <v>9</v>
      </c>
      <c r="AF303" s="334">
        <v>1</v>
      </c>
      <c r="AG303" s="334">
        <v>10</v>
      </c>
    </row>
    <row r="304" spans="1:33" x14ac:dyDescent="0.25">
      <c r="A304" s="329" t="s">
        <v>662</v>
      </c>
      <c r="B304" s="335" t="s">
        <v>663</v>
      </c>
      <c r="C304" s="331">
        <v>4204</v>
      </c>
      <c r="D304" s="331">
        <v>0</v>
      </c>
      <c r="E304" s="331">
        <v>60</v>
      </c>
      <c r="F304" s="331">
        <v>422</v>
      </c>
      <c r="G304" s="331">
        <v>313</v>
      </c>
      <c r="H304" s="331">
        <v>4999</v>
      </c>
      <c r="I304" s="330">
        <v>4686</v>
      </c>
      <c r="J304" s="330">
        <v>1</v>
      </c>
      <c r="K304" s="332">
        <v>80.63</v>
      </c>
      <c r="L304" s="332">
        <v>80.73</v>
      </c>
      <c r="M304" s="332">
        <v>4.62</v>
      </c>
      <c r="N304" s="332">
        <v>81.95</v>
      </c>
      <c r="O304" s="333">
        <v>4055</v>
      </c>
      <c r="P304" s="330">
        <v>75.62</v>
      </c>
      <c r="Q304" s="330">
        <v>75.66</v>
      </c>
      <c r="R304" s="330">
        <v>28.08</v>
      </c>
      <c r="S304" s="330">
        <v>103.29</v>
      </c>
      <c r="T304" s="330">
        <v>477</v>
      </c>
      <c r="U304" s="330">
        <v>97.48</v>
      </c>
      <c r="V304" s="330">
        <v>120</v>
      </c>
      <c r="W304" s="330">
        <v>0</v>
      </c>
      <c r="X304" s="330">
        <v>0</v>
      </c>
      <c r="Y304" s="330">
        <v>0</v>
      </c>
      <c r="Z304" s="330">
        <v>6</v>
      </c>
      <c r="AA304" s="330">
        <v>0</v>
      </c>
      <c r="AB304" s="330">
        <v>7</v>
      </c>
      <c r="AC304" s="330">
        <v>5</v>
      </c>
      <c r="AD304" s="334">
        <v>4185</v>
      </c>
      <c r="AE304" s="334">
        <v>42</v>
      </c>
      <c r="AF304" s="334">
        <v>4</v>
      </c>
      <c r="AG304" s="334">
        <v>46</v>
      </c>
    </row>
    <row r="305" spans="1:33" x14ac:dyDescent="0.25">
      <c r="A305" s="329" t="s">
        <v>800</v>
      </c>
      <c r="B305" s="335" t="s">
        <v>798</v>
      </c>
      <c r="C305" s="331">
        <v>10750</v>
      </c>
      <c r="D305" s="331">
        <v>39</v>
      </c>
      <c r="E305" s="331">
        <v>384</v>
      </c>
      <c r="F305" s="331">
        <v>2353</v>
      </c>
      <c r="G305" s="331">
        <v>1932</v>
      </c>
      <c r="H305" s="331">
        <v>15458</v>
      </c>
      <c r="I305" s="330">
        <v>13526</v>
      </c>
      <c r="J305" s="330">
        <v>29</v>
      </c>
      <c r="K305" s="332">
        <v>98.01</v>
      </c>
      <c r="L305" s="332">
        <v>97.7</v>
      </c>
      <c r="M305" s="332">
        <v>5.82</v>
      </c>
      <c r="N305" s="332">
        <v>101.78</v>
      </c>
      <c r="O305" s="333">
        <v>9305</v>
      </c>
      <c r="P305" s="330">
        <v>94.27</v>
      </c>
      <c r="Q305" s="330">
        <v>93.57</v>
      </c>
      <c r="R305" s="330">
        <v>29.42</v>
      </c>
      <c r="S305" s="330">
        <v>114.99</v>
      </c>
      <c r="T305" s="330">
        <v>2713</v>
      </c>
      <c r="U305" s="330">
        <v>123.47</v>
      </c>
      <c r="V305" s="330">
        <v>1052</v>
      </c>
      <c r="W305" s="330">
        <v>0</v>
      </c>
      <c r="X305" s="330">
        <v>0</v>
      </c>
      <c r="Y305" s="330">
        <v>49</v>
      </c>
      <c r="Z305" s="330">
        <v>41</v>
      </c>
      <c r="AA305" s="330">
        <v>2</v>
      </c>
      <c r="AB305" s="330">
        <v>84</v>
      </c>
      <c r="AC305" s="330">
        <v>38</v>
      </c>
      <c r="AD305" s="334">
        <v>10496</v>
      </c>
      <c r="AE305" s="334">
        <v>79</v>
      </c>
      <c r="AF305" s="334">
        <v>25</v>
      </c>
      <c r="AG305" s="334">
        <v>104</v>
      </c>
    </row>
    <row r="306" spans="1:33" x14ac:dyDescent="0.25">
      <c r="A306" s="329" t="s">
        <v>664</v>
      </c>
      <c r="B306" s="335" t="s">
        <v>665</v>
      </c>
      <c r="C306" s="331">
        <v>5480</v>
      </c>
      <c r="D306" s="331">
        <v>4</v>
      </c>
      <c r="E306" s="331">
        <v>127</v>
      </c>
      <c r="F306" s="331">
        <v>159</v>
      </c>
      <c r="G306" s="331">
        <v>541</v>
      </c>
      <c r="H306" s="331">
        <v>6311</v>
      </c>
      <c r="I306" s="330">
        <v>5770</v>
      </c>
      <c r="J306" s="330">
        <v>40</v>
      </c>
      <c r="K306" s="332">
        <v>110.48</v>
      </c>
      <c r="L306" s="332">
        <v>110.28</v>
      </c>
      <c r="M306" s="332">
        <v>4.8499999999999996</v>
      </c>
      <c r="N306" s="332">
        <v>112.26</v>
      </c>
      <c r="O306" s="333">
        <v>4927</v>
      </c>
      <c r="P306" s="330">
        <v>97.5</v>
      </c>
      <c r="Q306" s="330">
        <v>92.41</v>
      </c>
      <c r="R306" s="330">
        <v>53.69</v>
      </c>
      <c r="S306" s="330">
        <v>149.66</v>
      </c>
      <c r="T306" s="330">
        <v>281</v>
      </c>
      <c r="U306" s="330">
        <v>156.87</v>
      </c>
      <c r="V306" s="330">
        <v>403</v>
      </c>
      <c r="W306" s="330">
        <v>0</v>
      </c>
      <c r="X306" s="330">
        <v>0</v>
      </c>
      <c r="Y306" s="330">
        <v>0</v>
      </c>
      <c r="Z306" s="330">
        <v>6</v>
      </c>
      <c r="AA306" s="330">
        <v>0</v>
      </c>
      <c r="AB306" s="330">
        <v>36</v>
      </c>
      <c r="AC306" s="330">
        <v>8</v>
      </c>
      <c r="AD306" s="334">
        <v>5322</v>
      </c>
      <c r="AE306" s="334">
        <v>31</v>
      </c>
      <c r="AF306" s="334">
        <v>21</v>
      </c>
      <c r="AG306" s="334">
        <v>52</v>
      </c>
    </row>
    <row r="307" spans="1:33" x14ac:dyDescent="0.25">
      <c r="A307" s="329" t="s">
        <v>666</v>
      </c>
      <c r="B307" s="335" t="s">
        <v>667</v>
      </c>
      <c r="C307" s="331">
        <v>10472</v>
      </c>
      <c r="D307" s="331">
        <v>8</v>
      </c>
      <c r="E307" s="331">
        <v>431</v>
      </c>
      <c r="F307" s="331">
        <v>1223</v>
      </c>
      <c r="G307" s="331">
        <v>546</v>
      </c>
      <c r="H307" s="331">
        <v>12680</v>
      </c>
      <c r="I307" s="330">
        <v>12134</v>
      </c>
      <c r="J307" s="330">
        <v>3</v>
      </c>
      <c r="K307" s="332">
        <v>91.98</v>
      </c>
      <c r="L307" s="332">
        <v>91.73</v>
      </c>
      <c r="M307" s="332">
        <v>4.4400000000000004</v>
      </c>
      <c r="N307" s="332">
        <v>93.01</v>
      </c>
      <c r="O307" s="333">
        <v>9065</v>
      </c>
      <c r="P307" s="330">
        <v>87.57</v>
      </c>
      <c r="Q307" s="330">
        <v>86.25</v>
      </c>
      <c r="R307" s="330">
        <v>38.78</v>
      </c>
      <c r="S307" s="330">
        <v>124.23</v>
      </c>
      <c r="T307" s="330">
        <v>1591</v>
      </c>
      <c r="U307" s="330">
        <v>124.78</v>
      </c>
      <c r="V307" s="330">
        <v>1215</v>
      </c>
      <c r="W307" s="330">
        <v>98.2</v>
      </c>
      <c r="X307" s="330">
        <v>17</v>
      </c>
      <c r="Y307" s="330">
        <v>18</v>
      </c>
      <c r="Z307" s="330">
        <v>39</v>
      </c>
      <c r="AA307" s="330">
        <v>0</v>
      </c>
      <c r="AB307" s="330">
        <v>10</v>
      </c>
      <c r="AC307" s="330">
        <v>20</v>
      </c>
      <c r="AD307" s="334">
        <v>10386</v>
      </c>
      <c r="AE307" s="334">
        <v>60</v>
      </c>
      <c r="AF307" s="334">
        <v>31</v>
      </c>
      <c r="AG307" s="334">
        <v>91</v>
      </c>
    </row>
    <row r="308" spans="1:33" x14ac:dyDescent="0.25">
      <c r="A308" s="329" t="s">
        <v>668</v>
      </c>
      <c r="B308" s="335" t="s">
        <v>669</v>
      </c>
      <c r="C308" s="331">
        <v>12110</v>
      </c>
      <c r="D308" s="331">
        <v>907</v>
      </c>
      <c r="E308" s="331">
        <v>1360</v>
      </c>
      <c r="F308" s="331">
        <v>970</v>
      </c>
      <c r="G308" s="331">
        <v>569</v>
      </c>
      <c r="H308" s="331">
        <v>15916</v>
      </c>
      <c r="I308" s="330">
        <v>15347</v>
      </c>
      <c r="J308" s="330">
        <v>177</v>
      </c>
      <c r="K308" s="332">
        <v>130.12</v>
      </c>
      <c r="L308" s="332">
        <v>140.47999999999999</v>
      </c>
      <c r="M308" s="332">
        <v>10.94</v>
      </c>
      <c r="N308" s="332">
        <v>138.11000000000001</v>
      </c>
      <c r="O308" s="333">
        <v>9754</v>
      </c>
      <c r="P308" s="330">
        <v>117.99</v>
      </c>
      <c r="Q308" s="330">
        <v>115.57</v>
      </c>
      <c r="R308" s="330">
        <v>69.61</v>
      </c>
      <c r="S308" s="330">
        <v>166.21</v>
      </c>
      <c r="T308" s="330">
        <v>1900</v>
      </c>
      <c r="U308" s="330">
        <v>208.88</v>
      </c>
      <c r="V308" s="330">
        <v>583</v>
      </c>
      <c r="W308" s="330">
        <v>152.81</v>
      </c>
      <c r="X308" s="330">
        <v>1</v>
      </c>
      <c r="Y308" s="330">
        <v>0</v>
      </c>
      <c r="Z308" s="330">
        <v>0</v>
      </c>
      <c r="AA308" s="330">
        <v>12</v>
      </c>
      <c r="AB308" s="330">
        <v>0</v>
      </c>
      <c r="AC308" s="330">
        <v>16</v>
      </c>
      <c r="AD308" s="334">
        <v>10537</v>
      </c>
      <c r="AE308" s="334">
        <v>47</v>
      </c>
      <c r="AF308" s="334">
        <v>137</v>
      </c>
      <c r="AG308" s="334">
        <v>184</v>
      </c>
    </row>
    <row r="309" spans="1:33" x14ac:dyDescent="0.25">
      <c r="A309" s="329" t="s">
        <v>670</v>
      </c>
      <c r="B309" s="335" t="s">
        <v>671</v>
      </c>
      <c r="C309" s="331">
        <v>2005</v>
      </c>
      <c r="D309" s="331">
        <v>0</v>
      </c>
      <c r="E309" s="331">
        <v>587</v>
      </c>
      <c r="F309" s="331">
        <v>990</v>
      </c>
      <c r="G309" s="331">
        <v>96</v>
      </c>
      <c r="H309" s="331">
        <v>3678</v>
      </c>
      <c r="I309" s="330">
        <v>3582</v>
      </c>
      <c r="J309" s="330">
        <v>14</v>
      </c>
      <c r="K309" s="332">
        <v>80.28</v>
      </c>
      <c r="L309" s="332">
        <v>78.41</v>
      </c>
      <c r="M309" s="332">
        <v>8.69</v>
      </c>
      <c r="N309" s="332">
        <v>84.86</v>
      </c>
      <c r="O309" s="333">
        <v>1644</v>
      </c>
      <c r="P309" s="330">
        <v>84.84</v>
      </c>
      <c r="Q309" s="330">
        <v>75.59</v>
      </c>
      <c r="R309" s="330">
        <v>47.71</v>
      </c>
      <c r="S309" s="330">
        <v>130.53</v>
      </c>
      <c r="T309" s="330">
        <v>1424</v>
      </c>
      <c r="U309" s="330">
        <v>98.6</v>
      </c>
      <c r="V309" s="330">
        <v>241</v>
      </c>
      <c r="W309" s="330">
        <v>161.38</v>
      </c>
      <c r="X309" s="330">
        <v>20</v>
      </c>
      <c r="Y309" s="330">
        <v>0</v>
      </c>
      <c r="Z309" s="330">
        <v>1</v>
      </c>
      <c r="AA309" s="330">
        <v>16</v>
      </c>
      <c r="AB309" s="330">
        <v>26</v>
      </c>
      <c r="AC309" s="330">
        <v>3</v>
      </c>
      <c r="AD309" s="334">
        <v>1915</v>
      </c>
      <c r="AE309" s="334">
        <v>19</v>
      </c>
      <c r="AF309" s="334">
        <v>16</v>
      </c>
      <c r="AG309" s="334">
        <v>35</v>
      </c>
    </row>
    <row r="310" spans="1:33" x14ac:dyDescent="0.25">
      <c r="A310" s="329" t="s">
        <v>672</v>
      </c>
      <c r="B310" s="335" t="s">
        <v>673</v>
      </c>
      <c r="C310" s="331">
        <v>21411</v>
      </c>
      <c r="D310" s="331">
        <v>29</v>
      </c>
      <c r="E310" s="331">
        <v>657</v>
      </c>
      <c r="F310" s="331">
        <v>3037</v>
      </c>
      <c r="G310" s="331">
        <v>1410</v>
      </c>
      <c r="H310" s="331">
        <v>26544</v>
      </c>
      <c r="I310" s="330">
        <v>25134</v>
      </c>
      <c r="J310" s="330">
        <v>31</v>
      </c>
      <c r="K310" s="332">
        <v>101.06</v>
      </c>
      <c r="L310" s="332">
        <v>100.03</v>
      </c>
      <c r="M310" s="332">
        <v>3.54</v>
      </c>
      <c r="N310" s="332">
        <v>103.11</v>
      </c>
      <c r="O310" s="333">
        <v>18957</v>
      </c>
      <c r="P310" s="330">
        <v>94.13</v>
      </c>
      <c r="Q310" s="330">
        <v>90.67</v>
      </c>
      <c r="R310" s="330">
        <v>23</v>
      </c>
      <c r="S310" s="330">
        <v>116.07</v>
      </c>
      <c r="T310" s="330">
        <v>3297</v>
      </c>
      <c r="U310" s="330">
        <v>126</v>
      </c>
      <c r="V310" s="330">
        <v>1951</v>
      </c>
      <c r="W310" s="330">
        <v>125.67</v>
      </c>
      <c r="X310" s="330">
        <v>34</v>
      </c>
      <c r="Y310" s="330">
        <v>46</v>
      </c>
      <c r="Z310" s="330">
        <v>31</v>
      </c>
      <c r="AA310" s="330">
        <v>8</v>
      </c>
      <c r="AB310" s="330">
        <v>100</v>
      </c>
      <c r="AC310" s="330">
        <v>46</v>
      </c>
      <c r="AD310" s="334">
        <v>20931</v>
      </c>
      <c r="AE310" s="334">
        <v>102</v>
      </c>
      <c r="AF310" s="334">
        <v>127</v>
      </c>
      <c r="AG310" s="334">
        <v>229</v>
      </c>
    </row>
    <row r="311" spans="1:33" x14ac:dyDescent="0.25">
      <c r="A311" s="329" t="s">
        <v>674</v>
      </c>
      <c r="B311" s="335" t="s">
        <v>675</v>
      </c>
      <c r="C311" s="331">
        <v>2153</v>
      </c>
      <c r="D311" s="331">
        <v>0</v>
      </c>
      <c r="E311" s="331">
        <v>199</v>
      </c>
      <c r="F311" s="331">
        <v>224</v>
      </c>
      <c r="G311" s="331">
        <v>363</v>
      </c>
      <c r="H311" s="331">
        <v>2939</v>
      </c>
      <c r="I311" s="330">
        <v>2576</v>
      </c>
      <c r="J311" s="330">
        <v>3</v>
      </c>
      <c r="K311" s="332">
        <v>114.86</v>
      </c>
      <c r="L311" s="332">
        <v>112.77</v>
      </c>
      <c r="M311" s="332">
        <v>6.91</v>
      </c>
      <c r="N311" s="332">
        <v>121.19</v>
      </c>
      <c r="O311" s="333">
        <v>1723</v>
      </c>
      <c r="P311" s="330">
        <v>98.25</v>
      </c>
      <c r="Q311" s="330">
        <v>93.06</v>
      </c>
      <c r="R311" s="330">
        <v>43.23</v>
      </c>
      <c r="S311" s="330">
        <v>138.04</v>
      </c>
      <c r="T311" s="330">
        <v>402</v>
      </c>
      <c r="U311" s="330">
        <v>166.12</v>
      </c>
      <c r="V311" s="330">
        <v>272</v>
      </c>
      <c r="W311" s="330">
        <v>0</v>
      </c>
      <c r="X311" s="330">
        <v>0</v>
      </c>
      <c r="Y311" s="330">
        <v>51</v>
      </c>
      <c r="Z311" s="330">
        <v>1</v>
      </c>
      <c r="AA311" s="330">
        <v>7</v>
      </c>
      <c r="AB311" s="330">
        <v>30</v>
      </c>
      <c r="AC311" s="330">
        <v>11</v>
      </c>
      <c r="AD311" s="334">
        <v>2018</v>
      </c>
      <c r="AE311" s="334">
        <v>10</v>
      </c>
      <c r="AF311" s="334">
        <v>3</v>
      </c>
      <c r="AG311" s="334">
        <v>13</v>
      </c>
    </row>
    <row r="312" spans="1:33" x14ac:dyDescent="0.25">
      <c r="A312" s="329" t="s">
        <v>676</v>
      </c>
      <c r="B312" s="335" t="s">
        <v>677</v>
      </c>
      <c r="C312" s="331">
        <v>6685</v>
      </c>
      <c r="D312" s="331">
        <v>16</v>
      </c>
      <c r="E312" s="331">
        <v>207</v>
      </c>
      <c r="F312" s="331">
        <v>904</v>
      </c>
      <c r="G312" s="331">
        <v>233</v>
      </c>
      <c r="H312" s="331">
        <v>8045</v>
      </c>
      <c r="I312" s="330">
        <v>7812</v>
      </c>
      <c r="J312" s="330">
        <v>19</v>
      </c>
      <c r="K312" s="332">
        <v>123.02</v>
      </c>
      <c r="L312" s="332">
        <v>123.71</v>
      </c>
      <c r="M312" s="332">
        <v>7.84</v>
      </c>
      <c r="N312" s="332">
        <v>126.38</v>
      </c>
      <c r="O312" s="333">
        <v>6361</v>
      </c>
      <c r="P312" s="330">
        <v>109.25</v>
      </c>
      <c r="Q312" s="330">
        <v>100.77</v>
      </c>
      <c r="R312" s="330">
        <v>22.68</v>
      </c>
      <c r="S312" s="330">
        <v>131.72</v>
      </c>
      <c r="T312" s="330">
        <v>1069</v>
      </c>
      <c r="U312" s="330">
        <v>175.58</v>
      </c>
      <c r="V312" s="330">
        <v>285</v>
      </c>
      <c r="W312" s="330">
        <v>146.74</v>
      </c>
      <c r="X312" s="330">
        <v>1</v>
      </c>
      <c r="Y312" s="330">
        <v>35</v>
      </c>
      <c r="Z312" s="330">
        <v>9</v>
      </c>
      <c r="AA312" s="330">
        <v>46</v>
      </c>
      <c r="AB312" s="330">
        <v>0</v>
      </c>
      <c r="AC312" s="330">
        <v>13</v>
      </c>
      <c r="AD312" s="334">
        <v>6678</v>
      </c>
      <c r="AE312" s="334">
        <v>9</v>
      </c>
      <c r="AF312" s="334">
        <v>8</v>
      </c>
      <c r="AG312" s="334">
        <v>17</v>
      </c>
    </row>
    <row r="313" spans="1:33" x14ac:dyDescent="0.25">
      <c r="A313" s="329" t="s">
        <v>678</v>
      </c>
      <c r="B313" s="335" t="s">
        <v>679</v>
      </c>
      <c r="C313" s="331">
        <v>17898</v>
      </c>
      <c r="D313" s="331">
        <v>12</v>
      </c>
      <c r="E313" s="331">
        <v>1138</v>
      </c>
      <c r="F313" s="331">
        <v>3720</v>
      </c>
      <c r="G313" s="331">
        <v>461</v>
      </c>
      <c r="H313" s="331">
        <v>23229</v>
      </c>
      <c r="I313" s="330">
        <v>22768</v>
      </c>
      <c r="J313" s="330">
        <v>27</v>
      </c>
      <c r="K313" s="332">
        <v>87.37</v>
      </c>
      <c r="L313" s="332">
        <v>84.65</v>
      </c>
      <c r="M313" s="332">
        <v>6.94</v>
      </c>
      <c r="N313" s="332">
        <v>89.58</v>
      </c>
      <c r="O313" s="333">
        <v>14347</v>
      </c>
      <c r="P313" s="330">
        <v>84.25</v>
      </c>
      <c r="Q313" s="330">
        <v>80.239999999999995</v>
      </c>
      <c r="R313" s="330">
        <v>23.67</v>
      </c>
      <c r="S313" s="330">
        <v>106.14</v>
      </c>
      <c r="T313" s="330">
        <v>3704</v>
      </c>
      <c r="U313" s="330">
        <v>109.61</v>
      </c>
      <c r="V313" s="330">
        <v>1748</v>
      </c>
      <c r="W313" s="330">
        <v>139.83000000000001</v>
      </c>
      <c r="X313" s="330">
        <v>129</v>
      </c>
      <c r="Y313" s="330">
        <v>0</v>
      </c>
      <c r="Z313" s="330">
        <v>90</v>
      </c>
      <c r="AA313" s="330">
        <v>31</v>
      </c>
      <c r="AB313" s="330">
        <v>1</v>
      </c>
      <c r="AC313" s="330">
        <v>4</v>
      </c>
      <c r="AD313" s="334">
        <v>15970</v>
      </c>
      <c r="AE313" s="334">
        <v>107</v>
      </c>
      <c r="AF313" s="334">
        <v>384</v>
      </c>
      <c r="AG313" s="334">
        <v>491</v>
      </c>
    </row>
    <row r="314" spans="1:33" x14ac:dyDescent="0.25">
      <c r="A314" s="329" t="s">
        <v>680</v>
      </c>
      <c r="B314" s="335" t="s">
        <v>681</v>
      </c>
      <c r="C314" s="331">
        <v>874</v>
      </c>
      <c r="D314" s="331">
        <v>3</v>
      </c>
      <c r="E314" s="331">
        <v>163</v>
      </c>
      <c r="F314" s="331">
        <v>298</v>
      </c>
      <c r="G314" s="331">
        <v>255</v>
      </c>
      <c r="H314" s="331">
        <v>1593</v>
      </c>
      <c r="I314" s="330">
        <v>1338</v>
      </c>
      <c r="J314" s="330">
        <v>2</v>
      </c>
      <c r="K314" s="332">
        <v>124.37</v>
      </c>
      <c r="L314" s="332">
        <v>122.36</v>
      </c>
      <c r="M314" s="332">
        <v>9.6999999999999993</v>
      </c>
      <c r="N314" s="332">
        <v>132.29</v>
      </c>
      <c r="O314" s="333">
        <v>720</v>
      </c>
      <c r="P314" s="330">
        <v>102.34</v>
      </c>
      <c r="Q314" s="330">
        <v>93.78</v>
      </c>
      <c r="R314" s="330">
        <v>34.56</v>
      </c>
      <c r="S314" s="330">
        <v>136.32</v>
      </c>
      <c r="T314" s="330">
        <v>237</v>
      </c>
      <c r="U314" s="330">
        <v>197.54</v>
      </c>
      <c r="V314" s="330">
        <v>30</v>
      </c>
      <c r="W314" s="330">
        <v>141.56</v>
      </c>
      <c r="X314" s="330">
        <v>5</v>
      </c>
      <c r="Y314" s="330">
        <v>0</v>
      </c>
      <c r="Z314" s="330">
        <v>0</v>
      </c>
      <c r="AA314" s="330">
        <v>0</v>
      </c>
      <c r="AB314" s="330">
        <v>21</v>
      </c>
      <c r="AC314" s="330">
        <v>5</v>
      </c>
      <c r="AD314" s="334">
        <v>758</v>
      </c>
      <c r="AE314" s="334">
        <v>1</v>
      </c>
      <c r="AF314" s="334">
        <v>6</v>
      </c>
      <c r="AG314" s="334">
        <v>7</v>
      </c>
    </row>
    <row r="315" spans="1:33" x14ac:dyDescent="0.25">
      <c r="A315" s="329" t="s">
        <v>682</v>
      </c>
      <c r="B315" s="335" t="s">
        <v>683</v>
      </c>
      <c r="C315" s="331">
        <v>1480</v>
      </c>
      <c r="D315" s="331">
        <v>3</v>
      </c>
      <c r="E315" s="331">
        <v>138</v>
      </c>
      <c r="F315" s="331">
        <v>160</v>
      </c>
      <c r="G315" s="331">
        <v>607</v>
      </c>
      <c r="H315" s="331">
        <v>2388</v>
      </c>
      <c r="I315" s="330">
        <v>1781</v>
      </c>
      <c r="J315" s="330">
        <v>2</v>
      </c>
      <c r="K315" s="332">
        <v>129.08000000000001</v>
      </c>
      <c r="L315" s="332">
        <v>127.34</v>
      </c>
      <c r="M315" s="332">
        <v>6.09</v>
      </c>
      <c r="N315" s="332">
        <v>134.18</v>
      </c>
      <c r="O315" s="333">
        <v>1339</v>
      </c>
      <c r="P315" s="330">
        <v>108.92</v>
      </c>
      <c r="Q315" s="330">
        <v>105.57</v>
      </c>
      <c r="R315" s="330">
        <v>35.24</v>
      </c>
      <c r="S315" s="330">
        <v>141.81</v>
      </c>
      <c r="T315" s="330">
        <v>225</v>
      </c>
      <c r="U315" s="330">
        <v>158.09</v>
      </c>
      <c r="V315" s="330">
        <v>109</v>
      </c>
      <c r="W315" s="330">
        <v>0</v>
      </c>
      <c r="X315" s="330">
        <v>0</v>
      </c>
      <c r="Y315" s="330">
        <v>0</v>
      </c>
      <c r="Z315" s="330">
        <v>35</v>
      </c>
      <c r="AA315" s="330">
        <v>3</v>
      </c>
      <c r="AB315" s="330">
        <v>93</v>
      </c>
      <c r="AC315" s="330">
        <v>18</v>
      </c>
      <c r="AD315" s="334">
        <v>1460</v>
      </c>
      <c r="AE315" s="334">
        <v>7</v>
      </c>
      <c r="AF315" s="334">
        <v>3</v>
      </c>
      <c r="AG315" s="334">
        <v>10</v>
      </c>
    </row>
    <row r="316" spans="1:33" x14ac:dyDescent="0.25">
      <c r="A316" s="329" t="s">
        <v>684</v>
      </c>
      <c r="B316" s="335" t="s">
        <v>685</v>
      </c>
      <c r="C316" s="331">
        <v>4186</v>
      </c>
      <c r="D316" s="331">
        <v>2</v>
      </c>
      <c r="E316" s="331">
        <v>547</v>
      </c>
      <c r="F316" s="331">
        <v>1493</v>
      </c>
      <c r="G316" s="331">
        <v>285</v>
      </c>
      <c r="H316" s="331">
        <v>6513</v>
      </c>
      <c r="I316" s="330">
        <v>6228</v>
      </c>
      <c r="J316" s="330">
        <v>0</v>
      </c>
      <c r="K316" s="332">
        <v>89.31</v>
      </c>
      <c r="L316" s="332">
        <v>87.38</v>
      </c>
      <c r="M316" s="332">
        <v>6.27</v>
      </c>
      <c r="N316" s="332">
        <v>94.73</v>
      </c>
      <c r="O316" s="333">
        <v>3813</v>
      </c>
      <c r="P316" s="330">
        <v>95.43</v>
      </c>
      <c r="Q316" s="330">
        <v>91.11</v>
      </c>
      <c r="R316" s="330">
        <v>52.18</v>
      </c>
      <c r="S316" s="330">
        <v>145.4</v>
      </c>
      <c r="T316" s="330">
        <v>1868</v>
      </c>
      <c r="U316" s="330">
        <v>104.21</v>
      </c>
      <c r="V316" s="330">
        <v>234</v>
      </c>
      <c r="W316" s="330">
        <v>171.25</v>
      </c>
      <c r="X316" s="330">
        <v>36</v>
      </c>
      <c r="Y316" s="330">
        <v>0</v>
      </c>
      <c r="Z316" s="330">
        <v>3</v>
      </c>
      <c r="AA316" s="330">
        <v>2</v>
      </c>
      <c r="AB316" s="330">
        <v>0</v>
      </c>
      <c r="AC316" s="330">
        <v>12</v>
      </c>
      <c r="AD316" s="334">
        <v>4186</v>
      </c>
      <c r="AE316" s="334">
        <v>13</v>
      </c>
      <c r="AF316" s="334">
        <v>22</v>
      </c>
      <c r="AG316" s="334">
        <v>35</v>
      </c>
    </row>
    <row r="317" spans="1:33" x14ac:dyDescent="0.25">
      <c r="A317" s="329" t="s">
        <v>686</v>
      </c>
      <c r="B317" s="335" t="s">
        <v>687</v>
      </c>
      <c r="C317" s="331">
        <v>6071</v>
      </c>
      <c r="D317" s="331">
        <v>57</v>
      </c>
      <c r="E317" s="331">
        <v>389</v>
      </c>
      <c r="F317" s="331">
        <v>965</v>
      </c>
      <c r="G317" s="331">
        <v>470</v>
      </c>
      <c r="H317" s="331">
        <v>7952</v>
      </c>
      <c r="I317" s="330">
        <v>7482</v>
      </c>
      <c r="J317" s="330">
        <v>0</v>
      </c>
      <c r="K317" s="332">
        <v>87.71</v>
      </c>
      <c r="L317" s="332">
        <v>89.49</v>
      </c>
      <c r="M317" s="332">
        <v>5.56</v>
      </c>
      <c r="N317" s="332">
        <v>92.86</v>
      </c>
      <c r="O317" s="333">
        <v>5271</v>
      </c>
      <c r="P317" s="330">
        <v>79.650000000000006</v>
      </c>
      <c r="Q317" s="330">
        <v>79.39</v>
      </c>
      <c r="R317" s="330">
        <v>37.130000000000003</v>
      </c>
      <c r="S317" s="330">
        <v>115.1</v>
      </c>
      <c r="T317" s="330">
        <v>1088</v>
      </c>
      <c r="U317" s="330">
        <v>108.33</v>
      </c>
      <c r="V317" s="330">
        <v>702</v>
      </c>
      <c r="W317" s="330">
        <v>182.23</v>
      </c>
      <c r="X317" s="330">
        <v>128</v>
      </c>
      <c r="Y317" s="330">
        <v>0</v>
      </c>
      <c r="Z317" s="330">
        <v>32</v>
      </c>
      <c r="AA317" s="330">
        <v>0</v>
      </c>
      <c r="AB317" s="330">
        <v>16</v>
      </c>
      <c r="AC317" s="330">
        <v>23</v>
      </c>
      <c r="AD317" s="334">
        <v>6014</v>
      </c>
      <c r="AE317" s="334">
        <v>11</v>
      </c>
      <c r="AF317" s="334">
        <v>14</v>
      </c>
      <c r="AG317" s="334">
        <v>25</v>
      </c>
    </row>
    <row r="318" spans="1:33" x14ac:dyDescent="0.25">
      <c r="A318" s="329" t="s">
        <v>688</v>
      </c>
      <c r="B318" s="335" t="s">
        <v>689</v>
      </c>
      <c r="C318" s="331">
        <v>4038</v>
      </c>
      <c r="D318" s="331">
        <v>40</v>
      </c>
      <c r="E318" s="331">
        <v>264</v>
      </c>
      <c r="F318" s="331">
        <v>489</v>
      </c>
      <c r="G318" s="331">
        <v>137</v>
      </c>
      <c r="H318" s="331">
        <v>4968</v>
      </c>
      <c r="I318" s="330">
        <v>4831</v>
      </c>
      <c r="J318" s="330">
        <v>23</v>
      </c>
      <c r="K318" s="332">
        <v>102.04</v>
      </c>
      <c r="L318" s="332">
        <v>101.16</v>
      </c>
      <c r="M318" s="332">
        <v>6.71</v>
      </c>
      <c r="N318" s="332">
        <v>106.15</v>
      </c>
      <c r="O318" s="333">
        <v>3760</v>
      </c>
      <c r="P318" s="330">
        <v>91.18</v>
      </c>
      <c r="Q318" s="330">
        <v>85.91</v>
      </c>
      <c r="R318" s="330">
        <v>33.32</v>
      </c>
      <c r="S318" s="330">
        <v>122.63</v>
      </c>
      <c r="T318" s="330">
        <v>553</v>
      </c>
      <c r="U318" s="330">
        <v>140.37</v>
      </c>
      <c r="V318" s="330">
        <v>151</v>
      </c>
      <c r="W318" s="330">
        <v>0</v>
      </c>
      <c r="X318" s="330">
        <v>0</v>
      </c>
      <c r="Y318" s="330">
        <v>6</v>
      </c>
      <c r="Z318" s="330">
        <v>2</v>
      </c>
      <c r="AA318" s="330">
        <v>1</v>
      </c>
      <c r="AB318" s="330">
        <v>12</v>
      </c>
      <c r="AC318" s="330">
        <v>4</v>
      </c>
      <c r="AD318" s="334">
        <v>4009</v>
      </c>
      <c r="AE318" s="334">
        <v>13</v>
      </c>
      <c r="AF318" s="334">
        <v>7</v>
      </c>
      <c r="AG318" s="334">
        <v>20</v>
      </c>
    </row>
    <row r="319" spans="1:33" x14ac:dyDescent="0.25">
      <c r="A319" s="329" t="s">
        <v>690</v>
      </c>
      <c r="B319" s="335" t="s">
        <v>691</v>
      </c>
      <c r="C319" s="331">
        <v>7236</v>
      </c>
      <c r="D319" s="331">
        <v>7</v>
      </c>
      <c r="E319" s="331">
        <v>43</v>
      </c>
      <c r="F319" s="331">
        <v>856</v>
      </c>
      <c r="G319" s="331">
        <v>388</v>
      </c>
      <c r="H319" s="331">
        <v>8530</v>
      </c>
      <c r="I319" s="330">
        <v>8142</v>
      </c>
      <c r="J319" s="330">
        <v>6</v>
      </c>
      <c r="K319" s="332">
        <v>95.35</v>
      </c>
      <c r="L319" s="332">
        <v>93.57</v>
      </c>
      <c r="M319" s="332">
        <v>3.49</v>
      </c>
      <c r="N319" s="332">
        <v>97.1</v>
      </c>
      <c r="O319" s="333">
        <v>6303</v>
      </c>
      <c r="P319" s="330">
        <v>85.89</v>
      </c>
      <c r="Q319" s="330">
        <v>87.63</v>
      </c>
      <c r="R319" s="330">
        <v>31.37</v>
      </c>
      <c r="S319" s="330">
        <v>117.05</v>
      </c>
      <c r="T319" s="330">
        <v>870</v>
      </c>
      <c r="U319" s="330">
        <v>115.18</v>
      </c>
      <c r="V319" s="330">
        <v>922</v>
      </c>
      <c r="W319" s="330">
        <v>198.77</v>
      </c>
      <c r="X319" s="330">
        <v>29</v>
      </c>
      <c r="Y319" s="330">
        <v>0</v>
      </c>
      <c r="Z319" s="330">
        <v>20</v>
      </c>
      <c r="AA319" s="330">
        <v>1</v>
      </c>
      <c r="AB319" s="330">
        <v>44</v>
      </c>
      <c r="AC319" s="330">
        <v>5</v>
      </c>
      <c r="AD319" s="334">
        <v>7236</v>
      </c>
      <c r="AE319" s="334">
        <v>26</v>
      </c>
      <c r="AF319" s="334">
        <v>18</v>
      </c>
      <c r="AG319" s="334">
        <v>44</v>
      </c>
    </row>
    <row r="320" spans="1:33" x14ac:dyDescent="0.25">
      <c r="A320" s="329" t="s">
        <v>692</v>
      </c>
      <c r="B320" s="335" t="s">
        <v>693</v>
      </c>
      <c r="C320" s="331">
        <v>3226</v>
      </c>
      <c r="D320" s="331">
        <v>3</v>
      </c>
      <c r="E320" s="331">
        <v>227</v>
      </c>
      <c r="F320" s="331">
        <v>400</v>
      </c>
      <c r="G320" s="331">
        <v>133</v>
      </c>
      <c r="H320" s="331">
        <v>3989</v>
      </c>
      <c r="I320" s="330">
        <v>3856</v>
      </c>
      <c r="J320" s="330">
        <v>0</v>
      </c>
      <c r="K320" s="332">
        <v>85.93</v>
      </c>
      <c r="L320" s="332">
        <v>81</v>
      </c>
      <c r="M320" s="332">
        <v>4.38</v>
      </c>
      <c r="N320" s="332">
        <v>88.56</v>
      </c>
      <c r="O320" s="333">
        <v>2980</v>
      </c>
      <c r="P320" s="330">
        <v>92.42</v>
      </c>
      <c r="Q320" s="330">
        <v>73.88</v>
      </c>
      <c r="R320" s="330">
        <v>31.98</v>
      </c>
      <c r="S320" s="330">
        <v>122.96</v>
      </c>
      <c r="T320" s="330">
        <v>576</v>
      </c>
      <c r="U320" s="330">
        <v>103.59</v>
      </c>
      <c r="V320" s="330">
        <v>200</v>
      </c>
      <c r="W320" s="330">
        <v>0</v>
      </c>
      <c r="X320" s="330">
        <v>0</v>
      </c>
      <c r="Y320" s="330">
        <v>0</v>
      </c>
      <c r="Z320" s="330">
        <v>2</v>
      </c>
      <c r="AA320" s="330">
        <v>3</v>
      </c>
      <c r="AB320" s="330">
        <v>0</v>
      </c>
      <c r="AC320" s="330">
        <v>5</v>
      </c>
      <c r="AD320" s="334">
        <v>3195</v>
      </c>
      <c r="AE320" s="334">
        <v>19</v>
      </c>
      <c r="AF320" s="334">
        <v>32</v>
      </c>
      <c r="AG320" s="334">
        <v>51</v>
      </c>
    </row>
    <row r="321" spans="1:33" x14ac:dyDescent="0.25">
      <c r="A321" s="329" t="s">
        <v>694</v>
      </c>
      <c r="B321" s="335" t="s">
        <v>695</v>
      </c>
      <c r="C321" s="331">
        <v>4439</v>
      </c>
      <c r="D321" s="331">
        <v>0</v>
      </c>
      <c r="E321" s="331">
        <v>2214</v>
      </c>
      <c r="F321" s="331">
        <v>72</v>
      </c>
      <c r="G321" s="331">
        <v>398</v>
      </c>
      <c r="H321" s="331">
        <v>7123</v>
      </c>
      <c r="I321" s="330">
        <v>6725</v>
      </c>
      <c r="J321" s="330">
        <v>0</v>
      </c>
      <c r="K321" s="332">
        <v>89.34</v>
      </c>
      <c r="L321" s="332">
        <v>86.69</v>
      </c>
      <c r="M321" s="332">
        <v>4.72</v>
      </c>
      <c r="N321" s="332">
        <v>93.87</v>
      </c>
      <c r="O321" s="333">
        <v>4129</v>
      </c>
      <c r="P321" s="330">
        <v>85.68</v>
      </c>
      <c r="Q321" s="330">
        <v>79.61</v>
      </c>
      <c r="R321" s="330">
        <v>15.42</v>
      </c>
      <c r="S321" s="330">
        <v>101.05</v>
      </c>
      <c r="T321" s="330">
        <v>2142</v>
      </c>
      <c r="U321" s="330">
        <v>97.91</v>
      </c>
      <c r="V321" s="330">
        <v>280</v>
      </c>
      <c r="W321" s="330">
        <v>169.4</v>
      </c>
      <c r="X321" s="330">
        <v>115</v>
      </c>
      <c r="Y321" s="330">
        <v>0</v>
      </c>
      <c r="Z321" s="330">
        <v>16</v>
      </c>
      <c r="AA321" s="330">
        <v>0</v>
      </c>
      <c r="AB321" s="330">
        <v>45</v>
      </c>
      <c r="AC321" s="330">
        <v>12</v>
      </c>
      <c r="AD321" s="334">
        <v>4439</v>
      </c>
      <c r="AE321" s="334">
        <v>18</v>
      </c>
      <c r="AF321" s="334">
        <v>25</v>
      </c>
      <c r="AG321" s="334">
        <v>43</v>
      </c>
    </row>
    <row r="322" spans="1:33" x14ac:dyDescent="0.25">
      <c r="A322" s="329" t="s">
        <v>696</v>
      </c>
      <c r="B322" s="335" t="s">
        <v>697</v>
      </c>
      <c r="C322" s="331">
        <v>3873</v>
      </c>
      <c r="D322" s="331">
        <v>11</v>
      </c>
      <c r="E322" s="331">
        <v>391</v>
      </c>
      <c r="F322" s="331">
        <v>678</v>
      </c>
      <c r="G322" s="331">
        <v>411</v>
      </c>
      <c r="H322" s="331">
        <v>5364</v>
      </c>
      <c r="I322" s="330">
        <v>4953</v>
      </c>
      <c r="J322" s="330">
        <v>20</v>
      </c>
      <c r="K322" s="332">
        <v>94.11</v>
      </c>
      <c r="L322" s="332">
        <v>93.31</v>
      </c>
      <c r="M322" s="332">
        <v>6.73</v>
      </c>
      <c r="N322" s="332">
        <v>97.3</v>
      </c>
      <c r="O322" s="333">
        <v>2980</v>
      </c>
      <c r="P322" s="330">
        <v>82.24</v>
      </c>
      <c r="Q322" s="330">
        <v>77.260000000000005</v>
      </c>
      <c r="R322" s="330">
        <v>26.8</v>
      </c>
      <c r="S322" s="330">
        <v>108.32</v>
      </c>
      <c r="T322" s="330">
        <v>675</v>
      </c>
      <c r="U322" s="330">
        <v>109.62</v>
      </c>
      <c r="V322" s="330">
        <v>454</v>
      </c>
      <c r="W322" s="330">
        <v>0</v>
      </c>
      <c r="X322" s="330">
        <v>0</v>
      </c>
      <c r="Y322" s="330">
        <v>0</v>
      </c>
      <c r="Z322" s="330">
        <v>1</v>
      </c>
      <c r="AA322" s="330">
        <v>1</v>
      </c>
      <c r="AB322" s="330">
        <v>11</v>
      </c>
      <c r="AC322" s="330">
        <v>5</v>
      </c>
      <c r="AD322" s="334">
        <v>3534</v>
      </c>
      <c r="AE322" s="334">
        <v>7</v>
      </c>
      <c r="AF322" s="334">
        <v>5</v>
      </c>
      <c r="AG322" s="334">
        <v>12</v>
      </c>
    </row>
  </sheetData>
  <pageMargins left="0.7" right="0.7" top="0.75" bottom="0.75" header="0.3" footer="0.3"/>
  <pageSetup paperSize="9" orientation="portrait" r:id="rId1"/>
  <headerFooter>
    <oddFooter>&amp;C&amp;1#&amp;"Calibri"&amp;12&amp;K0078D7OFFICIAL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6D1ED10495DE94DB1659A33E5BC6327" ma:contentTypeVersion="11" ma:contentTypeDescription="Create a new document." ma:contentTypeScope="" ma:versionID="78ec334556cb2511db941a74b32f8ac8">
  <xsd:schema xmlns:xsd="http://www.w3.org/2001/XMLSchema" xmlns:xs="http://www.w3.org/2001/XMLSchema" xmlns:p="http://schemas.microsoft.com/office/2006/metadata/properties" xmlns:ns3="ca0888e1-ea96-4789-bf97-35736e00a9ce" xmlns:ns4="d9c622cc-8e44-42df-8592-1faa16b6fa1e" targetNamespace="http://schemas.microsoft.com/office/2006/metadata/properties" ma:root="true" ma:fieldsID="e0d5e9a7be2498717e6d3a78d5299426" ns3:_="" ns4:_="">
    <xsd:import namespace="ca0888e1-ea96-4789-bf97-35736e00a9ce"/>
    <xsd:import namespace="d9c622cc-8e44-42df-8592-1faa16b6fa1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88e1-ea96-4789-bf97-35736e00a9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c622cc-8e44-42df-8592-1faa16b6fa1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5B2B8A-EF39-4E21-B808-E94F438BA70C}">
  <ds:schemaRefs>
    <ds:schemaRef ds:uri="http://schemas.microsoft.com/sharepoint/v3/contenttype/forms"/>
  </ds:schemaRefs>
</ds:datastoreItem>
</file>

<file path=customXml/itemProps2.xml><?xml version="1.0" encoding="utf-8"?>
<ds:datastoreItem xmlns:ds="http://schemas.openxmlformats.org/officeDocument/2006/customXml" ds:itemID="{289E6E93-FE99-4488-90CD-3FCE20FDC4C6}">
  <ds:schemaRefs>
    <ds:schemaRef ds:uri="d9c622cc-8e44-42df-8592-1faa16b6fa1e"/>
    <ds:schemaRef ds:uri="http://schemas.microsoft.com/office/2006/metadata/properties"/>
    <ds:schemaRef ds:uri="http://purl.org/dc/elements/1.1/"/>
    <ds:schemaRef ds:uri="http://schemas.openxmlformats.org/package/2006/metadata/core-properties"/>
    <ds:schemaRef ds:uri="http://purl.org/dc/dcmitype/"/>
    <ds:schemaRef ds:uri="http://www.w3.org/XML/1998/namespace"/>
    <ds:schemaRef ds:uri="http://schemas.microsoft.com/office/2006/documentManagement/types"/>
    <ds:schemaRef ds:uri="http://schemas.microsoft.com/office/infopath/2007/PartnerControls"/>
    <ds:schemaRef ds:uri="ca0888e1-ea96-4789-bf97-35736e00a9ce"/>
    <ds:schemaRef ds:uri="http://purl.org/dc/terms/"/>
  </ds:schemaRefs>
</ds:datastoreItem>
</file>

<file path=customXml/itemProps3.xml><?xml version="1.0" encoding="utf-8"?>
<ds:datastoreItem xmlns:ds="http://schemas.openxmlformats.org/officeDocument/2006/customXml" ds:itemID="{C38E2DBB-0536-40C2-8E24-735223904C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888e1-ea96-4789-bf97-35736e00a9ce"/>
    <ds:schemaRef ds:uri="d9c622cc-8e44-42df-8592-1faa16b6fa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Introduction and Contents</vt:lpstr>
      <vt:lpstr>Glossary</vt:lpstr>
      <vt:lpstr>Version History</vt:lpstr>
      <vt:lpstr>PRP LA trend tool 2015-23</vt:lpstr>
      <vt:lpstr>How to use the search function</vt:lpstr>
      <vt:lpstr>PRPcounts</vt:lpstr>
      <vt:lpstr>Y_1</vt:lpstr>
      <vt:lpstr>Y_2</vt:lpstr>
      <vt:lpstr>Y_3</vt:lpstr>
      <vt:lpstr>Y_4</vt:lpstr>
      <vt:lpstr>Y_5</vt:lpstr>
      <vt:lpstr>Y_6</vt:lpstr>
      <vt:lpstr>Y_7</vt:lpstr>
      <vt:lpstr>Y_8</vt:lpstr>
      <vt:lpstr>Y_9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Parker</dc:creator>
  <cp:lastModifiedBy>Nick Parker</cp:lastModifiedBy>
  <cp:lastPrinted>2023-10-11T14:12:22Z</cp:lastPrinted>
  <dcterms:created xsi:type="dcterms:W3CDTF">2021-03-24T10:19:47Z</dcterms:created>
  <dcterms:modified xsi:type="dcterms:W3CDTF">2024-08-20T09:37:49Z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0x010100E6D1ED10495DE94DB1659A33E5BC6327</vt:lpwstr>
  </property>
  <property fmtid="{D5CDD505-2E9C-101B-9397-08002B2CF9AE}" pid="3" name="MSIP_Label_727fb50e-81d5-40a5-b712-4eff31972ce4_Enabled">
    <vt:lpwstr>True</vt:lpwstr>
  </property>
  <property fmtid="{D5CDD505-2E9C-101B-9397-08002B2CF9AE}" pid="4" name="MSIP_Label_727fb50e-81d5-40a5-b712-4eff31972ce4_SiteId">
    <vt:lpwstr>faa8e269-0811-4538-82e7-4d29009219bf</vt:lpwstr>
  </property>
  <property fmtid="{D5CDD505-2E9C-101B-9397-08002B2CF9AE}" pid="5" name="MSIP_Label_727fb50e-81d5-40a5-b712-4eff31972ce4_Owner">
    <vt:lpwstr>Kelly.Barrett@rsh.gov.uk</vt:lpwstr>
  </property>
  <property fmtid="{D5CDD505-2E9C-101B-9397-08002B2CF9AE}" pid="6" name="MSIP_Label_727fb50e-81d5-40a5-b712-4eff31972ce4_SetDate">
    <vt:lpwstr>2021-09-21T11:16:28.8357106Z</vt:lpwstr>
  </property>
  <property fmtid="{D5CDD505-2E9C-101B-9397-08002B2CF9AE}" pid="7" name="MSIP_Label_727fb50e-81d5-40a5-b712-4eff31972ce4_Name">
    <vt:lpwstr>Official</vt:lpwstr>
  </property>
  <property fmtid="{D5CDD505-2E9C-101B-9397-08002B2CF9AE}" pid="8" name="MSIP_Label_727fb50e-81d5-40a5-b712-4eff31972ce4_Application">
    <vt:lpwstr>Microsoft Azure Information Protection</vt:lpwstr>
  </property>
  <property fmtid="{D5CDD505-2E9C-101B-9397-08002B2CF9AE}" pid="9" name="MSIP_Label_727fb50e-81d5-40a5-b712-4eff31972ce4_ActionId">
    <vt:lpwstr>bf01dcef-0ac8-4598-816c-afa41276594c</vt:lpwstr>
  </property>
  <property fmtid="{D5CDD505-2E9C-101B-9397-08002B2CF9AE}" pid="10" name="MSIP_Label_727fb50e-81d5-40a5-b712-4eff31972ce4_Extended_MSFT_Method">
    <vt:lpwstr>Automatic</vt:lpwstr>
  </property>
  <property fmtid="{D5CDD505-2E9C-101B-9397-08002B2CF9AE}" pid="11" name="Sensitivity">
    <vt:lpwstr>Official</vt:lpwstr>
  </property>
</Properties>
</file>