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dom1\data\LSC\102PF_A\Shared\Complex Crime Unit\Workstreams\VHCCs\5. Interim Fixed Fee Offers (IFFOs)\2. Guidance and Forms\1. IFFO Calculator\"/>
    </mc:Choice>
  </mc:AlternateContent>
  <xr:revisionPtr revIDLastSave="0" documentId="13_ncr:1_{D403F000-DEEB-4937-82A4-B08769608518}" xr6:coauthVersionLast="47" xr6:coauthVersionMax="47" xr10:uidLastSave="{00000000-0000-0000-0000-000000000000}"/>
  <bookViews>
    <workbookView xWindow="-108" yWindow="-108" windowWidth="23256" windowHeight="12576" tabRatio="755" xr2:uid="{00000000-000D-0000-FFFF-FFFF00000000}"/>
  </bookViews>
  <sheets>
    <sheet name="Controls &amp; AQA Log" sheetId="21" r:id="rId1"/>
    <sheet name="Inputs" sheetId="29" r:id="rId2"/>
    <sheet name="Summary" sheetId="24" r:id="rId3"/>
    <sheet name="Model" sheetId="23" r:id="rId4"/>
    <sheet name="Data &amp; Assumptions" sheetId="22" r:id="rId5"/>
    <sheet name="Regs" sheetId="28" r:id="rId6"/>
  </sheets>
  <definedNames>
    <definedName name="AddTrialHrs_Fraud">Model!$B$9</definedName>
    <definedName name="AddTrialHrs_Murder">Model!$C$9</definedName>
    <definedName name="AssmPrint">#REF!</definedName>
    <definedName name="Breakdowns">#REF!</definedName>
    <definedName name="Category">Model!$C$57</definedName>
    <definedName name="JnrAlone">Model!$J$57</definedName>
    <definedName name="JrAloneBasic">Model!$B$89</definedName>
    <definedName name="JrAloneDAF40">Model!$E$89</definedName>
    <definedName name="JrAloneDAF50">Model!$F$89</definedName>
    <definedName name="JrAloneDAF51">Model!$G$89</definedName>
    <definedName name="JrAloneDaily_Cat1">Model!$B$23</definedName>
    <definedName name="JrAloneDaily_Cat2">Model!$C$23</definedName>
    <definedName name="JrAloneDaily_Cat3">Model!$D$23</definedName>
    <definedName name="JrAloneDaily_final">Model!$B$82</definedName>
    <definedName name="JrAloneEvi">Model!$C$89</definedName>
    <definedName name="JrAlonePrep_Cat1">Model!$B$22</definedName>
    <definedName name="JrAlonePrep_Cat2">Model!$C$22</definedName>
    <definedName name="JrAlonePrep_Cat3">Model!$D$22</definedName>
    <definedName name="JrAloneprep_final">Model!$B$81</definedName>
    <definedName name="JrAlonePrepCat1">Model!$B$22</definedName>
    <definedName name="JrAloneWit">Model!$D$89</definedName>
    <definedName name="LeadBasic">Model!$B$87</definedName>
    <definedName name="LeadDAF40">Model!$E$87</definedName>
    <definedName name="LeadDAF50">Model!$F$87</definedName>
    <definedName name="LeadDAF51">Model!$G$87</definedName>
    <definedName name="LeadEvi">Model!$C$87</definedName>
    <definedName name="LeadJnr">Model!$H$57</definedName>
    <definedName name="LeadJrDaily_Cat1">Model!$B$19</definedName>
    <definedName name="LeadJrDaily_Cat2">Model!$C$19</definedName>
    <definedName name="LeadJrDaily_Cat3">Model!$D$19</definedName>
    <definedName name="LeadJrDaily_final">Model!$B$78</definedName>
    <definedName name="LeadJrPrep_Cat1">Model!$B$18</definedName>
    <definedName name="LeadJrPrep_Cat2">Model!$C$18</definedName>
    <definedName name="LeadJrPrep_Cat3">Model!$D$18</definedName>
    <definedName name="LeadJrPrep_final">Model!$B$77</definedName>
    <definedName name="LeadJrWit">Model!$D$87</definedName>
    <definedName name="LedBasic">Model!$B$88</definedName>
    <definedName name="LedDAF40">Model!$E$88</definedName>
    <definedName name="LedDAF50">Model!$F$88</definedName>
    <definedName name="LedDAF51">Model!$G$88</definedName>
    <definedName name="LedEvi">Model!$C$88</definedName>
    <definedName name="LedJnr">Model!$I$57</definedName>
    <definedName name="LedJrDaily_Cat1">Model!$B$21</definedName>
    <definedName name="LedJrDaily_Cat2">Model!$C$21</definedName>
    <definedName name="LedJrDaily_Cat3">Model!$D$21</definedName>
    <definedName name="LedJrDaily_Final">Model!$B$80</definedName>
    <definedName name="LedJrPrep_Cat1">Model!$B$20</definedName>
    <definedName name="LedJrPrep_Cat2">Model!$C$20</definedName>
    <definedName name="LedJrPrep_Cat3">Model!$D$20</definedName>
    <definedName name="LedJrPrep_final">Model!$B$79</definedName>
    <definedName name="LedJrWit">Model!$D$88</definedName>
    <definedName name="MinsPerUnused_Fraud">Model!$B$7</definedName>
    <definedName name="MinsPerUnused_Murder">Model!$C$7</definedName>
    <definedName name="MinsPerUsed_Fraud">Model!$B$6</definedName>
    <definedName name="MinsPerUsed_Murder">Model!$C$6</definedName>
    <definedName name="Offence">Model!$K$57</definedName>
    <definedName name="OtherPrep">Model!$B$67</definedName>
    <definedName name="OtherPrep_Fraud">Model!$B$8</definedName>
    <definedName name="OtherPrep_Murder">Model!$C$8</definedName>
    <definedName name="QCBasic">Model!$B$86</definedName>
    <definedName name="QCDAF40">Model!$E$86</definedName>
    <definedName name="QCDAF50">Model!$F$86</definedName>
    <definedName name="QCDAF51">Model!$G$86</definedName>
    <definedName name="QCDaily_Cat1">Model!$B$17</definedName>
    <definedName name="QCDaily_Cat2">Model!$C$17</definedName>
    <definedName name="QCDaily_Cat3">Model!$D$17</definedName>
    <definedName name="QCDaily_final">Model!$B$76</definedName>
    <definedName name="QCevi">Model!$C$86</definedName>
    <definedName name="QCPrep_Cat1">Model!$B$16</definedName>
    <definedName name="QCPrep_Cat2">Model!$C$16</definedName>
    <definedName name="QCPrep_Cat3">Model!$D$16</definedName>
    <definedName name="QCPrep_final">Model!$B$75</definedName>
    <definedName name="QCs">Model!$G$57</definedName>
    <definedName name="QCWit">Model!$D$86</definedName>
    <definedName name="TrialDays">Model!$F$57</definedName>
    <definedName name="TrialDaysExp_Fraud">Model!$B$10</definedName>
    <definedName name="TrialDaysExp_Murder">Model!$C$10</definedName>
    <definedName name="TrialDaysRatio">Model!$B$69</definedName>
    <definedName name="TrialPrep">Model!$B$68</definedName>
    <definedName name="Unused_mins">Model!$B$66</definedName>
    <definedName name="UnusedEvi_Fraud">Model!$B$5</definedName>
    <definedName name="UnusedEvi_Murder">Model!$C$5</definedName>
    <definedName name="UnusedMat">Model!$E$57</definedName>
    <definedName name="UnusedRatio">Model!$B$64</definedName>
    <definedName name="UsedEvi">Model!$D$57</definedName>
    <definedName name="UsedEvi_Fraud">Model!$B$4</definedName>
    <definedName name="UsedEvi_min">Model!$B$65</definedName>
    <definedName name="UsedEvi_Murder">Model!$C$4</definedName>
    <definedName name="UsedEviRatio">Model!$B$63</definedName>
    <definedName name="WitExpert">Model!$M$57</definedName>
    <definedName name="WitExpertHrs">Model!$B$71</definedName>
    <definedName name="WitNonExpert">Model!$L$57</definedName>
    <definedName name="WitNonExpertHrs">Model!$B$70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5" i="23" l="1"/>
  <c r="B35" i="23"/>
  <c r="A91" i="23" l="1"/>
  <c r="B7" i="24" l="1"/>
  <c r="C7" i="24"/>
  <c r="D7" i="24"/>
  <c r="E7" i="24"/>
  <c r="F7" i="24"/>
  <c r="G7" i="24"/>
  <c r="H7" i="24"/>
  <c r="I7" i="24"/>
  <c r="J7" i="24"/>
  <c r="K7" i="24"/>
  <c r="L7" i="24"/>
  <c r="A31" i="24"/>
  <c r="B57" i="23" l="1"/>
  <c r="C57" i="23"/>
  <c r="D57" i="23"/>
  <c r="E57" i="23"/>
  <c r="F57" i="23"/>
  <c r="G57" i="23"/>
  <c r="H57" i="23"/>
  <c r="I57" i="23"/>
  <c r="J57" i="23"/>
  <c r="K57" i="23"/>
  <c r="L57" i="23"/>
  <c r="M57" i="23"/>
  <c r="A57" i="23"/>
  <c r="D42" i="24"/>
  <c r="B11" i="23" l="1"/>
  <c r="B12" i="23"/>
  <c r="C91" i="23"/>
  <c r="C37" i="24" s="1"/>
  <c r="D91" i="23"/>
  <c r="D37" i="24" s="1"/>
  <c r="E91" i="23"/>
  <c r="E37" i="24" s="1"/>
  <c r="F91" i="23"/>
  <c r="F37" i="24" s="1"/>
  <c r="G91" i="23"/>
  <c r="G37" i="24" s="1"/>
  <c r="B91" i="23"/>
  <c r="B37" i="24" s="1"/>
  <c r="A87" i="23"/>
  <c r="A88" i="23"/>
  <c r="A89" i="23"/>
  <c r="A36" i="24" s="1"/>
  <c r="A37" i="24"/>
  <c r="A86" i="23"/>
  <c r="A33" i="24" s="1"/>
  <c r="C27" i="23"/>
  <c r="C85" i="23" s="1"/>
  <c r="C32" i="24" s="1"/>
  <c r="D27" i="23"/>
  <c r="D85" i="23" s="1"/>
  <c r="D32" i="24" s="1"/>
  <c r="E27" i="23"/>
  <c r="F27" i="23"/>
  <c r="G27" i="23"/>
  <c r="B27" i="23"/>
  <c r="M53" i="28"/>
  <c r="D28" i="23" s="1"/>
  <c r="M54" i="28"/>
  <c r="D29" i="23" s="1"/>
  <c r="M55" i="28"/>
  <c r="D30" i="23" s="1"/>
  <c r="M56" i="28"/>
  <c r="D31" i="23" s="1"/>
  <c r="P53" i="28"/>
  <c r="G28" i="23" s="1"/>
  <c r="P54" i="28"/>
  <c r="G29" i="23" s="1"/>
  <c r="P55" i="28"/>
  <c r="G30" i="23" s="1"/>
  <c r="P56" i="28"/>
  <c r="G31" i="23" s="1"/>
  <c r="O56" i="28"/>
  <c r="F31" i="23" s="1"/>
  <c r="O55" i="28"/>
  <c r="F30" i="23" s="1"/>
  <c r="O54" i="28"/>
  <c r="F29" i="23" s="1"/>
  <c r="O53" i="28"/>
  <c r="F28" i="23" s="1"/>
  <c r="L53" i="28"/>
  <c r="C28" i="23" s="1"/>
  <c r="L54" i="28"/>
  <c r="C29" i="23" s="1"/>
  <c r="L55" i="28"/>
  <c r="C30" i="23" s="1"/>
  <c r="L56" i="28"/>
  <c r="C31" i="23" s="1"/>
  <c r="N53" i="28"/>
  <c r="E28" i="23" s="1"/>
  <c r="N54" i="28"/>
  <c r="E29" i="23" s="1"/>
  <c r="N55" i="28"/>
  <c r="E30" i="23" s="1"/>
  <c r="N56" i="28"/>
  <c r="E31" i="23" s="1"/>
  <c r="K56" i="28"/>
  <c r="B31" i="23" s="1"/>
  <c r="K55" i="28"/>
  <c r="B30" i="23" s="1"/>
  <c r="K54" i="28"/>
  <c r="B29" i="23" s="1"/>
  <c r="K53" i="28"/>
  <c r="B28" i="23" s="1"/>
  <c r="D12" i="23"/>
  <c r="C12" i="23"/>
  <c r="D11" i="23"/>
  <c r="C11" i="23"/>
  <c r="D10" i="23"/>
  <c r="C10" i="23"/>
  <c r="B10" i="23"/>
  <c r="D9" i="23"/>
  <c r="C9" i="23"/>
  <c r="B9" i="23"/>
  <c r="D8" i="23"/>
  <c r="C8" i="23"/>
  <c r="B8" i="23"/>
  <c r="D7" i="23"/>
  <c r="C7" i="23"/>
  <c r="B7" i="23"/>
  <c r="D6" i="23"/>
  <c r="C6" i="23"/>
  <c r="B6" i="23"/>
  <c r="D5" i="23"/>
  <c r="C5" i="23"/>
  <c r="B5" i="23"/>
  <c r="C4" i="23"/>
  <c r="D4" i="23"/>
  <c r="B4" i="23"/>
  <c r="D6" i="24"/>
  <c r="M3" i="24"/>
  <c r="M4" i="24"/>
  <c r="L38" i="24"/>
  <c r="K38" i="24"/>
  <c r="J38" i="24"/>
  <c r="I38" i="24"/>
  <c r="H38" i="24"/>
  <c r="G38" i="24"/>
  <c r="F38" i="24"/>
  <c r="E38" i="24"/>
  <c r="D38" i="24"/>
  <c r="C38" i="24"/>
  <c r="B38" i="24"/>
  <c r="A38" i="24"/>
  <c r="L37" i="24"/>
  <c r="K37" i="24"/>
  <c r="J37" i="24"/>
  <c r="I37" i="24"/>
  <c r="H37" i="24"/>
  <c r="L36" i="24"/>
  <c r="K36" i="24"/>
  <c r="J36" i="24"/>
  <c r="I36" i="24"/>
  <c r="H36" i="24"/>
  <c r="L35" i="24"/>
  <c r="K35" i="24"/>
  <c r="J35" i="24"/>
  <c r="I35" i="24"/>
  <c r="H35" i="24"/>
  <c r="A35" i="24"/>
  <c r="L34" i="24"/>
  <c r="K34" i="24"/>
  <c r="J34" i="24"/>
  <c r="I34" i="24"/>
  <c r="H34" i="24"/>
  <c r="A34" i="24"/>
  <c r="L33" i="24"/>
  <c r="K33" i="24"/>
  <c r="J33" i="24"/>
  <c r="I33" i="24"/>
  <c r="H33" i="24"/>
  <c r="L32" i="24"/>
  <c r="K32" i="24"/>
  <c r="J32" i="24"/>
  <c r="I32" i="24"/>
  <c r="H32" i="24"/>
  <c r="A32" i="24"/>
  <c r="L31" i="24"/>
  <c r="K31" i="24"/>
  <c r="J31" i="24"/>
  <c r="I31" i="24"/>
  <c r="H31" i="24"/>
  <c r="G31" i="24"/>
  <c r="F31" i="24"/>
  <c r="E31" i="24"/>
  <c r="D31" i="24"/>
  <c r="C31" i="24"/>
  <c r="B31" i="24"/>
  <c r="L30" i="24"/>
  <c r="K30" i="24"/>
  <c r="J30" i="24"/>
  <c r="I30" i="24"/>
  <c r="H30" i="24"/>
  <c r="G30" i="24"/>
  <c r="F30" i="24"/>
  <c r="E30" i="24"/>
  <c r="D30" i="24"/>
  <c r="C30" i="24"/>
  <c r="B30" i="24"/>
  <c r="A30" i="24"/>
  <c r="L29" i="24"/>
  <c r="K29" i="24"/>
  <c r="J29" i="24"/>
  <c r="I29" i="24"/>
  <c r="H29" i="24"/>
  <c r="G29" i="24"/>
  <c r="F29" i="24"/>
  <c r="E29" i="24"/>
  <c r="D29" i="24"/>
  <c r="C29" i="24"/>
  <c r="A29" i="24"/>
  <c r="L28" i="24"/>
  <c r="K28" i="24"/>
  <c r="J28" i="24"/>
  <c r="I28" i="24"/>
  <c r="H28" i="24"/>
  <c r="G28" i="24"/>
  <c r="F28" i="24"/>
  <c r="E28" i="24"/>
  <c r="D28" i="24"/>
  <c r="C28" i="24"/>
  <c r="A28" i="24"/>
  <c r="L27" i="24"/>
  <c r="K27" i="24"/>
  <c r="J27" i="24"/>
  <c r="I27" i="24"/>
  <c r="H27" i="24"/>
  <c r="G27" i="24"/>
  <c r="F27" i="24"/>
  <c r="E27" i="24"/>
  <c r="D27" i="24"/>
  <c r="C27" i="24"/>
  <c r="A27" i="24"/>
  <c r="L26" i="24"/>
  <c r="K26" i="24"/>
  <c r="J26" i="24"/>
  <c r="I26" i="24"/>
  <c r="H26" i="24"/>
  <c r="G26" i="24"/>
  <c r="F26" i="24"/>
  <c r="E26" i="24"/>
  <c r="D26" i="24"/>
  <c r="C26" i="24"/>
  <c r="A26" i="24"/>
  <c r="L25" i="24"/>
  <c r="K25" i="24"/>
  <c r="J25" i="24"/>
  <c r="I25" i="24"/>
  <c r="H25" i="24"/>
  <c r="G25" i="24"/>
  <c r="F25" i="24"/>
  <c r="E25" i="24"/>
  <c r="D25" i="24"/>
  <c r="C25" i="24"/>
  <c r="A25" i="24"/>
  <c r="L24" i="24"/>
  <c r="K24" i="24"/>
  <c r="J24" i="24"/>
  <c r="I24" i="24"/>
  <c r="H24" i="24"/>
  <c r="G24" i="24"/>
  <c r="F24" i="24"/>
  <c r="E24" i="24"/>
  <c r="D24" i="24"/>
  <c r="C24" i="24"/>
  <c r="A24" i="24"/>
  <c r="L23" i="24"/>
  <c r="K23" i="24"/>
  <c r="J23" i="24"/>
  <c r="I23" i="24"/>
  <c r="H23" i="24"/>
  <c r="G23" i="24"/>
  <c r="F23" i="24"/>
  <c r="E23" i="24"/>
  <c r="D23" i="24"/>
  <c r="C23" i="24"/>
  <c r="A23" i="24"/>
  <c r="L22" i="24"/>
  <c r="K22" i="24"/>
  <c r="J22" i="24"/>
  <c r="I22" i="24"/>
  <c r="H22" i="24"/>
  <c r="G22" i="24"/>
  <c r="F22" i="24"/>
  <c r="E22" i="24"/>
  <c r="D22" i="24"/>
  <c r="C22" i="24"/>
  <c r="A22" i="24"/>
  <c r="L21" i="24"/>
  <c r="K21" i="24"/>
  <c r="J21" i="24"/>
  <c r="I21" i="24"/>
  <c r="H21" i="24"/>
  <c r="G21" i="24"/>
  <c r="F21" i="24"/>
  <c r="E21" i="24"/>
  <c r="D21" i="24"/>
  <c r="C21" i="24"/>
  <c r="B21" i="24"/>
  <c r="A21" i="24"/>
  <c r="L20" i="24"/>
  <c r="K20" i="24"/>
  <c r="J20" i="24"/>
  <c r="I20" i="24"/>
  <c r="H20" i="24"/>
  <c r="G20" i="24"/>
  <c r="F20" i="24"/>
  <c r="E20" i="24"/>
  <c r="D20" i="24"/>
  <c r="C20" i="24"/>
  <c r="B20" i="24"/>
  <c r="A20" i="24"/>
  <c r="L19" i="24"/>
  <c r="K19" i="24"/>
  <c r="J19" i="24"/>
  <c r="I19" i="24"/>
  <c r="H19" i="24"/>
  <c r="G19" i="24"/>
  <c r="F19" i="24"/>
  <c r="E19" i="24"/>
  <c r="D19" i="24"/>
  <c r="C19" i="24"/>
  <c r="A19" i="24"/>
  <c r="L18" i="24"/>
  <c r="K18" i="24"/>
  <c r="J18" i="24"/>
  <c r="I18" i="24"/>
  <c r="H18" i="24"/>
  <c r="G18" i="24"/>
  <c r="F18" i="24"/>
  <c r="E18" i="24"/>
  <c r="D18" i="24"/>
  <c r="C18" i="24"/>
  <c r="L17" i="24"/>
  <c r="K17" i="24"/>
  <c r="J17" i="24"/>
  <c r="I17" i="24"/>
  <c r="H17" i="24"/>
  <c r="G17" i="24"/>
  <c r="F17" i="24"/>
  <c r="E17" i="24"/>
  <c r="D17" i="24"/>
  <c r="C17" i="24"/>
  <c r="L16" i="24"/>
  <c r="K16" i="24"/>
  <c r="J16" i="24"/>
  <c r="I16" i="24"/>
  <c r="H16" i="24"/>
  <c r="G16" i="24"/>
  <c r="F16" i="24"/>
  <c r="E16" i="24"/>
  <c r="D16" i="24"/>
  <c r="C16" i="24"/>
  <c r="L15" i="24"/>
  <c r="K15" i="24"/>
  <c r="J15" i="24"/>
  <c r="I15" i="24"/>
  <c r="H15" i="24"/>
  <c r="G15" i="24"/>
  <c r="F15" i="24"/>
  <c r="E15" i="24"/>
  <c r="D15" i="24"/>
  <c r="C15" i="24"/>
  <c r="L14" i="24"/>
  <c r="K14" i="24"/>
  <c r="J14" i="24"/>
  <c r="I14" i="24"/>
  <c r="H14" i="24"/>
  <c r="G14" i="24"/>
  <c r="F14" i="24"/>
  <c r="E14" i="24"/>
  <c r="D14" i="24"/>
  <c r="C14" i="24"/>
  <c r="L13" i="24"/>
  <c r="K13" i="24"/>
  <c r="J13" i="24"/>
  <c r="I13" i="24"/>
  <c r="H13" i="24"/>
  <c r="G13" i="24"/>
  <c r="F13" i="24"/>
  <c r="E13" i="24"/>
  <c r="D13" i="24"/>
  <c r="C13" i="24"/>
  <c r="L12" i="24"/>
  <c r="K12" i="24"/>
  <c r="J12" i="24"/>
  <c r="I12" i="24"/>
  <c r="H12" i="24"/>
  <c r="G12" i="24"/>
  <c r="F12" i="24"/>
  <c r="E12" i="24"/>
  <c r="D12" i="24"/>
  <c r="C12" i="24"/>
  <c r="L11" i="24"/>
  <c r="K11" i="24"/>
  <c r="J11" i="24"/>
  <c r="I11" i="24"/>
  <c r="H11" i="24"/>
  <c r="G11" i="24"/>
  <c r="F11" i="24"/>
  <c r="E11" i="24"/>
  <c r="D11" i="24"/>
  <c r="C11" i="24"/>
  <c r="L10" i="24"/>
  <c r="K10" i="24"/>
  <c r="J10" i="24"/>
  <c r="I10" i="24"/>
  <c r="H10" i="24"/>
  <c r="G10" i="24"/>
  <c r="F10" i="24"/>
  <c r="E10" i="24"/>
  <c r="D10" i="24"/>
  <c r="C10" i="24"/>
  <c r="L9" i="24"/>
  <c r="K9" i="24"/>
  <c r="J9" i="24"/>
  <c r="I9" i="24"/>
  <c r="H9" i="24"/>
  <c r="G9" i="24"/>
  <c r="F9" i="24"/>
  <c r="E9" i="24"/>
  <c r="D9" i="24"/>
  <c r="C9" i="24"/>
  <c r="A9" i="24"/>
  <c r="L8" i="24"/>
  <c r="K8" i="24"/>
  <c r="J8" i="24"/>
  <c r="I8" i="24"/>
  <c r="H8" i="24"/>
  <c r="G8" i="24"/>
  <c r="F8" i="24"/>
  <c r="E8" i="24"/>
  <c r="D8" i="24"/>
  <c r="C8" i="24"/>
  <c r="B8" i="24"/>
  <c r="A8" i="24"/>
  <c r="A7" i="24"/>
  <c r="L6" i="24"/>
  <c r="K6" i="24"/>
  <c r="J6" i="24"/>
  <c r="I6" i="24"/>
  <c r="H6" i="24"/>
  <c r="G6" i="24"/>
  <c r="F6" i="24"/>
  <c r="E6" i="24"/>
  <c r="C6" i="24"/>
  <c r="B6" i="24"/>
  <c r="A6" i="24"/>
  <c r="L5" i="24"/>
  <c r="K5" i="24"/>
  <c r="J5" i="24"/>
  <c r="I5" i="24"/>
  <c r="H5" i="24"/>
  <c r="G5" i="24"/>
  <c r="F5" i="24"/>
  <c r="E5" i="24"/>
  <c r="D5" i="24"/>
  <c r="C5" i="24"/>
  <c r="B5" i="24"/>
  <c r="A5" i="24"/>
  <c r="L4" i="24"/>
  <c r="K4" i="24"/>
  <c r="J4" i="24"/>
  <c r="I4" i="24"/>
  <c r="H4" i="24"/>
  <c r="G4" i="24"/>
  <c r="F4" i="24"/>
  <c r="E4" i="24"/>
  <c r="D4" i="24"/>
  <c r="C4" i="24"/>
  <c r="B4" i="24"/>
  <c r="A4" i="24"/>
  <c r="L3" i="24"/>
  <c r="K3" i="24"/>
  <c r="J3" i="24"/>
  <c r="I3" i="24"/>
  <c r="H3" i="24"/>
  <c r="G3" i="24"/>
  <c r="F3" i="24"/>
  <c r="E3" i="24"/>
  <c r="D3" i="24"/>
  <c r="C3" i="24"/>
  <c r="B3" i="24"/>
  <c r="A3" i="24"/>
  <c r="M5" i="24"/>
  <c r="M6" i="24"/>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35" i="24"/>
  <c r="M36" i="24"/>
  <c r="M37" i="24"/>
  <c r="B2" i="24"/>
  <c r="C2" i="24"/>
  <c r="D2" i="24"/>
  <c r="E2" i="24"/>
  <c r="F2" i="24"/>
  <c r="G2" i="24"/>
  <c r="H2" i="24"/>
  <c r="I2" i="24"/>
  <c r="J2" i="24"/>
  <c r="K2" i="24"/>
  <c r="L2" i="24"/>
  <c r="M2" i="24"/>
  <c r="B72" i="23"/>
  <c r="B19" i="24" s="1"/>
  <c r="A64" i="23"/>
  <c r="A11" i="24" s="1"/>
  <c r="A65" i="23"/>
  <c r="A12" i="24" s="1"/>
  <c r="A66" i="23"/>
  <c r="A13" i="24" s="1"/>
  <c r="A67" i="23"/>
  <c r="A14" i="24" s="1"/>
  <c r="A68" i="23"/>
  <c r="A15" i="24" s="1"/>
  <c r="A69" i="23"/>
  <c r="A16" i="24" s="1"/>
  <c r="A70" i="23"/>
  <c r="A17" i="24" s="1"/>
  <c r="A71" i="23"/>
  <c r="A18" i="24" s="1"/>
  <c r="A63" i="23"/>
  <c r="A10" i="24" l="1"/>
  <c r="L13" i="28"/>
  <c r="C23" i="23" s="1"/>
  <c r="M13" i="28"/>
  <c r="D23" i="23" s="1"/>
  <c r="L11" i="28"/>
  <c r="C21" i="23" s="1"/>
  <c r="M11" i="28"/>
  <c r="D21" i="23" s="1"/>
  <c r="L9" i="28"/>
  <c r="C19" i="23" s="1"/>
  <c r="M9" i="28"/>
  <c r="D19" i="23" s="1"/>
  <c r="L7" i="28"/>
  <c r="C17" i="23" s="1"/>
  <c r="M7" i="28"/>
  <c r="D17" i="23" s="1"/>
  <c r="K7" i="28"/>
  <c r="B17" i="23" s="1"/>
  <c r="K9" i="28"/>
  <c r="B19" i="23" s="1"/>
  <c r="K11" i="28"/>
  <c r="B21" i="23" s="1"/>
  <c r="K13" i="28"/>
  <c r="B23" i="23" s="1"/>
  <c r="K8" i="28"/>
  <c r="B18" i="23" s="1"/>
  <c r="L8" i="28"/>
  <c r="C18" i="23" s="1"/>
  <c r="M8" i="28"/>
  <c r="D18" i="23" s="1"/>
  <c r="K10" i="28"/>
  <c r="B20" i="23" s="1"/>
  <c r="L10" i="28"/>
  <c r="C20" i="23" s="1"/>
  <c r="M10" i="28"/>
  <c r="D20" i="23" s="1"/>
  <c r="K12" i="28"/>
  <c r="B22" i="23" s="1"/>
  <c r="L12" i="28"/>
  <c r="C22" i="23" s="1"/>
  <c r="M12" i="28"/>
  <c r="D22" i="23" s="1"/>
  <c r="L6" i="28"/>
  <c r="C16" i="23" s="1"/>
  <c r="M6" i="28"/>
  <c r="D16" i="23" s="1"/>
  <c r="K6" i="28"/>
  <c r="B16" i="23" s="1"/>
  <c r="D47" i="23" l="1"/>
  <c r="D86" i="23" s="1"/>
  <c r="D33" i="24" s="1"/>
  <c r="C36" i="23"/>
  <c r="C37" i="23"/>
  <c r="C38" i="23"/>
  <c r="D35" i="23"/>
  <c r="D36" i="23"/>
  <c r="D37" i="23"/>
  <c r="D38" i="23"/>
  <c r="D49" i="23"/>
  <c r="D88" i="23" s="1"/>
  <c r="D35" i="24" s="1"/>
  <c r="D50" i="23"/>
  <c r="D89" i="23" s="1"/>
  <c r="D36" i="24" s="1"/>
  <c r="D48" i="23"/>
  <c r="D87" i="23" s="1"/>
  <c r="D34" i="24" s="1"/>
  <c r="G37" i="23"/>
  <c r="E37" i="23"/>
  <c r="F37" i="23"/>
  <c r="B37" i="23"/>
  <c r="A73" i="24"/>
  <c r="B73" i="24"/>
  <c r="C73" i="24"/>
  <c r="D73" i="24"/>
  <c r="E73" i="24"/>
  <c r="G73" i="24"/>
  <c r="H73" i="24"/>
  <c r="I73" i="24"/>
  <c r="J73" i="24"/>
  <c r="K73" i="24"/>
  <c r="L73" i="24"/>
  <c r="A74" i="24"/>
  <c r="B74" i="24"/>
  <c r="C74" i="24"/>
  <c r="D74" i="24"/>
  <c r="E74" i="24"/>
  <c r="F74" i="24"/>
  <c r="G74" i="24"/>
  <c r="H74" i="24"/>
  <c r="I74" i="24"/>
  <c r="J74" i="24"/>
  <c r="K74" i="24"/>
  <c r="L74" i="24"/>
  <c r="A55" i="24"/>
  <c r="B55" i="24"/>
  <c r="C55" i="24"/>
  <c r="A56" i="24"/>
  <c r="B56" i="24"/>
  <c r="A46" i="24"/>
  <c r="B46" i="24"/>
  <c r="C46" i="24"/>
  <c r="A47" i="24"/>
  <c r="B47" i="24"/>
  <c r="A65" i="24"/>
  <c r="B65" i="24"/>
  <c r="A60" i="24"/>
  <c r="A61" i="24"/>
  <c r="A62" i="24"/>
  <c r="A63" i="24"/>
  <c r="A64" i="24"/>
  <c r="C64" i="24"/>
  <c r="B59" i="24"/>
  <c r="C59" i="24"/>
  <c r="A59" i="24"/>
  <c r="B50" i="24"/>
  <c r="C50" i="24"/>
  <c r="A54" i="24"/>
  <c r="A51" i="24"/>
  <c r="A52" i="24"/>
  <c r="A53" i="24"/>
  <c r="A50" i="24"/>
  <c r="B41" i="24"/>
  <c r="C41" i="24"/>
  <c r="A42" i="24"/>
  <c r="A43" i="24"/>
  <c r="A44" i="24"/>
  <c r="A45" i="24"/>
  <c r="A41" i="24"/>
  <c r="N28" i="24"/>
  <c r="N29" i="24"/>
  <c r="N30" i="24"/>
  <c r="N31" i="24"/>
  <c r="N32" i="24"/>
  <c r="N33" i="24"/>
  <c r="N34" i="24"/>
  <c r="N35" i="24"/>
  <c r="N36" i="24"/>
  <c r="N37" i="24"/>
  <c r="N8" i="24"/>
  <c r="N9" i="24"/>
  <c r="N10" i="24"/>
  <c r="N11" i="24"/>
  <c r="N12" i="24"/>
  <c r="N13" i="24"/>
  <c r="N14" i="24"/>
  <c r="N15" i="24"/>
  <c r="N16" i="24"/>
  <c r="N17" i="24"/>
  <c r="N18" i="24"/>
  <c r="N19" i="24"/>
  <c r="N20" i="24"/>
  <c r="N21" i="24"/>
  <c r="N22" i="24"/>
  <c r="N23" i="24"/>
  <c r="N24" i="24"/>
  <c r="N25" i="24"/>
  <c r="N26" i="24"/>
  <c r="N27" i="24"/>
  <c r="N7" i="24"/>
  <c r="A2" i="24"/>
  <c r="E85" i="23"/>
  <c r="F85" i="23"/>
  <c r="G85" i="23"/>
  <c r="G32" i="24" s="1"/>
  <c r="B85" i="23"/>
  <c r="F35" i="23"/>
  <c r="G35" i="23"/>
  <c r="E35" i="23"/>
  <c r="B79" i="23"/>
  <c r="B26" i="24" s="1"/>
  <c r="B62" i="23"/>
  <c r="G50" i="23"/>
  <c r="B50" i="23"/>
  <c r="B38" i="23"/>
  <c r="E48" i="23"/>
  <c r="B48" i="23"/>
  <c r="B36" i="23"/>
  <c r="B47" i="23"/>
  <c r="G47" i="23"/>
  <c r="E47" i="23"/>
  <c r="F47" i="23"/>
  <c r="B87" i="23" l="1"/>
  <c r="B32" i="24"/>
  <c r="F32" i="24"/>
  <c r="E87" i="23"/>
  <c r="E34" i="24" s="1"/>
  <c r="E32" i="24"/>
  <c r="B88" i="23"/>
  <c r="B89" i="23"/>
  <c r="B86" i="23"/>
  <c r="F86" i="23"/>
  <c r="F33" i="24" s="1"/>
  <c r="F89" i="23"/>
  <c r="F36" i="24" s="1"/>
  <c r="G89" i="23"/>
  <c r="G36" i="24" s="1"/>
  <c r="G86" i="23"/>
  <c r="G33" i="24" s="1"/>
  <c r="E86" i="23"/>
  <c r="E33" i="24" s="1"/>
  <c r="B9" i="24"/>
  <c r="B63" i="23"/>
  <c r="B10" i="24" s="1"/>
  <c r="B82" i="23"/>
  <c r="B29" i="24" s="1"/>
  <c r="B75" i="23"/>
  <c r="B22" i="24" s="1"/>
  <c r="B80" i="23"/>
  <c r="B27" i="24" s="1"/>
  <c r="B81" i="23"/>
  <c r="B28" i="24" s="1"/>
  <c r="B78" i="23"/>
  <c r="B25" i="24" s="1"/>
  <c r="B76" i="23"/>
  <c r="B23" i="24" s="1"/>
  <c r="B77" i="23"/>
  <c r="B24" i="24" s="1"/>
  <c r="E38" i="23"/>
  <c r="E36" i="23"/>
  <c r="C47" i="23"/>
  <c r="C86" i="23" s="1"/>
  <c r="C33" i="24" s="1"/>
  <c r="G38" i="23"/>
  <c r="C50" i="23"/>
  <c r="C89" i="23" s="1"/>
  <c r="C36" i="24" s="1"/>
  <c r="F50" i="23"/>
  <c r="F48" i="23"/>
  <c r="F87" i="23" s="1"/>
  <c r="F34" i="24" s="1"/>
  <c r="B70" i="23"/>
  <c r="F38" i="23"/>
  <c r="F36" i="23"/>
  <c r="G36" i="23"/>
  <c r="C48" i="23"/>
  <c r="C87" i="23" s="1"/>
  <c r="C34" i="24" s="1"/>
  <c r="E50" i="23"/>
  <c r="E89" i="23" s="1"/>
  <c r="G48" i="23"/>
  <c r="G87" i="23" s="1"/>
  <c r="B68" i="23"/>
  <c r="B15" i="24" s="1"/>
  <c r="B69" i="23"/>
  <c r="B16" i="24" s="1"/>
  <c r="B65" i="23"/>
  <c r="B12" i="24" s="1"/>
  <c r="B66" i="23"/>
  <c r="B13" i="24" s="1"/>
  <c r="B64" i="23"/>
  <c r="B11" i="24" s="1"/>
  <c r="B67" i="23"/>
  <c r="B14" i="24" s="1"/>
  <c r="C49" i="23"/>
  <c r="C88" i="23" s="1"/>
  <c r="C35" i="24" s="1"/>
  <c r="B49" i="23"/>
  <c r="F49" i="23"/>
  <c r="F88" i="23" s="1"/>
  <c r="F35" i="24" s="1"/>
  <c r="G49" i="23"/>
  <c r="G88" i="23" s="1"/>
  <c r="G35" i="24" s="1"/>
  <c r="E49" i="23"/>
  <c r="E88" i="23" s="1"/>
  <c r="E35" i="24" s="1"/>
  <c r="B71" i="23"/>
  <c r="E36" i="24" l="1"/>
  <c r="B147" i="23"/>
  <c r="B33" i="24"/>
  <c r="B35" i="24"/>
  <c r="B34" i="24"/>
  <c r="B36" i="24"/>
  <c r="B145" i="23"/>
  <c r="G34" i="24"/>
  <c r="B144" i="23"/>
  <c r="B146" i="23"/>
  <c r="B18" i="24"/>
  <c r="B105" i="23"/>
  <c r="B17" i="24"/>
  <c r="B103" i="23"/>
  <c r="B117" i="23"/>
  <c r="B115" i="23"/>
  <c r="B104" i="23"/>
  <c r="B116" i="23"/>
  <c r="B118" i="23"/>
  <c r="B100" i="23"/>
  <c r="B99" i="23"/>
  <c r="B134" i="23"/>
  <c r="B137" i="23" s="1"/>
  <c r="B138" i="23" l="1"/>
  <c r="C152" i="23" s="1"/>
  <c r="B140" i="23"/>
  <c r="B139" i="23"/>
  <c r="B153" i="23" s="1"/>
  <c r="B106" i="23"/>
  <c r="B111" i="23" s="1"/>
  <c r="C124" i="23" s="1"/>
  <c r="F153" i="23" l="1"/>
  <c r="B52" i="24" s="1"/>
  <c r="C153" i="23"/>
  <c r="G153" i="23" s="1"/>
  <c r="B154" i="23"/>
  <c r="C154" i="23"/>
  <c r="C151" i="23"/>
  <c r="B109" i="23"/>
  <c r="C122" i="23" s="1"/>
  <c r="G122" i="23" s="1"/>
  <c r="B110" i="23"/>
  <c r="C123" i="23" s="1"/>
  <c r="B112" i="23"/>
  <c r="B151" i="23"/>
  <c r="B152" i="23"/>
  <c r="G152" i="23"/>
  <c r="G124" i="23"/>
  <c r="B124" i="23"/>
  <c r="B156" i="23" l="1"/>
  <c r="F154" i="23"/>
  <c r="B54" i="24" s="1"/>
  <c r="F152" i="23"/>
  <c r="B53" i="24" s="1"/>
  <c r="F151" i="23"/>
  <c r="B51" i="24" s="1"/>
  <c r="G154" i="23"/>
  <c r="C54" i="24" s="1"/>
  <c r="G151" i="23"/>
  <c r="C51" i="24" s="1"/>
  <c r="B122" i="23"/>
  <c r="B123" i="23"/>
  <c r="B125" i="23"/>
  <c r="C42" i="24"/>
  <c r="C125" i="23"/>
  <c r="G125" i="23" s="1"/>
  <c r="C45" i="24" s="1"/>
  <c r="C53" i="24"/>
  <c r="C43" i="24"/>
  <c r="C156" i="23"/>
  <c r="F124" i="23"/>
  <c r="G123" i="23"/>
  <c r="C52" i="24"/>
  <c r="B160" i="23" l="1"/>
  <c r="B127" i="23"/>
  <c r="B161" i="23"/>
  <c r="C161" i="23" s="1"/>
  <c r="B163" i="23"/>
  <c r="C163" i="23" s="1"/>
  <c r="B162" i="23"/>
  <c r="C162" i="23" s="1"/>
  <c r="G156" i="23"/>
  <c r="C56" i="24" s="1"/>
  <c r="F123" i="23"/>
  <c r="B44" i="24" s="1"/>
  <c r="F122" i="23"/>
  <c r="B42" i="24" s="1"/>
  <c r="F125" i="23"/>
  <c r="B45" i="24" s="1"/>
  <c r="C127" i="23"/>
  <c r="B43" i="24"/>
  <c r="G127" i="23"/>
  <c r="C44" i="24"/>
  <c r="C160" i="23" l="1"/>
  <c r="B165" i="23"/>
  <c r="C47" i="24"/>
  <c r="F164" i="23" l="1"/>
  <c r="B64" i="24" s="1"/>
  <c r="F161" i="23"/>
  <c r="G161" i="23" s="1"/>
  <c r="C62" i="24" s="1"/>
  <c r="F163" i="23"/>
  <c r="G163" i="23" s="1"/>
  <c r="F162" i="23"/>
  <c r="G162" i="23" s="1"/>
  <c r="F160" i="23"/>
  <c r="C165" i="23"/>
  <c r="B62" i="24" l="1"/>
  <c r="B61" i="24"/>
  <c r="C61" i="24"/>
  <c r="B63" i="24"/>
  <c r="C63" i="24"/>
  <c r="B60" i="24"/>
  <c r="G160" i="23"/>
  <c r="G165" i="23" s="1"/>
  <c r="C60" i="24" l="1"/>
  <c r="G166" i="23"/>
  <c r="C65" i="24" l="1"/>
</calcChain>
</file>

<file path=xl/sharedStrings.xml><?xml version="1.0" encoding="utf-8"?>
<sst xmlns="http://schemas.openxmlformats.org/spreadsheetml/2006/main" count="695" uniqueCount="331">
  <si>
    <t>Cat</t>
  </si>
  <si>
    <t>Total</t>
  </si>
  <si>
    <t>Central</t>
  </si>
  <si>
    <t>Used Evidence pages</t>
  </si>
  <si>
    <t>Mins per used page</t>
  </si>
  <si>
    <t>Mins per unused page</t>
  </si>
  <si>
    <t>Cat 1</t>
  </si>
  <si>
    <t>Cat 2</t>
  </si>
  <si>
    <t>Led Jr prep</t>
  </si>
  <si>
    <t>Led Jr daily</t>
  </si>
  <si>
    <t>-</t>
  </si>
  <si>
    <t>Other prep (hours)</t>
  </si>
  <si>
    <t>Additional Trial hours prep per day</t>
  </si>
  <si>
    <t>Lead Jr prep</t>
  </si>
  <si>
    <t>Lead Jr daily</t>
  </si>
  <si>
    <t>Jr Alone prep</t>
  </si>
  <si>
    <t>Jr Alone daily</t>
  </si>
  <si>
    <t>Offence Type</t>
  </si>
  <si>
    <t>Cat 3</t>
  </si>
  <si>
    <t>Date</t>
  </si>
  <si>
    <t>Angus</t>
  </si>
  <si>
    <t>Used evidence</t>
  </si>
  <si>
    <t>Witness Prep hours per Non-Expert</t>
  </si>
  <si>
    <t>Witness Prep hours per Expert</t>
  </si>
  <si>
    <t>Case ID</t>
  </si>
  <si>
    <t>Fraud</t>
  </si>
  <si>
    <t>Controls &amp; AQA Log</t>
  </si>
  <si>
    <t>Overview</t>
  </si>
  <si>
    <t>Analyst(s)</t>
  </si>
  <si>
    <t>Commissioner/Customer</t>
  </si>
  <si>
    <t>Purpose</t>
  </si>
  <si>
    <t>Latest Agreed Version</t>
  </si>
  <si>
    <t>Version</t>
  </si>
  <si>
    <t>Date of Sign-Off</t>
  </si>
  <si>
    <t>Version Control</t>
  </si>
  <si>
    <t>Analyst</t>
  </si>
  <si>
    <t>Description of changes</t>
  </si>
  <si>
    <t>Checks Complete?</t>
  </si>
  <si>
    <t>Yes</t>
  </si>
  <si>
    <t>Relates to completed checks where no issues have been identified</t>
  </si>
  <si>
    <t>Recommendation</t>
  </si>
  <si>
    <t>Relates to checks which have been carried out where no major issues have been identified but where there are recommendations for improvement</t>
  </si>
  <si>
    <t>Issue</t>
  </si>
  <si>
    <t>Relates to checks which have identified major issues in the analysis which require action.</t>
  </si>
  <si>
    <t>Outstanding</t>
  </si>
  <si>
    <t>Relates to checks which have not been completed due to time or resource constraints.</t>
  </si>
  <si>
    <t>AQA Log - Developer Testing</t>
  </si>
  <si>
    <t>Item / Worksheet</t>
  </si>
  <si>
    <t>Reviewer</t>
  </si>
  <si>
    <t>Checks Completed?</t>
  </si>
  <si>
    <t>Details of Checks Performed</t>
  </si>
  <si>
    <t>Comments / Issues</t>
  </si>
  <si>
    <t>Follow-up Action Complete?</t>
  </si>
  <si>
    <t>Related Documentation</t>
  </si>
  <si>
    <t>Data &amp; Assumptions Register</t>
  </si>
  <si>
    <t>Quality</t>
  </si>
  <si>
    <t>Red</t>
  </si>
  <si>
    <t xml:space="preserve">Low quality </t>
  </si>
  <si>
    <t>Highly uncertain / little evidence to support the assumption; Data is not well understood / has major quality issues; Significant impact on analysis.</t>
  </si>
  <si>
    <t>Amber</t>
  </si>
  <si>
    <t xml:space="preserve">Mid quality </t>
  </si>
  <si>
    <t>Some evidence to support the assumption; Data is well understood. However there are quality issues; Minimal impact on the analysis outputs.</t>
  </si>
  <si>
    <t>Green</t>
  </si>
  <si>
    <t>High quality</t>
  </si>
  <si>
    <t>Reliable assumption, well understood and/or documented; Data is well understood and there are no major issues;  Amy minor issues are understood and documented.</t>
  </si>
  <si>
    <t>Impact</t>
  </si>
  <si>
    <t>Critical impact</t>
  </si>
  <si>
    <t xml:space="preserve">Core assumptions of the analysis; There are concerns about the suitability of the data set for this application; The output would be drastically affected by their change. </t>
  </si>
  <si>
    <t>Medium impact</t>
  </si>
  <si>
    <t>Assumptions with a relevant, even if not critical, impact on the outputs; Not the ideal data set for the analysis, but the best available at the time.</t>
  </si>
  <si>
    <t>Limited impact</t>
  </si>
  <si>
    <t>Marginal assumptions: their changes have no or limited impact on the outputs; Data is best available for required purpose.</t>
  </si>
  <si>
    <t>Item</t>
  </si>
  <si>
    <t>Data or Assumption?</t>
  </si>
  <si>
    <t>Source / Business Owner</t>
  </si>
  <si>
    <t>Plain English Description</t>
  </si>
  <si>
    <t>Analytical Owner</t>
  </si>
  <si>
    <t>Granularity</t>
  </si>
  <si>
    <t>Time Period Covered</t>
  </si>
  <si>
    <t>Quality RAG Rating</t>
  </si>
  <si>
    <t>Impact RAG Rating</t>
  </si>
  <si>
    <t>Manipulation from Source</t>
  </si>
  <si>
    <t>Comments</t>
  </si>
  <si>
    <t>Data</t>
  </si>
  <si>
    <t>Assumption</t>
  </si>
  <si>
    <t>Inputs</t>
  </si>
  <si>
    <t>VHCC Group</t>
  </si>
  <si>
    <t>Unused evidence</t>
  </si>
  <si>
    <t>Eleni Skaliotis</t>
  </si>
  <si>
    <t>Assumptions</t>
  </si>
  <si>
    <t>Hours preparing for trial</t>
  </si>
  <si>
    <t>Other prep</t>
  </si>
  <si>
    <t>hours</t>
  </si>
  <si>
    <t>Total hours for prep</t>
  </si>
  <si>
    <t>Lead junior</t>
  </si>
  <si>
    <t>Led junior</t>
  </si>
  <si>
    <t>Total prep and trial length</t>
  </si>
  <si>
    <t>- In the normal AGFS, unused evidence is not paid for.</t>
  </si>
  <si>
    <t>- Subtract the first 2 days. The next 38 days are paid at a high rate, the following 10 at a low rate. Days 51+ are paid at a slightly higher rate than the previous 10 days.</t>
  </si>
  <si>
    <t>VHCC</t>
  </si>
  <si>
    <t>Total evidence</t>
  </si>
  <si>
    <r>
      <t>1.</t>
    </r>
    <r>
      <rPr>
        <b/>
        <sz val="10"/>
        <color rgb="FF000000"/>
        <rFont val="Arial"/>
        <family val="2"/>
      </rPr>
      <t>Add the number of Used and Unused evidence pages together.</t>
    </r>
  </si>
  <si>
    <t>Eleni</t>
  </si>
  <si>
    <t>VHCC rates</t>
  </si>
  <si>
    <t>Led Jr</t>
  </si>
  <si>
    <t>Leading Jr</t>
  </si>
  <si>
    <t>Jr Alone</t>
  </si>
  <si>
    <t>basic</t>
  </si>
  <si>
    <t>Daily Attendance Fee 3-40</t>
  </si>
  <si>
    <t>Daily Attendance Fee 41-50</t>
  </si>
  <si>
    <t>Daily Attendance Fee 51+</t>
  </si>
  <si>
    <t xml:space="preserve">AGFS Rates </t>
  </si>
  <si>
    <t>Murder</t>
  </si>
  <si>
    <t>Terrorism</t>
  </si>
  <si>
    <t>Assumptions used for this case</t>
  </si>
  <si>
    <t>Type of case:</t>
  </si>
  <si>
    <t>Category of Case</t>
  </si>
  <si>
    <t>Uplifts</t>
  </si>
  <si>
    <t>Junior alone</t>
  </si>
  <si>
    <t>Cost per person</t>
  </si>
  <si>
    <t>Total cost</t>
  </si>
  <si>
    <t>Rounded figures</t>
  </si>
  <si>
    <t>Difference to VHCC</t>
  </si>
  <si>
    <t>Trial Days</t>
  </si>
  <si>
    <t>Number of evidence/days not included</t>
  </si>
  <si>
    <t>IFFO Model 20151009</t>
  </si>
  <si>
    <t>General assumptions</t>
  </si>
  <si>
    <t>3. Apply AGFS Trial formula:</t>
  </si>
  <si>
    <t>4. Add 2. and 3. together, then multiply by the number of that advocate type.</t>
  </si>
  <si>
    <t>VHCC Inputs</t>
  </si>
  <si>
    <t>These are the inputs per case received from Helen Rutherford or Francesca Weisman</t>
  </si>
  <si>
    <t>Stage payments</t>
  </si>
  <si>
    <t>Witness prep</t>
  </si>
  <si>
    <r>
      <t>2 .</t>
    </r>
    <r>
      <rPr>
        <b/>
        <sz val="10"/>
        <color rgb="FF000000"/>
        <rFont val="Arial"/>
        <family val="2"/>
      </rPr>
      <t>Work out the hours spent preparing for trial, hours for witness prep and other prep</t>
    </r>
  </si>
  <si>
    <r>
      <t xml:space="preserve">3. </t>
    </r>
    <r>
      <rPr>
        <b/>
        <sz val="10"/>
        <color rgb="FF000000"/>
        <rFont val="Arial"/>
        <family val="2"/>
      </rPr>
      <t>Multiply the total hours of preparation by the VHCC prep rate for the relevant advocate type and case category.</t>
    </r>
  </si>
  <si>
    <r>
      <t xml:space="preserve">4. </t>
    </r>
    <r>
      <rPr>
        <b/>
        <sz val="10"/>
        <color rgb="FF000000"/>
        <rFont val="Arial"/>
        <family val="2"/>
      </rPr>
      <t>Multiply the trial length by the VHCC daily rate, again for the relevant advocate type and case category.</t>
    </r>
  </si>
  <si>
    <r>
      <t xml:space="preserve">5. </t>
    </r>
    <r>
      <rPr>
        <b/>
        <sz val="10"/>
        <color rgb="FF000000"/>
        <rFont val="Arial"/>
        <family val="2"/>
      </rPr>
      <t>Add spend on prep and hearings together, then multiply by the number of that advocate type.</t>
    </r>
  </si>
  <si>
    <t>Model</t>
  </si>
  <si>
    <t>Checked outputs match outputs for case 698.</t>
  </si>
  <si>
    <t>Data validation - do not delete</t>
  </si>
  <si>
    <t>IFFO Model 698 v4 01102015 first offer.xlsx</t>
  </si>
  <si>
    <t>IFFO Model 698 v4 01102015 second offer.xlsx</t>
  </si>
  <si>
    <t>Modelled with Cat 1 and Cat 2, with revised PPE</t>
  </si>
  <si>
    <t>IFFO Model 698 20151009 - new layout second offer.xlsx</t>
  </si>
  <si>
    <t>IFFO Model 698 20151009 - new layout third offer.xlsx</t>
  </si>
  <si>
    <t>PART 3</t>
  </si>
  <si>
    <t>Table 1</t>
  </si>
  <si>
    <t>Preparation (hourly rates)</t>
  </si>
  <si>
    <t>Category 1 (£)</t>
  </si>
  <si>
    <t>Category 2 (£)</t>
  </si>
  <si>
    <t>Category 3 (£)</t>
  </si>
  <si>
    <t>Category 4 (£)</t>
  </si>
  <si>
    <t>Standard Rates (£)</t>
  </si>
  <si>
    <t>Litigator</t>
  </si>
  <si>
    <t>Level A</t>
  </si>
  <si>
    <t>Level B</t>
  </si>
  <si>
    <t>Level C</t>
  </si>
  <si>
    <t>Pupil/junior</t>
  </si>
  <si>
    <t>Barrister</t>
  </si>
  <si>
    <t>Leading junior</t>
  </si>
  <si>
    <t>2nd Led junior</t>
  </si>
  <si>
    <t>Solicitor Advocate</t>
  </si>
  <si>
    <t>Leading level A</t>
  </si>
  <si>
    <t>Led level A</t>
  </si>
  <si>
    <t>Leading level B</t>
  </si>
  <si>
    <t>Led level B</t>
  </si>
  <si>
    <t>Level A alone</t>
  </si>
  <si>
    <t>Level B alone</t>
  </si>
  <si>
    <t>Second advocate</t>
  </si>
  <si>
    <t>Table 2</t>
  </si>
  <si>
    <t>Advocacy rates</t>
  </si>
  <si>
    <t>Preliminary hearing (£)</t>
  </si>
  <si>
    <t>Half day (£)</t>
  </si>
  <si>
    <t>Full day (£)</t>
  </si>
  <si>
    <t>Noting junior</t>
  </si>
  <si>
    <t>Table 3</t>
  </si>
  <si>
    <t>Attendance at court with Advocate (hourly rates for litigators)</t>
  </si>
  <si>
    <t>£</t>
  </si>
  <si>
    <t>Table 4</t>
  </si>
  <si>
    <t>Travelling, waiting and mileage</t>
  </si>
  <si>
    <t>Travelling (hourly rates)</t>
  </si>
  <si>
    <t>25.00 (up to a maximum of 4 hours in one day)</t>
  </si>
  <si>
    <t>Waiting (hourly rates)</t>
  </si>
  <si>
    <t>Mileage</t>
  </si>
  <si>
    <t>00.45 per mile”</t>
  </si>
  <si>
    <t>Part 3: http://www.legislation.gov.uk/uksi/2013/2803/schedule/2/made</t>
  </si>
  <si>
    <t>?</t>
  </si>
  <si>
    <t>Changed the advocate layout to match regs, offer 3 has revised evidence pages, given by Nick Ford (LAA). The summary pages still have the same order of advocate for this IFFO, but going forward they should all be aligned. Still need to implement some of Huw's suggestions</t>
  </si>
  <si>
    <t>Huw</t>
  </si>
  <si>
    <t>That it is explained somewhere what the spreadsheet is for</t>
  </si>
  <si>
    <t>There is a brief explanation at the top of this tab, but I would go into a bit more detail (maybe on a separate tab)</t>
  </si>
  <si>
    <t>That it is clear what all the inputs mean / are for</t>
  </si>
  <si>
    <t>It is still not entirely clear what 'Used evidence pages' and 'Trial days expected' are percentages of</t>
  </si>
  <si>
    <t>That all numbers are clearly labelled, including units</t>
  </si>
  <si>
    <t>The labels are clear but the units sometimes aren't (e.g. not clear that evidence is measured in pages)</t>
  </si>
  <si>
    <t>That formulas should flow left-to-right and top-to-bottom</t>
  </si>
  <si>
    <t>A lot of calculations seem to flow from the 'Model' tab into the 'Data &amp; Assumptions' tab</t>
  </si>
  <si>
    <t>That the formulas are set out in a consistent manner</t>
  </si>
  <si>
    <t>I would use a consistent ordering for 'leading  junior' and 'led junior', particularly as they are very easily confused</t>
  </si>
  <si>
    <t>That there are no hard-coded numbers in formulas</t>
  </si>
  <si>
    <t>Sufficient error trapping has been built in to the formulas</t>
  </si>
  <si>
    <t>That there are no errors in the formulas</t>
  </si>
  <si>
    <t>The formulas in cells C155:C158 don't use the names of the ranges they are referencing - I would change for consistency</t>
  </si>
  <si>
    <t>That the numbers add up</t>
  </si>
  <si>
    <t>The rounding issue in the previous spreadsheet has been solved by adding the rounded numbers</t>
  </si>
  <si>
    <t>That it is clear what the model is doing</t>
  </si>
  <si>
    <t>The model is well annotated and there is a nice logical structure to it which makes it easy to follow</t>
  </si>
  <si>
    <t>That the formulas are easily auditable</t>
  </si>
  <si>
    <t>That the formulas work for all values of the input parameters</t>
  </si>
  <si>
    <t>The formulas in cells B148:B151 won't work if the number of trial days is less than 50. Although this is unlikely to happen in practice, it's probably worth putting in some functionality for this just in case</t>
  </si>
  <si>
    <t>That it is clear what all the calculations are for</t>
  </si>
  <si>
    <t>IFFO Model 20151009 new layout third offer</t>
  </si>
  <si>
    <t xml:space="preserve">Checked that agreed with new model 3 of applying proportions if signed off. That agree could pay payments by prep/hearing rather than divide by 3 if signed off. </t>
  </si>
  <si>
    <t xml:space="preserve">Group agreed to easier automatic calculation of proportions. Group agreed to continue to pay in 3 equal payments as it benefits us when cases crack (we do not pay 3rd fee) and it is the status quo. </t>
  </si>
  <si>
    <t>first offer for Libor cases</t>
  </si>
  <si>
    <t>IFFO Model 20151109.xlsx</t>
  </si>
  <si>
    <t>Trial days expected (note, this might be dropped as it is always 100%)</t>
  </si>
  <si>
    <t>Used Evidence (pages)</t>
  </si>
  <si>
    <t>Unused Material (pages)</t>
  </si>
  <si>
    <t>Number of Leading Juniors</t>
  </si>
  <si>
    <t>Number of Led Juniors</t>
  </si>
  <si>
    <t>Number of Junior Alone</t>
  </si>
  <si>
    <t>Number of Witnesses (non expert)</t>
  </si>
  <si>
    <t>Number of Witnesses (expert)</t>
  </si>
  <si>
    <t>What is the point of cells G85:G89? Why have these been set to 999999 / 9999999 etc.?
----
Added comment: These will need to be added for cases where we are paying for witnesses</t>
  </si>
  <si>
    <t>In cells B164:B167, only the last formula has been set up to work if the denominator is zero
-----
Added in for all and updated formulae</t>
  </si>
  <si>
    <t>The formulas using offset() work well, but you might want to consider using index(,match()) instead as offset() doesn't get picked up by formula auditing
----
Not changed for this workbook</t>
  </si>
  <si>
    <t>It's not clear (to me at least) what the staged payment calculations at the end of the VHCC section are for. If we are paying this case under the modified AGFS, are these staged payments still relevant?
----
Removed - this was a possible refinement but the group decided against it</t>
  </si>
  <si>
    <t>Helen/ Francesca</t>
  </si>
  <si>
    <t>Stages are split as 3 equal payments</t>
  </si>
  <si>
    <t>Offence K - Part 2, para 4 and 5, p21 and para 30 p38: http://www.legislation.gov.uk/uksi/2013/435/pdfs/uksi_20130435_en.pdf</t>
  </si>
  <si>
    <t>VHCC group: Sarah, John, Adam, Francesca/Helen</t>
  </si>
  <si>
    <t>AGFS rates (from Regs)</t>
  </si>
  <si>
    <t>VHCC Rates (from Regs)</t>
  </si>
  <si>
    <t>VHCC rates (from regulations)</t>
  </si>
  <si>
    <t>AGFS Rates (from Regulations)</t>
  </si>
  <si>
    <t>If the AGFS model is lower, use that fee. If the VHCC fee is lower, look at the relative proportions paid out to each advocate type under the AGFS but cap it to VHCC fee.</t>
  </si>
  <si>
    <t>Adjusting AGFS rates for Cat 1 and 3, PPE over 10k</t>
  </si>
  <si>
    <t>Final calculation is the lower of AGFS or VHCC rates</t>
  </si>
  <si>
    <t>evidence above 50 pages (not capped at 10k)</t>
  </si>
  <si>
    <r>
      <t>Unused to used ratio 
(I</t>
    </r>
    <r>
      <rPr>
        <i/>
        <sz val="10"/>
        <rFont val="Arial"/>
        <family val="2"/>
      </rPr>
      <t>n the AGFS we do not pay for unused evidence. For VHCC we pay this percentage of unused.)</t>
    </r>
  </si>
  <si>
    <t xml:space="preserve">Unused to used ratio </t>
  </si>
  <si>
    <t xml:space="preserve">Trial days expected </t>
  </si>
  <si>
    <t>Daily rates payable where a trial lasts over 40 days</t>
  </si>
  <si>
    <t>Class of Offence Daily rate payable for days</t>
  </si>
  <si>
    <t>41-50 (£)</t>
  </si>
  <si>
    <t>Daily rate payable for days 51</t>
  </si>
  <si>
    <t>and over (£)</t>
  </si>
  <si>
    <t>Leading Junior</t>
  </si>
  <si>
    <t>Led Junior</t>
  </si>
  <si>
    <t>Junior Alone</t>
  </si>
  <si>
    <t>A</t>
  </si>
  <si>
    <t>B</t>
  </si>
  <si>
    <t>C</t>
  </si>
  <si>
    <t>D</t>
  </si>
  <si>
    <t>E</t>
  </si>
  <si>
    <t>F</t>
  </si>
  <si>
    <t>G</t>
  </si>
  <si>
    <t>H</t>
  </si>
  <si>
    <t>I</t>
  </si>
  <si>
    <t>J</t>
  </si>
  <si>
    <t>K</t>
  </si>
  <si>
    <t xml:space="preserve">Para 30 </t>
  </si>
  <si>
    <t>http://www.legislation.gov.uk/uksi/2013/435/pdfs/uksi_20130435_en.pdf</t>
  </si>
  <si>
    <t>Table of fees</t>
  </si>
  <si>
    <t>5. For the purposes of paragraph 4 the basic fee (B), the daily attendance fee (D), the evidence</t>
  </si>
  <si>
    <t>uplift (E) and the witness uplift (W) appropriate to any offence are those specified in the table</t>
  </si>
  <si>
    <t>following this paragraph in accordance with the Class within which that offence falls.</t>
  </si>
  <si>
    <t>Table of Fees and Uplifts</t>
  </si>
  <si>
    <t>(£) (£) (£) (£)</t>
  </si>
  <si>
    <t>Para 5</t>
  </si>
  <si>
    <t>AGFS rates</t>
  </si>
  <si>
    <t>Class of Offence</t>
  </si>
  <si>
    <t xml:space="preserve"> Basic Fee (B)</t>
  </si>
  <si>
    <t xml:space="preserve"> Daily Attendance Fee (D)</t>
  </si>
  <si>
    <t>Evidence Uplift (E)</t>
  </si>
  <si>
    <t>Witness Uplift (W)</t>
  </si>
  <si>
    <t>Witnesses uplift</t>
  </si>
  <si>
    <t>New standard template, applying all of Huw's suggested changes. Changed model 3 to pick out either the AGFS or VHCC depending on which is lowest, this is now the final model used. Added witness prep and changed order of advocates, so formulae will need rechecking</t>
  </si>
  <si>
    <t>Matthew</t>
  </si>
  <si>
    <t>Checked the named cells; Regulations,offset functions</t>
  </si>
  <si>
    <t>In VHCC cases barristers are paid by the hour for preparation, with the hourly rate paid dependent upon the case category. Preparation includes the time taken to consider used and unused evidence pages, preparing for court time, conferences, dealing with experts, liaising with defence and prosecution amongst other things. Barristers receive a daily rate for attendance at the crown court.</t>
  </si>
  <si>
    <t xml:space="preserve">In AGFS cases that run to trial barristers, receive a brief fee, a witness uplift, an evidence uplift, and daily attendance fees. In certain circumstances special preparation payments are made. The basic fee includes the cost of five, conferences, hearings and mentions. The witness uplift is payable for each witness, the first 10 witnesses are included in the basic fee so do not receive an uplift. The evidence uplift is paid for each evidence page. The first 50 pages are included in the basic fee so do not receive an uplift. The uplift is capped at 10,000 pages of evidence, any additional pages will be paid by special prep. The evidence uplift only applies to used evidence. The daily attendance rate is paid for each day spent in court. The first two days are included in the basic fee so do not receive additional payment. The rate at which days are paid for fall considerably after 40 days. </t>
  </si>
  <si>
    <t>Unlike normal AGFS, not capped at 10k.We assume AGFS rates are Cat 2 and calculate Cat 1 and 3 by looking at the proportionate differences in the VHCC Cat 1, 2, 3 rates</t>
  </si>
  <si>
    <t>General assumptions for fraud, murder and terrorism are agreed below. Agreed that witness prep is counted differently for murder and fraud. Leaving terrorism until we have a case.</t>
  </si>
  <si>
    <t>Using the AGFS offence group for high cost fraud (Offence K) only. Agreed that we use offence K for murder cases too - There is only a difference for the led junior rates, which are 14% higher in offence A than K.</t>
  </si>
  <si>
    <t>*Note relative proportions have not been applied here</t>
  </si>
  <si>
    <t>Name</t>
  </si>
  <si>
    <t>IFFO Model 20151126.xlsx</t>
  </si>
  <si>
    <t>Assumptions agreed with VHCC group. Added inputs page</t>
  </si>
  <si>
    <t>Based on v401102015 updated
Kept the Alternative Calc sheet from old version and then simplified, added named ranges. 
Third model of capping AGFS fee to VHCC fee, but using AGFS relativities uses a new formula which is more automated and more accurate. Previously we used goal seek to fix number of PPE pages so that AGFS matched VHCC total fee. Now, just apply the relativities from AGFS to VHCC. Difference is a couple of hundred pounds (mostly due to rounding). 
- also suggested that for new model could pay for actual prep and trial instead of dividing total fee by 3. There are reasons to have 3 payments, may not do this
Check witness, terrorism assumptions</t>
  </si>
  <si>
    <t>Instructions on how to use model</t>
  </si>
  <si>
    <t>Check witnesses formulae which have changed. Would be good to check all formulae as this is the final version.</t>
  </si>
  <si>
    <t xml:space="preserve">Adjusted AGFS (uncapping PPE and counting both used and unused) </t>
  </si>
  <si>
    <t>VHCC Fee - For information only</t>
  </si>
  <si>
    <t>Changed labelling, added instructions. Updated witness formulae (taken from IFFO Model 696 20151126 ES.xlsx). Put in data validation on inputs page.</t>
  </si>
  <si>
    <t>IFFO Model 20160108</t>
  </si>
  <si>
    <t>IFFO Model 20151218 not QA.xlsx</t>
  </si>
  <si>
    <t>IFFO Model 20151218 QA.xlsx</t>
  </si>
  <si>
    <t>Mark Edwardes</t>
  </si>
  <si>
    <t>QA'ed version</t>
  </si>
  <si>
    <t>IFFO Model 20160108.xlsx</t>
  </si>
  <si>
    <t>Changed inputs page as suggested by QA</t>
  </si>
  <si>
    <t>ME</t>
  </si>
  <si>
    <t>Corrected INPUT sheet for data validation formula errors
Terrorism assumptions still not available
Witness formula addition is correctly entered with no change for VHCC unless Murder is type. If murder is the type of case then the witness calculation increase the VHCC payment by more than the AGFS equivalent</t>
  </si>
  <si>
    <t>Corrected input sheet for Cat 1 and type. Removed terrorism as not an option at the moment. For future versions that include terrorism, the inputs and assumptions can be updated and spreadsheet should still work. Checked with Helen that ok for witness uplift to be in VHCC only</t>
  </si>
  <si>
    <t>No issues</t>
  </si>
  <si>
    <r>
      <t xml:space="preserve">1. Go to the </t>
    </r>
    <r>
      <rPr>
        <i/>
        <sz val="10"/>
        <rFont val="Arial"/>
        <family val="2"/>
      </rPr>
      <t>Inputs</t>
    </r>
    <r>
      <rPr>
        <sz val="10"/>
        <rFont val="Arial"/>
        <family val="2"/>
      </rPr>
      <t xml:space="preserve"> tab (yellow) and fill in everything in yellow
2. The </t>
    </r>
    <r>
      <rPr>
        <i/>
        <sz val="10"/>
        <rFont val="Arial"/>
        <family val="2"/>
      </rPr>
      <t>summary</t>
    </r>
    <r>
      <rPr>
        <sz val="10"/>
        <rFont val="Arial"/>
        <family val="2"/>
      </rPr>
      <t xml:space="preserve"> tab will give you the results
3. For info, the model tab in green has all the calculations, which come from formulae, the </t>
    </r>
    <r>
      <rPr>
        <i/>
        <sz val="10"/>
        <rFont val="Arial"/>
        <family val="2"/>
      </rPr>
      <t>data and assumptions</t>
    </r>
    <r>
      <rPr>
        <sz val="10"/>
        <rFont val="Arial"/>
        <family val="2"/>
      </rPr>
      <t xml:space="preserve"> tab and the </t>
    </r>
    <r>
      <rPr>
        <i/>
        <sz val="10"/>
        <rFont val="Arial"/>
        <family val="2"/>
      </rPr>
      <t>Regs</t>
    </r>
    <r>
      <rPr>
        <sz val="10"/>
        <rFont val="Arial"/>
        <family val="2"/>
      </rPr>
      <t xml:space="preserve"> tab
4. Once the inputs have been put in, the model should be QA'ed by LAA finance
5. The workbook is locked. If any formulae or assumptions need to change, please contact either LAA finance or Analytical Services</t>
    </r>
  </si>
  <si>
    <t>Unlocking the workbook</t>
  </si>
  <si>
    <t>All the worksheets have been protected to avoid accidental changes to the formulae, with the exception of inputs. We recommend keeping this protection on. Changes to the model or assumptions should be conducted by Analytical Services or LAA Finance. To unlock the worksheets, the password is VHCC</t>
  </si>
  <si>
    <t>IFFO Model 20160428.xlsx</t>
  </si>
  <si>
    <t>Changed final model (rows 160-163 in Model sheet) to always give adjusted VHCC fee at the request of the HCC. The summay page presents both the adjusted AGFS fee and the tweaked VHCC fee using AGFS proportions. The lowest fee should be used unless sign off is given for the higher fee.
Also, a minor tweak to formulae in cells G160-163 to reflect that the rounded total cost of the tweaked VHCC fee is the sum of the rounded individual costs, rather than rounding the raw total cost fee. Impact of around £100 in the latest IFFO, and reflects the reality of what is paid (the sum of rounded individual fees).</t>
  </si>
  <si>
    <t>Nick Burton</t>
  </si>
  <si>
    <t xml:space="preserve">Check rows 160-163 in Model worksheet are correct.
Cells C160 to C163 calculates the relevant percentage share from section 4 of the AGFS section and applies it to the VHCC total.  Each formula looks at the correct cells.  
Cells B160 to B163 calculates the average payment per number of people.  Formulas all look at correct rows.
Cells F160 to F163 are the same as original model and simply rounds the cost per person to the nearest £100.
Cells G160 to G163 multiply the rounded cost per person by the number of people.  Each formula looks at the correct cells.  </t>
  </si>
  <si>
    <t>To calculate the Interim Fixed Fee Offer (IFFO) for a Very High Cost Case (VHCC). Inputs are supplied by LAA caseworkers (Helen Rutherfold or Francesca Weisman). This model does not have agreed assumptions terrorism cases and does not estimate fees for second juniors as agreed with the HCC. This model has been handed over to the LAA as part of business as usual. The HCC can insert the inputs in the 'Inputs tab', the Model tab will automatically update and the Summary will give the key results. 
These are the fees agreed for very high cost cases with the Bar.</t>
  </si>
  <si>
    <t>This is the VHCC fee tweaked to the relative payments of the Adjusted AGFS. This has been added in at the request of the HCC.</t>
  </si>
  <si>
    <t xml:space="preserve">Adjusted AGFS fee (uncapping PPE and counting both used and unused) - for reference purposes only. </t>
  </si>
  <si>
    <t>IFFO Model 20160921.xlsx</t>
  </si>
  <si>
    <t>Nick Burton, Eleni</t>
  </si>
  <si>
    <r>
      <t xml:space="preserve">1. </t>
    </r>
    <r>
      <rPr>
        <b/>
        <sz val="10"/>
        <color rgb="FF000000"/>
        <rFont val="Arial"/>
        <family val="2"/>
      </rPr>
      <t>Work out the number of preparation hours for Used and Unused evidence (only a proportion of unused is counted), multiplying the number of pages by minutes taken to read a page . An assumption is made that only 25% of the unused is relevant to the defendant for fraud cases only.</t>
    </r>
  </si>
  <si>
    <t>This is the VHCC fee tweaked to the relative payments of the Adjusted AGFS. This has been added in at the request of the HCC. If this is to pay advocates who join later in the trial, it may be that they should only be paid a proportion of the total cost.</t>
  </si>
  <si>
    <t>2. Apply AGFS Basic Fee (includes a payment for the first 50 pages of evidence and first 2 days at trial). Then add fee per evidence page above 50 pages. Not capped at 10k pages (like usual AGFS). Still to add witness prep hours when AGFS rates are confirmed. Witness formulae will need checking if witness prep is used</t>
  </si>
  <si>
    <t>Checked formulae and methodology</t>
  </si>
  <si>
    <t xml:space="preserve">- Mark raised that if advocates are joining trials late, perhaps they shouldn’t receive the full fee. 
- Check formulae on witness uplifts? Are the first 10 (expert and non expert) included in the standard rate?
Response from Nick Ford:
the IFFO scheme/ contract would need amending re late changes to representation, and there are no witness uplifts in fraud cases (there would be in a murder case but we haven’t contracted one of these as a VHCC for years).
</t>
  </si>
  <si>
    <t>Minor tweek to text in cells A49, A58 in "Summary" Sheet and A158 in Model sheet
Changes to formula in cells B160 - C165 in "Model" sheet to enable cost for single person to be calculated. This has changed the methodology to now the total cost does not equal the total cost for the VHCC. But the total cost for one of each advocate type is now equal. Agreed with Mark Edwardes this is the right methodology, old one would skew impact of QCs.
Witness uplifts still not sorted, but HCC team do not need for now</t>
  </si>
  <si>
    <t>Number of KCs</t>
  </si>
  <si>
    <t>KC prep</t>
  </si>
  <si>
    <t>KC daily</t>
  </si>
  <si>
    <t>KC</t>
  </si>
  <si>
    <t>KC trial</t>
  </si>
  <si>
    <t xml:space="preserve">KC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</si>
</sst>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_-&quot;£&quot;* #,##0_-;\-&quot;£&quot;* #,##0_-;_-&quot;£&quot;* &quot;-&quot;??_-;_-@_-"/>
    <numFmt numFmtId="166" formatCode="0.0"/>
  </numFmts>
  <fonts count="26" x14ac:knownFonts="1">
    <font>
      <sz val="10"/>
      <name val="Arial"/>
    </font>
    <font>
      <sz val="10"/>
      <name val="Arial"/>
      <family val="2"/>
    </font>
    <font>
      <sz val="11"/>
      <color indexed="8"/>
      <name val="Calibri"/>
      <family val="2"/>
    </font>
    <font>
      <b/>
      <sz val="10"/>
      <name val="Arial"/>
      <family val="2"/>
    </font>
    <font>
      <b/>
      <sz val="10"/>
      <color indexed="9"/>
      <name val="Arial"/>
      <family val="2"/>
    </font>
    <font>
      <sz val="10"/>
      <name val="Arial"/>
      <family val="2"/>
    </font>
    <font>
      <b/>
      <sz val="10"/>
      <color indexed="8"/>
      <name val="Arial"/>
      <family val="2"/>
    </font>
    <font>
      <sz val="8"/>
      <name val="Arial"/>
      <family val="2"/>
    </font>
    <font>
      <u/>
      <sz val="10"/>
      <color indexed="12"/>
      <name val="Arial"/>
      <family val="2"/>
    </font>
    <font>
      <sz val="10"/>
      <color indexed="9"/>
      <name val="Arial"/>
      <family val="2"/>
    </font>
    <font>
      <b/>
      <sz val="12"/>
      <name val="Arial"/>
      <family val="2"/>
    </font>
    <font>
      <b/>
      <sz val="12"/>
      <color indexed="8"/>
      <name val="Arial"/>
      <family val="2"/>
    </font>
    <font>
      <u/>
      <sz val="11"/>
      <color indexed="12"/>
      <name val="Calibri"/>
      <family val="2"/>
    </font>
    <font>
      <sz val="10"/>
      <color indexed="63"/>
      <name val="Arial"/>
      <family val="2"/>
    </font>
    <font>
      <b/>
      <sz val="11"/>
      <name val="Arial"/>
      <family val="2"/>
    </font>
    <font>
      <b/>
      <sz val="10"/>
      <color indexed="56"/>
      <name val="Wingdings"/>
      <charset val="2"/>
    </font>
    <font>
      <sz val="10"/>
      <color rgb="FF000000"/>
      <name val="Arial"/>
      <family val="2"/>
    </font>
    <font>
      <b/>
      <sz val="10"/>
      <color rgb="FF000000"/>
      <name val="Arial"/>
      <family val="2"/>
    </font>
    <font>
      <i/>
      <sz val="10"/>
      <name val="Arial"/>
      <family val="2"/>
    </font>
    <font>
      <sz val="11"/>
      <color theme="1" tint="0.499984740745262"/>
      <name val="Calibri"/>
      <family val="2"/>
      <scheme val="minor"/>
    </font>
    <font>
      <sz val="10"/>
      <color theme="1" tint="0.499984740745262"/>
      <name val="Arial"/>
      <family val="2"/>
    </font>
    <font>
      <sz val="10"/>
      <name val="Arial"/>
      <family val="2"/>
    </font>
    <font>
      <i/>
      <sz val="10"/>
      <color rgb="FF000000"/>
      <name val="Arial"/>
      <family val="2"/>
    </font>
    <font>
      <sz val="10"/>
      <color rgb="FF494949"/>
      <name val="Arial"/>
      <family val="2"/>
    </font>
    <font>
      <b/>
      <sz val="10"/>
      <color theme="0" tint="-0.34998626667073579"/>
      <name val="Arial"/>
      <family val="2"/>
    </font>
    <font>
      <sz val="10"/>
      <color theme="0" tint="-0.34998626667073579"/>
      <name val="Arial"/>
      <family val="2"/>
    </font>
  </fonts>
  <fills count="14">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theme="0"/>
        <bgColor indexed="64"/>
      </patternFill>
    </fill>
    <fill>
      <patternFill patternType="solid">
        <fgColor indexed="50"/>
        <bgColor indexed="64"/>
      </patternFill>
    </fill>
    <fill>
      <patternFill patternType="solid">
        <fgColor indexed="44"/>
        <bgColor indexed="64"/>
      </patternFill>
    </fill>
    <fill>
      <patternFill patternType="solid">
        <fgColor indexed="49"/>
        <bgColor indexed="64"/>
      </patternFill>
    </fill>
    <fill>
      <patternFill patternType="solid">
        <fgColor indexed="5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FFFFFF"/>
        <bgColor indexed="64"/>
      </patternFill>
    </fill>
    <fill>
      <patternFill patternType="solid">
        <fgColor theme="0" tint="-0.34998626667073579"/>
        <bgColor indexed="64"/>
      </patternFill>
    </fill>
  </fills>
  <borders count="22">
    <border>
      <left/>
      <right/>
      <top/>
      <bottom/>
      <diagonal/>
    </border>
    <border>
      <left/>
      <right/>
      <top/>
      <bottom style="thin">
        <color indexed="64"/>
      </bottom>
      <diagonal/>
    </border>
    <border>
      <left style="thin">
        <color indexed="64"/>
      </left>
      <right/>
      <top/>
      <bottom/>
      <diagonal/>
    </border>
    <border>
      <left/>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23"/>
      </left>
      <right style="thin">
        <color indexed="23"/>
      </right>
      <top/>
      <bottom/>
      <diagonal/>
    </border>
    <border>
      <left style="thin">
        <color indexed="23"/>
      </left>
      <right style="thin">
        <color indexed="23"/>
      </right>
      <top/>
      <bottom style="thin">
        <color indexed="23"/>
      </bottom>
      <diagonal/>
    </border>
    <border>
      <left/>
      <right/>
      <top style="thin">
        <color theme="1" tint="0.499984740745262"/>
      </top>
      <bottom/>
      <diagonal/>
    </border>
    <border>
      <left/>
      <right/>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5" fillId="0" borderId="0"/>
    <xf numFmtId="0" fontId="7" fillId="7" borderId="0">
      <alignment vertical="top"/>
    </xf>
    <xf numFmtId="0" fontId="12" fillId="0" borderId="0" applyNumberFormat="0" applyFill="0" applyBorder="0" applyAlignment="0" applyProtection="0"/>
    <xf numFmtId="0" fontId="15" fillId="0" borderId="0" applyFill="0" applyBorder="0">
      <alignment horizontal="center" vertical="center"/>
    </xf>
    <xf numFmtId="9" fontId="21" fillId="0" borderId="0" applyFont="0" applyFill="0" applyBorder="0" applyAlignment="0" applyProtection="0"/>
    <xf numFmtId="0" fontId="1" fillId="0" borderId="0"/>
  </cellStyleXfs>
  <cellXfs count="266">
    <xf numFmtId="0" fontId="0" fillId="0" borderId="0" xfId="0"/>
    <xf numFmtId="0" fontId="0" fillId="2" borderId="0" xfId="0" applyFill="1" applyBorder="1"/>
    <xf numFmtId="0" fontId="6" fillId="4" borderId="0" xfId="3" applyFont="1" applyFill="1" applyBorder="1" applyAlignment="1">
      <alignment horizontal="center" wrapText="1"/>
    </xf>
    <xf numFmtId="0" fontId="5" fillId="4" borderId="0" xfId="0" applyFont="1" applyFill="1" applyBorder="1"/>
    <xf numFmtId="0" fontId="3" fillId="4" borderId="0" xfId="0" applyFont="1" applyFill="1" applyBorder="1" applyAlignment="1">
      <alignment horizontal="center" wrapText="1"/>
    </xf>
    <xf numFmtId="0" fontId="5" fillId="0" borderId="0" xfId="4" applyFont="1" applyAlignment="1" applyProtection="1">
      <alignment vertical="center"/>
    </xf>
    <xf numFmtId="0" fontId="9" fillId="0" borderId="0" xfId="4" applyFont="1" applyAlignment="1" applyProtection="1">
      <alignment vertical="center"/>
    </xf>
    <xf numFmtId="0" fontId="10" fillId="0" borderId="1" xfId="4" applyFont="1" applyBorder="1" applyAlignment="1" applyProtection="1">
      <alignment horizontal="center" vertical="center"/>
    </xf>
    <xf numFmtId="0" fontId="5" fillId="6" borderId="3" xfId="4" applyFont="1" applyFill="1" applyBorder="1" applyAlignment="1" applyProtection="1">
      <alignment vertical="center"/>
    </xf>
    <xf numFmtId="0" fontId="5" fillId="0" borderId="0" xfId="4" applyFont="1" applyFill="1" applyBorder="1" applyAlignment="1" applyProtection="1">
      <alignment vertical="center"/>
      <protection locked="0"/>
    </xf>
    <xf numFmtId="0" fontId="9" fillId="0" borderId="0" xfId="4" applyFont="1" applyFill="1" applyBorder="1" applyAlignment="1" applyProtection="1">
      <alignment horizontal="center" vertical="center"/>
      <protection locked="0"/>
    </xf>
    <xf numFmtId="0" fontId="5" fillId="0" borderId="0" xfId="4" applyFont="1" applyAlignment="1" applyProtection="1">
      <alignment vertical="center"/>
      <protection locked="0"/>
    </xf>
    <xf numFmtId="0" fontId="3" fillId="0" borderId="4" xfId="5" applyFont="1" applyFill="1" applyBorder="1" applyAlignment="1" applyProtection="1">
      <alignment vertical="center"/>
      <protection locked="0"/>
    </xf>
    <xf numFmtId="0" fontId="3" fillId="0" borderId="0" xfId="4" applyFont="1" applyBorder="1" applyAlignment="1" applyProtection="1">
      <alignment horizontal="left" vertical="center"/>
      <protection locked="0"/>
    </xf>
    <xf numFmtId="0" fontId="5" fillId="0" borderId="0" xfId="4" applyFont="1" applyBorder="1" applyAlignment="1" applyProtection="1">
      <alignment vertical="center"/>
      <protection locked="0"/>
    </xf>
    <xf numFmtId="0" fontId="3" fillId="0" borderId="0" xfId="5" applyFont="1" applyFill="1" applyBorder="1" applyAlignment="1" applyProtection="1">
      <alignment vertical="center"/>
      <protection locked="0"/>
    </xf>
    <xf numFmtId="0" fontId="5" fillId="0" borderId="0" xfId="5" applyFont="1" applyFill="1" applyBorder="1" applyAlignment="1" applyProtection="1">
      <alignment horizontal="left" vertical="center"/>
      <protection locked="0"/>
    </xf>
    <xf numFmtId="0" fontId="3" fillId="0" borderId="0" xfId="4" applyFont="1" applyFill="1" applyBorder="1" applyAlignment="1" applyProtection="1">
      <alignment vertical="center"/>
      <protection locked="0"/>
    </xf>
    <xf numFmtId="0" fontId="10" fillId="0" borderId="0" xfId="4" applyFont="1" applyBorder="1" applyAlignment="1" applyProtection="1">
      <alignment horizontal="left" vertical="center"/>
      <protection locked="0"/>
    </xf>
    <xf numFmtId="0" fontId="3" fillId="0" borderId="0" xfId="4" applyFont="1" applyBorder="1" applyAlignment="1" applyProtection="1">
      <alignment vertical="center"/>
      <protection locked="0"/>
    </xf>
    <xf numFmtId="0" fontId="8" fillId="0" borderId="0" xfId="6" applyFont="1" applyFill="1" applyBorder="1" applyAlignment="1" applyProtection="1">
      <alignment vertical="center"/>
      <protection locked="0"/>
    </xf>
    <xf numFmtId="0" fontId="5" fillId="0" borderId="0" xfId="4" applyFont="1" applyFill="1" applyBorder="1" applyAlignment="1" applyProtection="1">
      <alignment vertical="center" wrapText="1"/>
      <protection locked="0"/>
    </xf>
    <xf numFmtId="0" fontId="3" fillId="0" borderId="4" xfId="4" applyFont="1" applyBorder="1" applyAlignment="1" applyProtection="1">
      <alignment horizontal="center" vertical="center"/>
      <protection locked="0"/>
    </xf>
    <xf numFmtId="0" fontId="5" fillId="0" borderId="4" xfId="4" applyFont="1" applyBorder="1" applyAlignment="1" applyProtection="1">
      <alignment horizontal="center" vertical="center" wrapText="1"/>
      <protection locked="0"/>
    </xf>
    <xf numFmtId="0" fontId="10" fillId="0" borderId="0" xfId="4" applyFont="1" applyAlignment="1" applyProtection="1">
      <alignment vertical="center"/>
      <protection locked="0"/>
    </xf>
    <xf numFmtId="0" fontId="5" fillId="0" borderId="0" xfId="4" applyFont="1" applyBorder="1" applyAlignment="1" applyProtection="1">
      <alignment vertical="center" wrapText="1"/>
      <protection locked="0"/>
    </xf>
    <xf numFmtId="0" fontId="3" fillId="0" borderId="4" xfId="4" applyFont="1" applyFill="1" applyBorder="1" applyAlignment="1" applyProtection="1">
      <alignment vertical="center"/>
      <protection locked="0"/>
    </xf>
    <xf numFmtId="0" fontId="13" fillId="0" borderId="4" xfId="4" applyFont="1" applyFill="1" applyBorder="1" applyAlignment="1" applyProtection="1">
      <alignment horizontal="left" vertical="center" wrapText="1"/>
      <protection locked="0"/>
    </xf>
    <xf numFmtId="14" fontId="13" fillId="0" borderId="4" xfId="4" applyNumberFormat="1" applyFont="1" applyFill="1" applyBorder="1" applyAlignment="1" applyProtection="1">
      <alignment horizontal="left" vertical="center" wrapText="1"/>
      <protection locked="0"/>
    </xf>
    <xf numFmtId="0" fontId="13" fillId="0" borderId="4" xfId="4" applyFont="1" applyBorder="1" applyAlignment="1" applyProtection="1">
      <alignment horizontal="left" vertical="center" wrapText="1"/>
      <protection locked="0"/>
    </xf>
    <xf numFmtId="0" fontId="5" fillId="0" borderId="4"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center" vertical="center"/>
      <protection locked="0"/>
    </xf>
    <xf numFmtId="0" fontId="3" fillId="5" borderId="7" xfId="4" applyFont="1" applyFill="1" applyBorder="1" applyAlignment="1" applyProtection="1">
      <alignment horizontal="center" vertical="center"/>
    </xf>
    <xf numFmtId="0" fontId="3" fillId="8" borderId="7" xfId="4" applyFont="1" applyFill="1" applyBorder="1" applyAlignment="1" applyProtection="1">
      <alignment horizontal="center" vertical="center"/>
    </xf>
    <xf numFmtId="0" fontId="4" fillId="3" borderId="7" xfId="4" applyFont="1" applyFill="1" applyBorder="1" applyAlignment="1" applyProtection="1">
      <alignment horizontal="center" vertical="center"/>
    </xf>
    <xf numFmtId="0" fontId="3" fillId="0" borderId="4" xfId="4" applyFont="1" applyFill="1" applyBorder="1" applyAlignment="1" applyProtection="1">
      <alignment horizontal="center" vertical="center"/>
      <protection locked="0"/>
    </xf>
    <xf numFmtId="0" fontId="10" fillId="0" borderId="0" xfId="4" applyFont="1" applyBorder="1" applyAlignment="1" applyProtection="1">
      <alignment vertical="center"/>
      <protection locked="0"/>
    </xf>
    <xf numFmtId="0" fontId="3" fillId="0" borderId="4" xfId="4" applyFont="1" applyBorder="1" applyAlignment="1" applyProtection="1">
      <alignment horizontal="center" vertical="center" wrapText="1"/>
      <protection locked="0"/>
    </xf>
    <xf numFmtId="0" fontId="3" fillId="0" borderId="4" xfId="4" applyFont="1" applyFill="1" applyBorder="1" applyAlignment="1" applyProtection="1">
      <alignment horizontal="center" vertical="center" wrapText="1"/>
      <protection locked="0"/>
    </xf>
    <xf numFmtId="0" fontId="5" fillId="0" borderId="0" xfId="4" applyAlignment="1">
      <alignment vertical="center"/>
    </xf>
    <xf numFmtId="0" fontId="3" fillId="0" borderId="4" xfId="4" applyFont="1" applyBorder="1" applyAlignment="1" applyProtection="1">
      <alignment horizontal="center" vertical="center" wrapText="1"/>
    </xf>
    <xf numFmtId="0" fontId="5" fillId="0" borderId="0" xfId="4" applyAlignment="1">
      <alignment vertical="center" wrapText="1"/>
    </xf>
    <xf numFmtId="0" fontId="3" fillId="10" borderId="0" xfId="0" applyFont="1" applyFill="1" applyBorder="1"/>
    <xf numFmtId="0" fontId="1" fillId="10" borderId="0" xfId="0" applyFont="1" applyFill="1" applyBorder="1"/>
    <xf numFmtId="0" fontId="1" fillId="0" borderId="0" xfId="0" applyFont="1" applyBorder="1"/>
    <xf numFmtId="0" fontId="1" fillId="4" borderId="0" xfId="0" applyFont="1" applyFill="1" applyBorder="1"/>
    <xf numFmtId="0" fontId="3" fillId="4" borderId="0" xfId="0" applyFont="1" applyFill="1" applyBorder="1" applyAlignment="1">
      <alignment horizontal="center"/>
    </xf>
    <xf numFmtId="0" fontId="5" fillId="4" borderId="0" xfId="0" applyFont="1" applyFill="1" applyBorder="1" applyAlignment="1">
      <alignment horizontal="left"/>
    </xf>
    <xf numFmtId="0" fontId="1" fillId="0" borderId="0" xfId="0" applyFont="1" applyBorder="1" applyAlignment="1">
      <alignment horizontal="left" indent="3" readingOrder="1"/>
    </xf>
    <xf numFmtId="0" fontId="16" fillId="0" borderId="0" xfId="0" applyFont="1" applyBorder="1" applyAlignment="1">
      <alignment horizontal="left" indent="3" readingOrder="1"/>
    </xf>
    <xf numFmtId="3" fontId="16" fillId="0" borderId="0" xfId="0" applyNumberFormat="1" applyFont="1" applyBorder="1" applyAlignment="1">
      <alignment horizontal="left" indent="3" readingOrder="1"/>
    </xf>
    <xf numFmtId="44" fontId="16" fillId="0" borderId="0" xfId="2" applyFont="1" applyBorder="1" applyAlignment="1">
      <alignment horizontal="left" indent="3" readingOrder="1"/>
    </xf>
    <xf numFmtId="0" fontId="3" fillId="4" borderId="0" xfId="0" applyFont="1" applyFill="1" applyBorder="1"/>
    <xf numFmtId="9" fontId="5" fillId="2" borderId="0" xfId="0" applyNumberFormat="1" applyFont="1" applyFill="1" applyBorder="1" applyAlignment="1">
      <alignment horizontal="right"/>
    </xf>
    <xf numFmtId="9" fontId="0" fillId="2" borderId="0" xfId="0" applyNumberFormat="1" applyFill="1" applyBorder="1" applyAlignment="1">
      <alignment horizontal="right"/>
    </xf>
    <xf numFmtId="10" fontId="0" fillId="2" borderId="0" xfId="0" applyNumberFormat="1" applyFill="1" applyBorder="1" applyAlignment="1">
      <alignment horizontal="right"/>
    </xf>
    <xf numFmtId="0" fontId="0" fillId="2" borderId="0" xfId="0" applyNumberFormat="1" applyFill="1" applyBorder="1" applyAlignment="1">
      <alignment horizontal="right"/>
    </xf>
    <xf numFmtId="0" fontId="1" fillId="0" borderId="0" xfId="0" applyFont="1" applyFill="1" applyBorder="1"/>
    <xf numFmtId="0" fontId="3" fillId="0" borderId="0" xfId="0" applyFont="1" applyBorder="1" applyAlignment="1">
      <alignment wrapText="1" readingOrder="1"/>
    </xf>
    <xf numFmtId="0" fontId="0" fillId="2" borderId="2" xfId="0" applyFill="1" applyBorder="1"/>
    <xf numFmtId="0" fontId="3" fillId="4" borderId="0" xfId="0" applyFont="1" applyFill="1" applyBorder="1" applyAlignment="1">
      <alignment horizontal="right" wrapText="1"/>
    </xf>
    <xf numFmtId="0" fontId="1" fillId="11" borderId="0" xfId="0" applyFont="1" applyFill="1" applyBorder="1"/>
    <xf numFmtId="0" fontId="3" fillId="0" borderId="0" xfId="0" applyFont="1" applyBorder="1" applyAlignment="1">
      <alignment horizontal="left" readingOrder="1"/>
    </xf>
    <xf numFmtId="1" fontId="1" fillId="11" borderId="0" xfId="0" applyNumberFormat="1" applyFont="1" applyFill="1" applyBorder="1"/>
    <xf numFmtId="165" fontId="1" fillId="11" borderId="0" xfId="2" applyNumberFormat="1" applyFont="1" applyFill="1" applyBorder="1"/>
    <xf numFmtId="0" fontId="18" fillId="9" borderId="0" xfId="0" applyFont="1" applyFill="1" applyBorder="1" applyAlignment="1">
      <alignment horizontal="center" vertical="center" wrapText="1"/>
    </xf>
    <xf numFmtId="9" fontId="0" fillId="11" borderId="0" xfId="0" applyNumberFormat="1" applyFill="1" applyBorder="1" applyAlignment="1">
      <alignment horizontal="right"/>
    </xf>
    <xf numFmtId="0" fontId="0" fillId="11" borderId="0" xfId="0" applyNumberFormat="1" applyFill="1" applyBorder="1" applyAlignment="1">
      <alignment horizontal="right"/>
    </xf>
    <xf numFmtId="0" fontId="0" fillId="11" borderId="0" xfId="0" applyNumberFormat="1" applyFont="1" applyFill="1" applyBorder="1" applyAlignment="1">
      <alignment horizontal="right"/>
    </xf>
    <xf numFmtId="2" fontId="5" fillId="11" borderId="0" xfId="0" applyNumberFormat="1" applyFont="1" applyFill="1" applyBorder="1" applyAlignment="1">
      <alignment horizontal="right"/>
    </xf>
    <xf numFmtId="1" fontId="1" fillId="11" borderId="0" xfId="0" applyNumberFormat="1" applyFont="1" applyFill="1" applyBorder="1" applyAlignment="1">
      <alignment horizontal="right"/>
    </xf>
    <xf numFmtId="2" fontId="1" fillId="11" borderId="0" xfId="0" applyNumberFormat="1" applyFont="1" applyFill="1" applyBorder="1" applyAlignment="1">
      <alignment horizontal="right"/>
    </xf>
    <xf numFmtId="0" fontId="17" fillId="0" borderId="0" xfId="0" applyFont="1" applyBorder="1" applyAlignment="1">
      <alignment horizontal="left" readingOrder="1"/>
    </xf>
    <xf numFmtId="0" fontId="1" fillId="0" borderId="0" xfId="0" applyFont="1" applyBorder="1" applyAlignment="1">
      <alignment horizontal="left" indent="3"/>
    </xf>
    <xf numFmtId="0" fontId="1" fillId="4" borderId="0" xfId="0" applyFont="1" applyFill="1" applyBorder="1" applyAlignment="1">
      <alignment horizontal="left" indent="3" readingOrder="1"/>
    </xf>
    <xf numFmtId="0" fontId="3" fillId="4" borderId="0" xfId="0" applyFont="1" applyFill="1" applyBorder="1" applyAlignment="1">
      <alignment horizontal="left" indent="3" readingOrder="1"/>
    </xf>
    <xf numFmtId="165" fontId="1" fillId="4" borderId="0" xfId="2" applyNumberFormat="1" applyFont="1" applyFill="1" applyBorder="1"/>
    <xf numFmtId="44" fontId="16" fillId="4" borderId="0" xfId="2" applyFont="1" applyFill="1" applyBorder="1" applyAlignment="1">
      <alignment horizontal="left" indent="3" readingOrder="1"/>
    </xf>
    <xf numFmtId="0" fontId="3" fillId="0" borderId="0" xfId="0" applyFont="1" applyFill="1" applyBorder="1"/>
    <xf numFmtId="0" fontId="1" fillId="0" borderId="4" xfId="4" applyFont="1" applyBorder="1" applyAlignment="1" applyProtection="1">
      <alignment horizontal="left" vertical="center" wrapText="1"/>
      <protection locked="0"/>
    </xf>
    <xf numFmtId="1" fontId="1" fillId="4" borderId="0" xfId="0" applyNumberFormat="1" applyFont="1" applyFill="1" applyBorder="1"/>
    <xf numFmtId="0" fontId="3" fillId="2" borderId="0" xfId="0" applyFont="1" applyFill="1" applyBorder="1"/>
    <xf numFmtId="165" fontId="3" fillId="11" borderId="0" xfId="2" applyNumberFormat="1" applyFont="1" applyFill="1" applyBorder="1"/>
    <xf numFmtId="3" fontId="16" fillId="11" borderId="0" xfId="0" applyNumberFormat="1" applyFont="1" applyFill="1" applyBorder="1" applyAlignment="1">
      <alignment readingOrder="1"/>
    </xf>
    <xf numFmtId="165" fontId="16" fillId="11" borderId="0" xfId="2" applyNumberFormat="1" applyFont="1" applyFill="1" applyBorder="1" applyAlignment="1">
      <alignment horizontal="left" indent="3" readingOrder="1"/>
    </xf>
    <xf numFmtId="44" fontId="16" fillId="11" borderId="0" xfId="2" applyFont="1" applyFill="1" applyBorder="1" applyAlignment="1">
      <alignment horizontal="left" indent="3" readingOrder="1"/>
    </xf>
    <xf numFmtId="166" fontId="5" fillId="11" borderId="0" xfId="0" applyNumberFormat="1" applyFont="1" applyFill="1" applyBorder="1"/>
    <xf numFmtId="165" fontId="1" fillId="11" borderId="0" xfId="0" applyNumberFormat="1" applyFont="1" applyFill="1" applyBorder="1"/>
    <xf numFmtId="0" fontId="19" fillId="4" borderId="0" xfId="0" applyFont="1" applyFill="1"/>
    <xf numFmtId="0" fontId="20" fillId="0" borderId="0" xfId="0" applyFont="1" applyBorder="1"/>
    <xf numFmtId="0" fontId="5" fillId="0" borderId="6" xfId="4" applyFont="1" applyFill="1" applyBorder="1" applyAlignment="1" applyProtection="1">
      <alignment vertical="center" wrapText="1"/>
      <protection locked="0"/>
    </xf>
    <xf numFmtId="0" fontId="5" fillId="0" borderId="7" xfId="4" applyFont="1" applyFill="1" applyBorder="1" applyAlignment="1" applyProtection="1">
      <alignment vertical="center" wrapText="1"/>
      <protection locked="0"/>
    </xf>
    <xf numFmtId="0" fontId="0" fillId="4" borderId="0" xfId="0" applyFill="1" applyBorder="1" applyAlignment="1">
      <alignment wrapText="1"/>
    </xf>
    <xf numFmtId="0" fontId="0" fillId="4" borderId="15" xfId="0" applyFill="1" applyBorder="1" applyAlignment="1">
      <alignment wrapText="1"/>
    </xf>
    <xf numFmtId="0" fontId="0" fillId="4" borderId="14" xfId="0" applyFill="1" applyBorder="1" applyAlignment="1">
      <alignment wrapText="1"/>
    </xf>
    <xf numFmtId="0" fontId="1" fillId="0" borderId="5" xfId="4" applyFont="1" applyFill="1" applyBorder="1" applyAlignment="1" applyProtection="1">
      <alignment vertical="center" wrapText="1"/>
      <protection locked="0"/>
    </xf>
    <xf numFmtId="0" fontId="1" fillId="0" borderId="4" xfId="9" applyFont="1" applyBorder="1" applyAlignment="1" applyProtection="1">
      <alignment horizontal="left" vertical="center" wrapText="1"/>
      <protection locked="0"/>
    </xf>
    <xf numFmtId="0" fontId="13" fillId="0" borderId="4" xfId="9" applyFont="1" applyFill="1" applyBorder="1" applyAlignment="1" applyProtection="1">
      <alignment horizontal="left" vertical="center" wrapText="1"/>
      <protection locked="0"/>
    </xf>
    <xf numFmtId="0" fontId="1" fillId="0" borderId="0" xfId="9" applyFont="1" applyAlignment="1">
      <alignment horizontal="left" vertical="center" wrapText="1"/>
    </xf>
    <xf numFmtId="0" fontId="3" fillId="0" borderId="4" xfId="9" applyFont="1" applyBorder="1" applyAlignment="1" applyProtection="1">
      <alignment horizontal="center" vertical="center" wrapText="1"/>
      <protection locked="0"/>
    </xf>
    <xf numFmtId="0" fontId="1" fillId="2" borderId="0" xfId="0" applyFont="1" applyFill="1" applyBorder="1"/>
    <xf numFmtId="0" fontId="1" fillId="2" borderId="0" xfId="0" applyFont="1" applyFill="1" applyBorder="1" applyAlignment="1">
      <alignment horizontal="left" vertical="center" wrapText="1"/>
    </xf>
    <xf numFmtId="0" fontId="1" fillId="11" borderId="0" xfId="0" applyFont="1" applyFill="1" applyBorder="1" applyAlignment="1">
      <alignment horizontal="right"/>
    </xf>
    <xf numFmtId="0" fontId="16" fillId="0" borderId="0" xfId="0" applyFont="1" applyBorder="1"/>
    <xf numFmtId="0" fontId="3" fillId="0" borderId="0" xfId="0" applyFont="1" applyBorder="1"/>
    <xf numFmtId="3" fontId="3" fillId="4" borderId="0" xfId="0" applyNumberFormat="1" applyFont="1" applyFill="1" applyBorder="1" applyAlignment="1">
      <alignment horizontal="right" wrapText="1"/>
    </xf>
    <xf numFmtId="1" fontId="1" fillId="4" borderId="0" xfId="0" applyNumberFormat="1" applyFont="1" applyFill="1" applyBorder="1" applyAlignment="1">
      <alignment horizontal="right"/>
    </xf>
    <xf numFmtId="2" fontId="1" fillId="4" borderId="0" xfId="0" applyNumberFormat="1" applyFont="1" applyFill="1" applyBorder="1" applyAlignment="1">
      <alignment horizontal="right"/>
    </xf>
    <xf numFmtId="0" fontId="1" fillId="0" borderId="0" xfId="0" applyNumberFormat="1" applyFont="1" applyBorder="1"/>
    <xf numFmtId="0" fontId="1" fillId="4" borderId="0" xfId="0" applyFont="1" applyFill="1" applyBorder="1" applyAlignment="1">
      <alignment horizontal="left"/>
    </xf>
    <xf numFmtId="3" fontId="1" fillId="0" borderId="0" xfId="0" applyNumberFormat="1" applyFont="1" applyBorder="1"/>
    <xf numFmtId="0" fontId="16" fillId="0" borderId="0" xfId="0" applyFont="1" applyBorder="1" applyAlignment="1">
      <alignment horizontal="left"/>
    </xf>
    <xf numFmtId="0" fontId="22" fillId="12" borderId="0" xfId="0" applyFont="1" applyFill="1" applyBorder="1" applyAlignment="1">
      <alignment horizontal="left" vertical="top" wrapText="1"/>
    </xf>
    <xf numFmtId="0" fontId="23" fillId="12" borderId="0" xfId="0" applyFont="1" applyFill="1" applyBorder="1" applyAlignment="1">
      <alignment horizontal="left" vertical="top" wrapText="1"/>
    </xf>
    <xf numFmtId="0" fontId="23" fillId="10" borderId="0" xfId="0" applyFont="1" applyFill="1" applyBorder="1" applyAlignment="1">
      <alignment horizontal="left" vertical="top" wrapText="1"/>
    </xf>
    <xf numFmtId="0" fontId="3" fillId="13" borderId="0" xfId="0" applyFont="1" applyFill="1" applyBorder="1"/>
    <xf numFmtId="0" fontId="1" fillId="13" borderId="0" xfId="0" applyFont="1" applyFill="1" applyBorder="1"/>
    <xf numFmtId="0" fontId="0" fillId="13" borderId="0" xfId="0" applyFill="1"/>
    <xf numFmtId="0" fontId="1" fillId="13" borderId="0" xfId="0" applyFont="1" applyFill="1" applyBorder="1" applyAlignment="1">
      <alignment horizontal="left" vertical="center"/>
    </xf>
    <xf numFmtId="0" fontId="1" fillId="0" borderId="0" xfId="0" applyFont="1" applyBorder="1" applyAlignment="1">
      <alignment horizontal="left" vertical="center"/>
    </xf>
    <xf numFmtId="0" fontId="6" fillId="4" borderId="0" xfId="3" applyFont="1" applyFill="1" applyBorder="1" applyAlignment="1">
      <alignment horizontal="left" vertical="center" wrapText="1"/>
    </xf>
    <xf numFmtId="0" fontId="3" fillId="4" borderId="0" xfId="0" applyFont="1" applyFill="1" applyBorder="1" applyAlignment="1">
      <alignment horizontal="left" vertical="center" wrapText="1"/>
    </xf>
    <xf numFmtId="0" fontId="18" fillId="9" borderId="0" xfId="0" applyFont="1" applyFill="1" applyBorder="1" applyAlignment="1">
      <alignment horizontal="left" vertical="center"/>
    </xf>
    <xf numFmtId="0" fontId="1" fillId="9" borderId="0" xfId="0" applyFont="1" applyFill="1" applyBorder="1" applyAlignment="1">
      <alignment horizontal="left" vertical="center"/>
    </xf>
    <xf numFmtId="3" fontId="1" fillId="9" borderId="0" xfId="0" applyNumberFormat="1" applyFont="1" applyFill="1" applyBorder="1" applyAlignment="1">
      <alignment horizontal="left" vertical="center"/>
    </xf>
    <xf numFmtId="3" fontId="1" fillId="9" borderId="0" xfId="0" applyNumberFormat="1" applyFont="1" applyFill="1" applyBorder="1" applyAlignment="1">
      <alignment horizontal="left" vertical="center" wrapText="1"/>
    </xf>
    <xf numFmtId="1" fontId="1" fillId="9" borderId="0" xfId="0" applyNumberFormat="1" applyFont="1" applyFill="1" applyBorder="1" applyAlignment="1">
      <alignment horizontal="left" vertical="center"/>
    </xf>
    <xf numFmtId="0" fontId="1" fillId="9" borderId="0" xfId="0" applyFont="1" applyFill="1" applyBorder="1" applyAlignment="1">
      <alignment horizontal="left" vertical="center" wrapText="1"/>
    </xf>
    <xf numFmtId="0" fontId="0" fillId="0" borderId="0" xfId="0" applyAlignment="1">
      <alignment horizontal="left" vertical="center"/>
    </xf>
    <xf numFmtId="0" fontId="1" fillId="0" borderId="0" xfId="4" applyFont="1" applyBorder="1" applyAlignment="1" applyProtection="1">
      <alignment vertical="center" wrapText="1"/>
      <protection locked="0"/>
    </xf>
    <xf numFmtId="0" fontId="3" fillId="0" borderId="4" xfId="5" applyFont="1" applyFill="1" applyBorder="1" applyAlignment="1" applyProtection="1">
      <alignment vertical="center" wrapText="1"/>
      <protection locked="0"/>
    </xf>
    <xf numFmtId="9" fontId="5" fillId="11" borderId="0" xfId="0" applyNumberFormat="1" applyFont="1" applyFill="1" applyBorder="1" applyAlignment="1">
      <alignment horizontal="right"/>
    </xf>
    <xf numFmtId="0" fontId="0" fillId="11" borderId="0" xfId="0" applyFill="1" applyBorder="1" applyAlignment="1">
      <alignment horizontal="right"/>
    </xf>
    <xf numFmtId="0" fontId="5" fillId="11" borderId="0" xfId="0" applyFont="1" applyFill="1" applyBorder="1" applyAlignment="1">
      <alignment horizontal="center"/>
    </xf>
    <xf numFmtId="3" fontId="1" fillId="11" borderId="0" xfId="0" applyNumberFormat="1" applyFont="1" applyFill="1" applyBorder="1" applyAlignment="1">
      <alignment horizontal="right"/>
    </xf>
    <xf numFmtId="4" fontId="1" fillId="11" borderId="0" xfId="0" applyNumberFormat="1" applyFont="1" applyFill="1" applyBorder="1" applyAlignment="1">
      <alignment horizontal="right"/>
    </xf>
    <xf numFmtId="0" fontId="18" fillId="11" borderId="0" xfId="0" applyFont="1" applyFill="1" applyBorder="1" applyAlignment="1">
      <alignment horizontal="center" vertical="center" wrapText="1"/>
    </xf>
    <xf numFmtId="1" fontId="18" fillId="11" borderId="0" xfId="0" applyNumberFormat="1" applyFont="1" applyFill="1" applyBorder="1" applyAlignment="1">
      <alignment horizontal="center" vertical="center" wrapText="1"/>
    </xf>
    <xf numFmtId="0" fontId="1" fillId="11" borderId="0" xfId="0" applyFont="1" applyFill="1" applyBorder="1" applyAlignment="1"/>
    <xf numFmtId="0" fontId="3" fillId="4" borderId="0" xfId="0" applyFont="1" applyFill="1" applyAlignment="1">
      <alignment wrapText="1"/>
    </xf>
    <xf numFmtId="0" fontId="0" fillId="4" borderId="0" xfId="0" applyFill="1" applyAlignment="1">
      <alignment wrapText="1"/>
    </xf>
    <xf numFmtId="165" fontId="0" fillId="4" borderId="14" xfId="2" applyNumberFormat="1" applyFont="1" applyFill="1" applyBorder="1" applyAlignment="1">
      <alignment wrapText="1"/>
    </xf>
    <xf numFmtId="165" fontId="0" fillId="4" borderId="0" xfId="2" applyNumberFormat="1" applyFont="1" applyFill="1" applyBorder="1" applyAlignment="1">
      <alignment wrapText="1"/>
    </xf>
    <xf numFmtId="165" fontId="0" fillId="4" borderId="15" xfId="2" applyNumberFormat="1" applyFont="1" applyFill="1" applyBorder="1" applyAlignment="1">
      <alignment wrapText="1"/>
    </xf>
    <xf numFmtId="165" fontId="0" fillId="4" borderId="0" xfId="2" applyNumberFormat="1" applyFont="1" applyFill="1" applyAlignment="1">
      <alignment wrapText="1"/>
    </xf>
    <xf numFmtId="0" fontId="24" fillId="4" borderId="0" xfId="0" applyFont="1" applyFill="1" applyAlignment="1">
      <alignment wrapText="1"/>
    </xf>
    <xf numFmtId="0" fontId="25" fillId="4" borderId="0" xfId="0" applyFont="1" applyFill="1" applyAlignment="1">
      <alignment wrapText="1"/>
    </xf>
    <xf numFmtId="0" fontId="25" fillId="4" borderId="0" xfId="0" applyFont="1" applyFill="1" applyBorder="1" applyAlignment="1">
      <alignment wrapText="1"/>
    </xf>
    <xf numFmtId="0" fontId="25" fillId="4" borderId="14" xfId="0" applyFont="1" applyFill="1" applyBorder="1" applyAlignment="1">
      <alignment wrapText="1"/>
    </xf>
    <xf numFmtId="165" fontId="25" fillId="4" borderId="14" xfId="2" applyNumberFormat="1" applyFont="1" applyFill="1" applyBorder="1" applyAlignment="1">
      <alignment wrapText="1"/>
    </xf>
    <xf numFmtId="165" fontId="25" fillId="4" borderId="0" xfId="2" applyNumberFormat="1" applyFont="1" applyFill="1" applyBorder="1" applyAlignment="1"/>
    <xf numFmtId="165" fontId="25" fillId="4" borderId="0" xfId="2" applyNumberFormat="1" applyFont="1" applyFill="1" applyBorder="1" applyAlignment="1">
      <alignment wrapText="1"/>
    </xf>
    <xf numFmtId="0" fontId="25" fillId="4" borderId="15" xfId="0" applyFont="1" applyFill="1" applyBorder="1" applyAlignment="1">
      <alignment wrapText="1"/>
    </xf>
    <xf numFmtId="165" fontId="25" fillId="4" borderId="15" xfId="2" applyNumberFormat="1" applyFont="1" applyFill="1" applyBorder="1" applyAlignment="1">
      <alignment wrapText="1"/>
    </xf>
    <xf numFmtId="165" fontId="25" fillId="4" borderId="0" xfId="2" applyNumberFormat="1" applyFont="1" applyFill="1" applyAlignment="1">
      <alignment wrapText="1"/>
    </xf>
    <xf numFmtId="0" fontId="3" fillId="4" borderId="0" xfId="0" applyFont="1" applyFill="1" applyAlignment="1"/>
    <xf numFmtId="0" fontId="3" fillId="4" borderId="0" xfId="0" applyFont="1" applyFill="1" applyBorder="1" applyAlignment="1">
      <alignment wrapText="1"/>
    </xf>
    <xf numFmtId="0" fontId="1" fillId="4" borderId="0" xfId="0" applyFont="1" applyFill="1" applyBorder="1" applyAlignment="1">
      <alignment wrapText="1"/>
    </xf>
    <xf numFmtId="0" fontId="0" fillId="4" borderId="15" xfId="0" applyFill="1" applyBorder="1" applyAlignment="1">
      <alignment horizontal="center" wrapText="1"/>
    </xf>
    <xf numFmtId="164" fontId="0" fillId="4" borderId="15" xfId="1" applyNumberFormat="1" applyFont="1" applyFill="1" applyBorder="1" applyAlignment="1">
      <alignment horizontal="center" wrapText="1"/>
    </xf>
    <xf numFmtId="0" fontId="0" fillId="4" borderId="0" xfId="0" applyFill="1" applyAlignment="1">
      <alignment horizontal="right" wrapText="1"/>
    </xf>
    <xf numFmtId="9" fontId="0" fillId="4" borderId="0" xfId="8" applyFont="1" applyFill="1" applyAlignment="1">
      <alignment horizontal="right" wrapText="1"/>
    </xf>
    <xf numFmtId="0" fontId="1" fillId="0" borderId="4" xfId="4" applyFont="1" applyBorder="1" applyAlignment="1" applyProtection="1">
      <alignment horizontal="center" vertical="center" wrapText="1"/>
      <protection locked="0"/>
    </xf>
    <xf numFmtId="14" fontId="5" fillId="0" borderId="4" xfId="4" applyNumberFormat="1" applyFont="1" applyBorder="1" applyAlignment="1" applyProtection="1">
      <alignment horizontal="center" vertical="center" wrapText="1"/>
      <protection locked="0"/>
    </xf>
    <xf numFmtId="0" fontId="1" fillId="0" borderId="4" xfId="9" applyFont="1" applyBorder="1" applyAlignment="1" applyProtection="1">
      <alignment horizontal="center" vertical="center" wrapText="1"/>
      <protection locked="0"/>
    </xf>
    <xf numFmtId="0" fontId="3" fillId="6" borderId="3" xfId="4" applyFont="1" applyFill="1" applyBorder="1" applyAlignment="1" applyProtection="1">
      <alignment horizontal="left" vertical="center"/>
    </xf>
    <xf numFmtId="0" fontId="25" fillId="0" borderId="0" xfId="4" applyFont="1" applyAlignment="1">
      <alignment vertical="center"/>
    </xf>
    <xf numFmtId="0" fontId="5" fillId="0" borderId="0" xfId="4" applyFont="1" applyFill="1" applyAlignment="1" applyProtection="1">
      <alignment vertical="center"/>
    </xf>
    <xf numFmtId="0" fontId="9" fillId="0" borderId="0" xfId="4" applyFont="1" applyFill="1" applyAlignment="1" applyProtection="1">
      <alignment vertical="center"/>
    </xf>
    <xf numFmtId="0" fontId="10" fillId="0" borderId="0" xfId="4" applyFont="1" applyFill="1" applyAlignment="1" applyProtection="1">
      <alignment vertical="center"/>
    </xf>
    <xf numFmtId="0" fontId="3" fillId="6" borderId="3" xfId="4" applyFont="1" applyFill="1" applyBorder="1" applyAlignment="1" applyProtection="1">
      <alignment vertical="center" wrapText="1"/>
    </xf>
    <xf numFmtId="0" fontId="4" fillId="3" borderId="4" xfId="4" applyFont="1" applyFill="1" applyBorder="1" applyAlignment="1" applyProtection="1">
      <alignment horizontal="center" vertical="center" wrapText="1"/>
    </xf>
    <xf numFmtId="0" fontId="3" fillId="8" borderId="4" xfId="4" applyFont="1" applyFill="1" applyBorder="1" applyAlignment="1" applyProtection="1">
      <alignment horizontal="center" vertical="center" wrapText="1"/>
    </xf>
    <xf numFmtId="0" fontId="3" fillId="5" borderId="4" xfId="4" applyFont="1" applyFill="1" applyBorder="1" applyAlignment="1" applyProtection="1">
      <alignment horizontal="center" vertical="center" wrapText="1"/>
    </xf>
    <xf numFmtId="0" fontId="3" fillId="0" borderId="0" xfId="4" applyFont="1" applyFill="1" applyBorder="1" applyAlignment="1" applyProtection="1">
      <alignment vertical="center" wrapText="1"/>
    </xf>
    <xf numFmtId="0" fontId="5" fillId="0" borderId="0" xfId="4" applyFont="1" applyBorder="1" applyAlignment="1" applyProtection="1">
      <alignment vertical="center"/>
    </xf>
    <xf numFmtId="0" fontId="1" fillId="0" borderId="4" xfId="4" applyFont="1" applyFill="1" applyBorder="1" applyAlignment="1" applyProtection="1">
      <alignment horizontal="left" vertical="center" wrapText="1"/>
    </xf>
    <xf numFmtId="0" fontId="1" fillId="0" borderId="4" xfId="4" applyFont="1" applyBorder="1" applyAlignment="1" applyProtection="1">
      <alignment horizontal="left" vertical="center" wrapText="1"/>
    </xf>
    <xf numFmtId="0" fontId="13" fillId="0" borderId="4" xfId="4" applyFont="1" applyBorder="1" applyAlignment="1" applyProtection="1">
      <alignment horizontal="left" vertical="center" wrapText="1"/>
    </xf>
    <xf numFmtId="0" fontId="5" fillId="0" borderId="4" xfId="4" applyFont="1" applyBorder="1" applyAlignment="1" applyProtection="1">
      <alignment horizontal="left" vertical="center" wrapText="1"/>
    </xf>
    <xf numFmtId="0" fontId="13" fillId="0" borderId="4" xfId="4" applyFont="1" applyBorder="1" applyAlignment="1" applyProtection="1">
      <alignment horizontal="center" vertical="center" wrapText="1"/>
    </xf>
    <xf numFmtId="0" fontId="5" fillId="0" borderId="4" xfId="4" applyFont="1" applyFill="1" applyBorder="1" applyAlignment="1" applyProtection="1">
      <alignment horizontal="left" vertical="center" wrapText="1"/>
    </xf>
    <xf numFmtId="0" fontId="0" fillId="0" borderId="0" xfId="0" applyProtection="1"/>
    <xf numFmtId="0" fontId="1" fillId="0" borderId="4" xfId="9" applyFont="1" applyFill="1" applyBorder="1" applyAlignment="1" applyProtection="1">
      <alignment horizontal="left" vertical="center" wrapText="1"/>
    </xf>
    <xf numFmtId="0" fontId="1" fillId="0" borderId="4" xfId="9" applyFont="1" applyBorder="1" applyAlignment="1" applyProtection="1">
      <alignment horizontal="left" vertical="center" wrapText="1"/>
    </xf>
    <xf numFmtId="0" fontId="13" fillId="0" borderId="4" xfId="9" applyFont="1" applyBorder="1" applyAlignment="1" applyProtection="1">
      <alignment horizontal="left" vertical="center" wrapText="1"/>
    </xf>
    <xf numFmtId="0" fontId="13" fillId="0" borderId="4" xfId="9" applyFont="1" applyBorder="1" applyAlignment="1" applyProtection="1">
      <alignment horizontal="center" vertical="center" wrapText="1"/>
    </xf>
    <xf numFmtId="0" fontId="5" fillId="0" borderId="0" xfId="4" applyFont="1" applyBorder="1" applyAlignment="1" applyProtection="1">
      <alignment vertical="center" textRotation="90" wrapText="1"/>
    </xf>
    <xf numFmtId="0" fontId="1" fillId="0" borderId="0" xfId="9" applyFont="1" applyFill="1" applyBorder="1" applyAlignment="1" applyProtection="1">
      <alignment horizontal="left" vertical="center" wrapText="1"/>
    </xf>
    <xf numFmtId="0" fontId="1" fillId="0" borderId="0" xfId="9" applyFont="1" applyBorder="1" applyAlignment="1" applyProtection="1">
      <alignment horizontal="left" vertical="center" wrapText="1"/>
    </xf>
    <xf numFmtId="0" fontId="13" fillId="0" borderId="0" xfId="9" applyFont="1" applyBorder="1" applyAlignment="1" applyProtection="1">
      <alignment horizontal="left" vertical="center" wrapText="1"/>
    </xf>
    <xf numFmtId="0" fontId="13" fillId="0" borderId="0" xfId="9" applyFont="1" applyBorder="1" applyAlignment="1" applyProtection="1">
      <alignment horizontal="center" vertical="center" wrapText="1"/>
    </xf>
    <xf numFmtId="0" fontId="1" fillId="0" borderId="16" xfId="0" applyFont="1" applyBorder="1" applyProtection="1"/>
    <xf numFmtId="0" fontId="1" fillId="0" borderId="17" xfId="0" applyFont="1" applyBorder="1" applyProtection="1"/>
    <xf numFmtId="0" fontId="1" fillId="0" borderId="18" xfId="0" applyFont="1" applyBorder="1" applyProtection="1"/>
    <xf numFmtId="0" fontId="3" fillId="0" borderId="2" xfId="0" applyFont="1" applyFill="1" applyBorder="1" applyProtection="1"/>
    <xf numFmtId="0" fontId="3" fillId="4" borderId="0" xfId="0" applyFont="1" applyFill="1" applyBorder="1" applyAlignment="1" applyProtection="1">
      <alignment horizontal="center"/>
    </xf>
    <xf numFmtId="0" fontId="1" fillId="0" borderId="19" xfId="0" applyFont="1" applyBorder="1" applyProtection="1"/>
    <xf numFmtId="0" fontId="0" fillId="2" borderId="2" xfId="0" applyFill="1" applyBorder="1" applyProtection="1"/>
    <xf numFmtId="9" fontId="5" fillId="9" borderId="0" xfId="0" applyNumberFormat="1" applyFont="1" applyFill="1" applyBorder="1" applyAlignment="1" applyProtection="1">
      <alignment horizontal="right"/>
    </xf>
    <xf numFmtId="0" fontId="1" fillId="9" borderId="19" xfId="0" applyFont="1" applyFill="1" applyBorder="1" applyAlignment="1" applyProtection="1">
      <alignment horizontal="center"/>
    </xf>
    <xf numFmtId="0" fontId="1" fillId="2" borderId="2" xfId="0" applyFont="1" applyFill="1" applyBorder="1" applyAlignment="1" applyProtection="1">
      <alignment horizontal="left" vertical="center" wrapText="1"/>
    </xf>
    <xf numFmtId="9" fontId="0" fillId="9" borderId="0" xfId="0" applyNumberFormat="1" applyFill="1" applyBorder="1" applyAlignment="1" applyProtection="1">
      <alignment horizontal="right"/>
    </xf>
    <xf numFmtId="0" fontId="0" fillId="9" borderId="0" xfId="0" applyNumberFormat="1" applyFill="1" applyBorder="1" applyAlignment="1" applyProtection="1">
      <alignment horizontal="right"/>
    </xf>
    <xf numFmtId="0" fontId="1" fillId="9" borderId="0" xfId="0" applyFont="1" applyFill="1" applyBorder="1" applyAlignment="1" applyProtection="1">
      <alignment horizontal="right"/>
    </xf>
    <xf numFmtId="0" fontId="1" fillId="2" borderId="2" xfId="0" applyFont="1" applyFill="1" applyBorder="1" applyProtection="1"/>
    <xf numFmtId="0" fontId="0" fillId="9" borderId="0" xfId="0" applyFill="1" applyBorder="1" applyAlignment="1" applyProtection="1">
      <alignment horizontal="right"/>
    </xf>
    <xf numFmtId="0" fontId="0" fillId="2" borderId="20" xfId="0" applyFill="1" applyBorder="1" applyProtection="1"/>
    <xf numFmtId="0" fontId="1" fillId="9" borderId="1" xfId="0" applyFont="1" applyFill="1" applyBorder="1" applyAlignment="1" applyProtection="1">
      <alignment horizontal="right"/>
    </xf>
    <xf numFmtId="0" fontId="0" fillId="9" borderId="1" xfId="0" applyFill="1" applyBorder="1" applyAlignment="1" applyProtection="1">
      <alignment horizontal="right"/>
    </xf>
    <xf numFmtId="0" fontId="1" fillId="9" borderId="21" xfId="0" applyFont="1" applyFill="1" applyBorder="1" applyAlignment="1" applyProtection="1">
      <alignment horizontal="center"/>
    </xf>
    <xf numFmtId="0" fontId="0" fillId="4" borderId="0" xfId="0" applyFill="1" applyBorder="1" applyProtection="1"/>
    <xf numFmtId="0" fontId="1" fillId="4" borderId="0" xfId="0" applyFont="1" applyFill="1" applyBorder="1" applyProtection="1"/>
    <xf numFmtId="0" fontId="0" fillId="4" borderId="0" xfId="0" applyFill="1" applyBorder="1" applyAlignment="1" applyProtection="1">
      <alignment horizontal="right"/>
    </xf>
    <xf numFmtId="9" fontId="5" fillId="4" borderId="0" xfId="4" applyNumberFormat="1" applyFont="1" applyFill="1" applyAlignment="1" applyProtection="1">
      <alignment vertical="center"/>
    </xf>
    <xf numFmtId="44" fontId="16" fillId="11" borderId="0" xfId="2" applyNumberFormat="1" applyFont="1" applyFill="1" applyBorder="1" applyAlignment="1">
      <alignment horizontal="left" indent="3" readingOrder="1"/>
    </xf>
    <xf numFmtId="0" fontId="1" fillId="4" borderId="0" xfId="0" applyFont="1" applyFill="1" applyAlignment="1">
      <alignment wrapText="1"/>
    </xf>
    <xf numFmtId="0" fontId="1" fillId="4" borderId="14" xfId="0" applyFont="1" applyFill="1" applyBorder="1" applyAlignment="1">
      <alignment wrapText="1"/>
    </xf>
    <xf numFmtId="165" fontId="1" fillId="4" borderId="14" xfId="2" applyNumberFormat="1" applyFont="1" applyFill="1" applyBorder="1" applyAlignment="1">
      <alignment wrapText="1"/>
    </xf>
    <xf numFmtId="165" fontId="1" fillId="4" borderId="0" xfId="2" applyNumberFormat="1" applyFont="1" applyFill="1" applyBorder="1" applyAlignment="1">
      <alignment wrapText="1"/>
    </xf>
    <xf numFmtId="0" fontId="1" fillId="4" borderId="15" xfId="0" applyFont="1" applyFill="1" applyBorder="1" applyAlignment="1">
      <alignment wrapText="1"/>
    </xf>
    <xf numFmtId="165" fontId="1" fillId="4" borderId="15" xfId="2" applyNumberFormat="1" applyFont="1" applyFill="1" applyBorder="1" applyAlignment="1">
      <alignment wrapText="1"/>
    </xf>
    <xf numFmtId="165" fontId="1" fillId="4" borderId="0" xfId="2" applyNumberFormat="1" applyFont="1" applyFill="1" applyAlignment="1">
      <alignment wrapText="1"/>
    </xf>
    <xf numFmtId="0" fontId="1" fillId="0" borderId="4" xfId="9" applyFont="1" applyBorder="1" applyAlignment="1" applyProtection="1">
      <alignment horizontal="left" vertical="top" wrapText="1"/>
      <protection locked="0"/>
    </xf>
    <xf numFmtId="165" fontId="1" fillId="0" borderId="0" xfId="0" applyNumberFormat="1" applyFont="1" applyBorder="1"/>
    <xf numFmtId="44" fontId="1" fillId="0" borderId="0" xfId="0" applyNumberFormat="1" applyFont="1" applyBorder="1"/>
    <xf numFmtId="165" fontId="1" fillId="4" borderId="0" xfId="0" applyNumberFormat="1" applyFont="1" applyFill="1" applyBorder="1"/>
    <xf numFmtId="0" fontId="1" fillId="0" borderId="0" xfId="0" applyNumberFormat="1" applyFont="1" applyFill="1" applyBorder="1"/>
    <xf numFmtId="0" fontId="1" fillId="0" borderId="4" xfId="9" quotePrefix="1" applyFont="1" applyBorder="1" applyAlignment="1" applyProtection="1">
      <alignment horizontal="left" vertical="center" wrapText="1"/>
      <protection locked="0"/>
    </xf>
    <xf numFmtId="0" fontId="1" fillId="0" borderId="5" xfId="4" applyFont="1" applyFill="1" applyBorder="1" applyAlignment="1" applyProtection="1">
      <alignment vertical="center" wrapText="1"/>
      <protection locked="0"/>
    </xf>
    <xf numFmtId="0" fontId="5" fillId="0" borderId="6" xfId="4" applyFont="1" applyFill="1" applyBorder="1" applyAlignment="1" applyProtection="1">
      <alignment vertical="center" wrapText="1"/>
      <protection locked="0"/>
    </xf>
    <xf numFmtId="0" fontId="5" fillId="0" borderId="7" xfId="4" applyFont="1" applyFill="1" applyBorder="1" applyAlignment="1" applyProtection="1">
      <alignment vertical="center" wrapText="1"/>
      <protection locked="0"/>
    </xf>
    <xf numFmtId="0" fontId="14" fillId="0" borderId="8" xfId="4" applyFont="1" applyFill="1" applyBorder="1" applyAlignment="1" applyProtection="1">
      <alignment horizontal="center" vertical="center" wrapText="1"/>
    </xf>
    <xf numFmtId="0" fontId="14" fillId="0" borderId="12" xfId="4" applyFont="1" applyFill="1" applyBorder="1" applyAlignment="1" applyProtection="1">
      <alignment horizontal="center" vertical="center" wrapText="1"/>
    </xf>
    <xf numFmtId="0" fontId="14" fillId="0" borderId="13" xfId="4" applyFont="1" applyFill="1" applyBorder="1" applyAlignment="1" applyProtection="1">
      <alignment horizontal="center" vertical="center" wrapText="1"/>
    </xf>
    <xf numFmtId="0" fontId="5" fillId="0" borderId="9" xfId="4" applyFont="1" applyBorder="1" applyAlignment="1" applyProtection="1">
      <alignment horizontal="left" vertical="center" wrapText="1"/>
      <protection locked="0"/>
    </xf>
    <xf numFmtId="0" fontId="5" fillId="0" borderId="10" xfId="4" applyFont="1" applyBorder="1" applyAlignment="1" applyProtection="1">
      <alignment horizontal="left" vertical="center" wrapText="1"/>
      <protection locked="0"/>
    </xf>
    <xf numFmtId="0" fontId="5" fillId="0" borderId="11" xfId="4" applyFont="1" applyBorder="1" applyAlignment="1" applyProtection="1">
      <alignment horizontal="left" vertical="center" wrapText="1"/>
      <protection locked="0"/>
    </xf>
    <xf numFmtId="0" fontId="5" fillId="0" borderId="10" xfId="4" applyFont="1" applyBorder="1" applyAlignment="1" applyProtection="1">
      <alignment horizontal="left" vertical="center"/>
      <protection locked="0"/>
    </xf>
    <xf numFmtId="0" fontId="5" fillId="0" borderId="11" xfId="4" applyFont="1" applyBorder="1" applyAlignment="1" applyProtection="1">
      <alignment horizontal="left" vertical="center"/>
      <protection locked="0"/>
    </xf>
    <xf numFmtId="0" fontId="3" fillId="6" borderId="3" xfId="4" applyFont="1" applyFill="1" applyBorder="1" applyAlignment="1" applyProtection="1">
      <alignment horizontal="left" vertical="center"/>
    </xf>
    <xf numFmtId="0" fontId="11" fillId="0" borderId="0" xfId="4" applyFont="1" applyFill="1" applyBorder="1" applyAlignment="1" applyProtection="1">
      <alignment horizontal="left" vertical="center"/>
      <protection locked="0"/>
    </xf>
    <xf numFmtId="0" fontId="1" fillId="0" borderId="5" xfId="4" applyFont="1" applyBorder="1" applyAlignment="1" applyProtection="1">
      <alignment vertical="center" wrapText="1"/>
      <protection locked="0"/>
    </xf>
    <xf numFmtId="0" fontId="5" fillId="0" borderId="6" xfId="4" applyFont="1" applyBorder="1" applyAlignment="1" applyProtection="1">
      <alignment vertical="center" wrapText="1"/>
      <protection locked="0"/>
    </xf>
    <xf numFmtId="0" fontId="5" fillId="0" borderId="7" xfId="4" applyFont="1" applyBorder="1" applyAlignment="1" applyProtection="1">
      <alignment vertical="center" wrapText="1"/>
      <protection locked="0"/>
    </xf>
    <xf numFmtId="0" fontId="5" fillId="0" borderId="5" xfId="4" applyFont="1" applyBorder="1" applyAlignment="1" applyProtection="1">
      <alignment vertical="center" wrapText="1"/>
      <protection locked="0"/>
    </xf>
    <xf numFmtId="0" fontId="1" fillId="0" borderId="6" xfId="4" applyFont="1" applyBorder="1" applyAlignment="1" applyProtection="1">
      <alignment vertical="center" wrapText="1"/>
      <protection locked="0"/>
    </xf>
    <xf numFmtId="0" fontId="1" fillId="0" borderId="7" xfId="4" applyFont="1" applyBorder="1" applyAlignment="1" applyProtection="1">
      <alignment vertical="center" wrapText="1"/>
      <protection locked="0"/>
    </xf>
    <xf numFmtId="0" fontId="3" fillId="0" borderId="5" xfId="4" applyFont="1" applyFill="1" applyBorder="1" applyAlignment="1" applyProtection="1">
      <alignment vertical="center" wrapText="1"/>
      <protection locked="0"/>
    </xf>
    <xf numFmtId="0" fontId="3" fillId="0" borderId="6" xfId="4" applyFont="1" applyFill="1" applyBorder="1" applyAlignment="1" applyProtection="1">
      <alignment vertical="center" wrapText="1"/>
      <protection locked="0"/>
    </xf>
    <xf numFmtId="0" fontId="3" fillId="0" borderId="7" xfId="4" applyFont="1" applyFill="1" applyBorder="1" applyAlignment="1" applyProtection="1">
      <alignment vertical="center" wrapText="1"/>
      <protection locked="0"/>
    </xf>
    <xf numFmtId="0" fontId="1" fillId="0" borderId="5" xfId="4" applyFont="1" applyFill="1" applyBorder="1" applyAlignment="1" applyProtection="1">
      <alignment horizontal="left" vertical="center" wrapText="1"/>
      <protection locked="0"/>
    </xf>
    <xf numFmtId="0" fontId="0" fillId="0" borderId="6" xfId="0" applyBorder="1" applyAlignment="1">
      <alignment horizontal="left"/>
    </xf>
    <xf numFmtId="0" fontId="0" fillId="0" borderId="7" xfId="0" applyBorder="1" applyAlignment="1">
      <alignment horizontal="left"/>
    </xf>
    <xf numFmtId="0" fontId="1" fillId="0" borderId="6" xfId="4" applyFont="1" applyFill="1" applyBorder="1" applyAlignment="1" applyProtection="1">
      <alignment horizontal="left" vertical="center" wrapText="1"/>
      <protection locked="0"/>
    </xf>
    <xf numFmtId="0" fontId="1" fillId="0" borderId="7" xfId="4" applyFont="1" applyFill="1" applyBorder="1" applyAlignment="1" applyProtection="1">
      <alignment horizontal="left" vertical="center" wrapText="1"/>
      <protection locked="0"/>
    </xf>
    <xf numFmtId="0" fontId="1" fillId="4" borderId="5" xfId="4" applyFont="1" applyFill="1" applyBorder="1" applyAlignment="1" applyProtection="1">
      <alignment horizontal="left" vertical="center" wrapText="1"/>
      <protection locked="0"/>
    </xf>
    <xf numFmtId="0" fontId="1" fillId="4" borderId="6" xfId="4" applyFont="1" applyFill="1" applyBorder="1" applyAlignment="1" applyProtection="1">
      <alignment horizontal="left" vertical="center" wrapText="1"/>
      <protection locked="0"/>
    </xf>
    <xf numFmtId="0" fontId="1" fillId="4" borderId="7" xfId="4" applyFont="1" applyFill="1" applyBorder="1" applyAlignment="1" applyProtection="1">
      <alignment horizontal="left" vertical="center" wrapText="1"/>
      <protection locked="0"/>
    </xf>
    <xf numFmtId="0" fontId="3" fillId="0" borderId="0" xfId="0" applyFont="1" applyBorder="1" applyAlignment="1">
      <alignment horizontal="left" wrapText="1" readingOrder="1"/>
    </xf>
    <xf numFmtId="0" fontId="3" fillId="0" borderId="0" xfId="0" applyFont="1" applyBorder="1" applyAlignment="1">
      <alignment horizontal="left" vertical="center" wrapText="1" readingOrder="1"/>
    </xf>
    <xf numFmtId="0" fontId="10" fillId="0" borderId="1" xfId="4" applyFont="1" applyFill="1" applyBorder="1" applyAlignment="1" applyProtection="1">
      <alignment horizontal="center" vertical="center"/>
    </xf>
    <xf numFmtId="0" fontId="14" fillId="0" borderId="4" xfId="4" applyFont="1" applyFill="1" applyBorder="1" applyAlignment="1" applyProtection="1">
      <alignment horizontal="center" vertical="center" wrapText="1"/>
    </xf>
    <xf numFmtId="0" fontId="5" fillId="2" borderId="5" xfId="4" applyFont="1" applyFill="1" applyBorder="1" applyAlignment="1" applyProtection="1">
      <alignment horizontal="left" vertical="center" wrapText="1"/>
    </xf>
    <xf numFmtId="0" fontId="5" fillId="2" borderId="6" xfId="4" applyFont="1" applyFill="1" applyBorder="1" applyAlignment="1" applyProtection="1">
      <alignment horizontal="left" vertical="center" wrapText="1"/>
    </xf>
    <xf numFmtId="0" fontId="5" fillId="2" borderId="7" xfId="4" applyFont="1" applyFill="1" applyBorder="1" applyAlignment="1" applyProtection="1">
      <alignment horizontal="left" vertical="center" wrapText="1"/>
    </xf>
  </cellXfs>
  <cellStyles count="10">
    <cellStyle name="Blank" xfId="5" xr:uid="{00000000-0005-0000-0000-000000000000}"/>
    <cellStyle name="Comma" xfId="1" builtinId="3"/>
    <cellStyle name="Currency" xfId="2" builtinId="4"/>
    <cellStyle name="Hyperlink 2" xfId="6" xr:uid="{00000000-0005-0000-0000-000003000000}"/>
    <cellStyle name="Hyperlink Check." xfId="7" xr:uid="{00000000-0005-0000-0000-000004000000}"/>
    <cellStyle name="Normal" xfId="0" builtinId="0"/>
    <cellStyle name="Normal 2" xfId="4" xr:uid="{00000000-0005-0000-0000-000006000000}"/>
    <cellStyle name="Normal 2 2" xfId="9" xr:uid="{00000000-0005-0000-0000-000007000000}"/>
    <cellStyle name="Normal_Sheet1" xfId="3" xr:uid="{00000000-0005-0000-0000-000008000000}"/>
    <cellStyle name="Percent" xfId="8" builtinId="5"/>
  </cellStyles>
  <dxfs count="15">
    <dxf>
      <font>
        <b/>
        <i val="0"/>
        <condense val="0"/>
        <extend val="0"/>
      </font>
      <fill>
        <patternFill>
          <bgColor indexed="50"/>
        </patternFill>
      </fill>
    </dxf>
    <dxf>
      <font>
        <b/>
        <i val="0"/>
        <condense val="0"/>
        <extend val="0"/>
      </font>
      <fill>
        <patternFill>
          <bgColor indexed="52"/>
        </patternFill>
      </fill>
    </dxf>
    <dxf>
      <font>
        <b/>
        <i val="0"/>
        <strike val="0"/>
        <condense val="0"/>
        <extend val="0"/>
        <color indexed="9"/>
      </font>
      <fill>
        <patternFill>
          <bgColor indexed="10"/>
        </patternFill>
      </fill>
    </dxf>
    <dxf>
      <font>
        <b/>
        <i val="0"/>
        <condense val="0"/>
        <extend val="0"/>
      </font>
      <fill>
        <patternFill>
          <bgColor indexed="50"/>
        </patternFill>
      </fill>
    </dxf>
    <dxf>
      <font>
        <b/>
        <i val="0"/>
        <condense val="0"/>
        <extend val="0"/>
      </font>
      <fill>
        <patternFill>
          <bgColor indexed="52"/>
        </patternFill>
      </fill>
    </dxf>
    <dxf>
      <font>
        <b/>
        <i val="0"/>
        <strike val="0"/>
        <condense val="0"/>
        <extend val="0"/>
        <color indexed="9"/>
      </font>
      <fill>
        <patternFill>
          <bgColor indexed="10"/>
        </patternFill>
      </fill>
    </dxf>
    <dxf>
      <font>
        <color theme="0"/>
      </font>
      <fill>
        <patternFill patternType="none">
          <bgColor auto="1"/>
        </patternFill>
      </fill>
    </dxf>
    <dxf>
      <font>
        <b/>
        <i val="0"/>
        <condense val="0"/>
        <extend val="0"/>
        <color indexed="9"/>
      </font>
      <fill>
        <patternFill>
          <bgColor indexed="10"/>
        </patternFill>
      </fill>
    </dxf>
    <dxf>
      <font>
        <b/>
        <i val="0"/>
      </font>
      <fill>
        <patternFill>
          <bgColor indexed="52"/>
        </patternFill>
      </fill>
    </dxf>
    <dxf>
      <font>
        <b/>
        <i val="0"/>
      </font>
      <fill>
        <patternFill>
          <bgColor indexed="50"/>
        </patternFill>
      </fill>
    </dxf>
    <dxf>
      <font>
        <b/>
        <i val="0"/>
        <strike val="0"/>
        <color theme="0"/>
      </font>
      <fill>
        <patternFill>
          <bgColor indexed="10"/>
        </patternFill>
      </fill>
    </dxf>
    <dxf>
      <font>
        <b/>
        <i val="0"/>
        <condense val="0"/>
        <extend val="0"/>
        <color indexed="8"/>
      </font>
      <fill>
        <patternFill>
          <bgColor indexed="50"/>
        </patternFill>
      </fill>
    </dxf>
    <dxf>
      <font>
        <b/>
        <i val="0"/>
        <condense val="0"/>
        <extend val="0"/>
        <color indexed="9"/>
      </font>
      <fill>
        <patternFill>
          <bgColor indexed="10"/>
        </patternFill>
      </fill>
    </dxf>
    <dxf>
      <font>
        <b/>
        <i val="0"/>
      </font>
      <fill>
        <patternFill>
          <bgColor indexed="52"/>
        </patternFill>
      </fill>
    </dxf>
    <dxf>
      <font>
        <b/>
        <i val="0"/>
      </font>
      <fill>
        <patternFill>
          <bgColor indexed="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1</xdr:row>
      <xdr:rowOff>0</xdr:rowOff>
    </xdr:to>
    <xdr:pic>
      <xdr:nvPicPr>
        <xdr:cNvPr id="2" name="Picture 26" descr="MoJ intranet homepag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t="23529" b="26471"/>
        <a:stretch>
          <a:fillRect/>
        </a:stretch>
      </xdr:blipFill>
      <xdr:spPr bwMode="auto">
        <a:xfrm>
          <a:off x="0" y="0"/>
          <a:ext cx="1790700" cy="323850"/>
        </a:xfrm>
        <a:prstGeom prst="rect">
          <a:avLst/>
        </a:prstGeom>
        <a:solidFill>
          <a:srgbClr val="33CCCC"/>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1600200</xdr:colOff>
      <xdr:row>1</xdr:row>
      <xdr:rowOff>123825</xdr:rowOff>
    </xdr:to>
    <xdr:pic>
      <xdr:nvPicPr>
        <xdr:cNvPr id="2" name="Picture 6" descr="MoJ intranet homepage">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t="23529" b="26471"/>
        <a:stretch>
          <a:fillRect/>
        </a:stretch>
      </xdr:blipFill>
      <xdr:spPr bwMode="auto">
        <a:xfrm>
          <a:off x="0" y="0"/>
          <a:ext cx="1790700" cy="323850"/>
        </a:xfrm>
        <a:prstGeom prst="rect">
          <a:avLst/>
        </a:prstGeom>
        <a:solidFill>
          <a:srgbClr val="33CCCC"/>
        </a:solid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4"/>
    <pageSetUpPr fitToPage="1"/>
  </sheetPr>
  <dimension ref="A1:K60"/>
  <sheetViews>
    <sheetView showGridLines="0" tabSelected="1" zoomScaleNormal="100" workbookViewId="0">
      <selection activeCell="D69" sqref="D69"/>
    </sheetView>
  </sheetViews>
  <sheetFormatPr defaultColWidth="9.109375" defaultRowHeight="13.2" x14ac:dyDescent="0.25"/>
  <cols>
    <col min="1" max="1" width="2.88671875" style="39" customWidth="1"/>
    <col min="2" max="2" width="25.6640625" style="39" customWidth="1"/>
    <col min="3" max="3" width="20.6640625" style="39" customWidth="1"/>
    <col min="4" max="4" width="12.6640625" style="39" bestFit="1" customWidth="1"/>
    <col min="5" max="5" width="20.6640625" style="39" customWidth="1"/>
    <col min="6" max="6" width="28.6640625" style="39" customWidth="1"/>
    <col min="7" max="7" width="33.109375" style="39" customWidth="1"/>
    <col min="8" max="8" width="15.6640625" style="39" customWidth="1"/>
    <col min="9" max="9" width="44.109375" style="39" customWidth="1"/>
    <col min="10" max="10" width="23.6640625" style="39" customWidth="1"/>
    <col min="11" max="16384" width="9.109375" style="39"/>
  </cols>
  <sheetData>
    <row r="1" spans="1:11" s="5" customFormat="1" ht="25.5" customHeight="1" x14ac:dyDescent="0.25">
      <c r="B1" s="6"/>
      <c r="D1" s="7" t="s">
        <v>26</v>
      </c>
      <c r="E1" s="7"/>
    </row>
    <row r="2" spans="1:11" s="8" customFormat="1" ht="13.8" thickBot="1" x14ac:dyDescent="0.3">
      <c r="A2" s="240"/>
      <c r="B2" s="240"/>
    </row>
    <row r="3" spans="1:11" s="9" customFormat="1" ht="12.75" customHeight="1" x14ac:dyDescent="0.25">
      <c r="K3" s="10"/>
    </row>
    <row r="4" spans="1:11" s="9" customFormat="1" ht="12.75" customHeight="1" x14ac:dyDescent="0.25">
      <c r="B4" s="241" t="s">
        <v>27</v>
      </c>
      <c r="C4" s="241"/>
      <c r="D4" s="241"/>
    </row>
    <row r="5" spans="1:11" s="11" customFormat="1" ht="12.75" customHeight="1" x14ac:dyDescent="0.25">
      <c r="B5" s="12" t="s">
        <v>28</v>
      </c>
      <c r="C5" s="242" t="s">
        <v>88</v>
      </c>
      <c r="D5" s="243"/>
      <c r="E5" s="243"/>
      <c r="F5" s="243"/>
      <c r="G5" s="243"/>
      <c r="H5" s="243"/>
      <c r="I5" s="244"/>
    </row>
    <row r="6" spans="1:11" s="14" customFormat="1" ht="12.75" customHeight="1" x14ac:dyDescent="0.25">
      <c r="A6" s="13"/>
      <c r="B6" s="12" t="s">
        <v>29</v>
      </c>
      <c r="C6" s="245" t="s">
        <v>86</v>
      </c>
      <c r="D6" s="243"/>
      <c r="E6" s="243"/>
      <c r="F6" s="243"/>
      <c r="G6" s="243"/>
      <c r="H6" s="243"/>
      <c r="I6" s="244"/>
    </row>
    <row r="7" spans="1:11" s="11" customFormat="1" ht="78" customHeight="1" x14ac:dyDescent="0.25">
      <c r="B7" s="12" t="s">
        <v>30</v>
      </c>
      <c r="C7" s="242" t="s">
        <v>314</v>
      </c>
      <c r="D7" s="246"/>
      <c r="E7" s="246"/>
      <c r="F7" s="246"/>
      <c r="G7" s="246"/>
      <c r="H7" s="246"/>
      <c r="I7" s="247"/>
    </row>
    <row r="8" spans="1:11" s="11" customFormat="1" ht="72.75" customHeight="1" x14ac:dyDescent="0.25">
      <c r="B8" s="130" t="s">
        <v>291</v>
      </c>
      <c r="C8" s="242" t="s">
        <v>307</v>
      </c>
      <c r="D8" s="243"/>
      <c r="E8" s="243"/>
      <c r="F8" s="243"/>
      <c r="G8" s="243"/>
      <c r="H8" s="243"/>
      <c r="I8" s="244"/>
    </row>
    <row r="9" spans="1:11" s="11" customFormat="1" x14ac:dyDescent="0.25">
      <c r="B9" s="15"/>
      <c r="C9" s="129"/>
      <c r="D9" s="25"/>
      <c r="E9" s="25"/>
      <c r="F9" s="25"/>
      <c r="G9" s="25"/>
      <c r="H9" s="25"/>
      <c r="I9" s="25"/>
    </row>
    <row r="10" spans="1:11" s="11" customFormat="1" x14ac:dyDescent="0.25">
      <c r="B10" s="15"/>
      <c r="C10" s="16"/>
      <c r="D10" s="16"/>
      <c r="E10" s="16"/>
      <c r="F10" s="17"/>
      <c r="G10" s="17"/>
      <c r="H10" s="17"/>
    </row>
    <row r="11" spans="1:11" s="11" customFormat="1" ht="12.75" customHeight="1" x14ac:dyDescent="0.25">
      <c r="B11" s="18" t="s">
        <v>31</v>
      </c>
      <c r="C11" s="13"/>
      <c r="D11" s="13"/>
      <c r="E11" s="19"/>
      <c r="F11" s="20"/>
      <c r="G11" s="21"/>
      <c r="H11" s="21"/>
    </row>
    <row r="12" spans="1:11" s="11" customFormat="1" ht="12.75" customHeight="1" x14ac:dyDescent="0.25">
      <c r="B12" s="22" t="s">
        <v>32</v>
      </c>
      <c r="C12" s="22" t="s">
        <v>33</v>
      </c>
      <c r="E12" s="19"/>
      <c r="F12" s="20"/>
      <c r="G12" s="21"/>
      <c r="H12" s="21"/>
    </row>
    <row r="13" spans="1:11" s="11" customFormat="1" ht="12.75" customHeight="1" x14ac:dyDescent="0.25">
      <c r="B13" s="162" t="s">
        <v>296</v>
      </c>
      <c r="C13" s="163">
        <v>42662</v>
      </c>
      <c r="E13" s="19"/>
      <c r="F13" s="20"/>
      <c r="G13" s="21"/>
      <c r="H13" s="21"/>
    </row>
    <row r="14" spans="1:11" s="11" customFormat="1" ht="12.75" customHeight="1" x14ac:dyDescent="0.25">
      <c r="B14" s="19"/>
      <c r="C14" s="19"/>
      <c r="D14" s="19"/>
      <c r="E14" s="19"/>
      <c r="F14" s="20"/>
      <c r="G14" s="21"/>
      <c r="H14" s="21"/>
    </row>
    <row r="15" spans="1:11" s="11" customFormat="1" ht="12.75" customHeight="1" x14ac:dyDescent="0.25">
      <c r="B15" s="19"/>
      <c r="C15" s="19"/>
      <c r="D15" s="19"/>
      <c r="E15" s="19"/>
      <c r="F15" s="20"/>
      <c r="G15" s="21"/>
      <c r="H15" s="21"/>
    </row>
    <row r="16" spans="1:11" s="11" customFormat="1" ht="12.75" hidden="1" customHeight="1" x14ac:dyDescent="0.25">
      <c r="B16" s="24" t="s">
        <v>34</v>
      </c>
      <c r="G16" s="25"/>
    </row>
    <row r="17" spans="2:9" s="11" customFormat="1" ht="12.75" hidden="1" customHeight="1" x14ac:dyDescent="0.25">
      <c r="B17" s="26" t="s">
        <v>32</v>
      </c>
      <c r="C17" s="26" t="s">
        <v>19</v>
      </c>
      <c r="D17" s="26" t="s">
        <v>35</v>
      </c>
      <c r="E17" s="248" t="s">
        <v>36</v>
      </c>
      <c r="F17" s="249"/>
      <c r="G17" s="249"/>
      <c r="H17" s="249"/>
      <c r="I17" s="250"/>
    </row>
    <row r="18" spans="2:9" s="11" customFormat="1" ht="26.4" hidden="1" x14ac:dyDescent="0.25">
      <c r="B18" s="27" t="s">
        <v>140</v>
      </c>
      <c r="C18" s="28">
        <v>42278</v>
      </c>
      <c r="D18" s="29" t="s">
        <v>20</v>
      </c>
      <c r="E18" s="95" t="s">
        <v>214</v>
      </c>
      <c r="F18" s="90"/>
      <c r="G18" s="90"/>
      <c r="H18" s="90"/>
      <c r="I18" s="91"/>
    </row>
    <row r="19" spans="2:9" s="11" customFormat="1" ht="28.5" hidden="1" customHeight="1" x14ac:dyDescent="0.25">
      <c r="B19" s="27" t="s">
        <v>141</v>
      </c>
      <c r="C19" s="28">
        <v>42278</v>
      </c>
      <c r="D19" s="29" t="s">
        <v>20</v>
      </c>
      <c r="E19" s="251" t="s">
        <v>142</v>
      </c>
      <c r="F19" s="254"/>
      <c r="G19" s="254"/>
      <c r="H19" s="254"/>
      <c r="I19" s="255"/>
    </row>
    <row r="20" spans="2:9" s="11" customFormat="1" ht="122.25" hidden="1" customHeight="1" x14ac:dyDescent="0.25">
      <c r="B20" s="27" t="s">
        <v>143</v>
      </c>
      <c r="C20" s="28">
        <v>42286</v>
      </c>
      <c r="D20" s="29" t="s">
        <v>102</v>
      </c>
      <c r="E20" s="256" t="s">
        <v>290</v>
      </c>
      <c r="F20" s="257"/>
      <c r="G20" s="257"/>
      <c r="H20" s="257"/>
      <c r="I20" s="258"/>
    </row>
    <row r="21" spans="2:9" s="11" customFormat="1" ht="41.25" hidden="1" customHeight="1" x14ac:dyDescent="0.25">
      <c r="B21" s="27" t="s">
        <v>144</v>
      </c>
      <c r="C21" s="28">
        <v>42309</v>
      </c>
      <c r="D21" s="29" t="s">
        <v>102</v>
      </c>
      <c r="E21" s="251" t="s">
        <v>187</v>
      </c>
      <c r="F21" s="252"/>
      <c r="G21" s="252"/>
      <c r="H21" s="252"/>
      <c r="I21" s="253"/>
    </row>
    <row r="22" spans="2:9" s="11" customFormat="1" ht="54.75" hidden="1" customHeight="1" x14ac:dyDescent="0.25">
      <c r="B22" s="27" t="s">
        <v>215</v>
      </c>
      <c r="C22" s="28">
        <v>42317</v>
      </c>
      <c r="D22" s="29" t="s">
        <v>102</v>
      </c>
      <c r="E22" s="251" t="s">
        <v>278</v>
      </c>
      <c r="F22" s="254"/>
      <c r="G22" s="254"/>
      <c r="H22" s="254"/>
      <c r="I22" s="255"/>
    </row>
    <row r="23" spans="2:9" s="11" customFormat="1" ht="28.5" hidden="1" customHeight="1" x14ac:dyDescent="0.25">
      <c r="B23" s="27" t="s">
        <v>288</v>
      </c>
      <c r="C23" s="28">
        <v>42334</v>
      </c>
      <c r="D23" s="29" t="s">
        <v>102</v>
      </c>
      <c r="E23" s="229" t="s">
        <v>289</v>
      </c>
      <c r="F23" s="230"/>
      <c r="G23" s="230"/>
      <c r="H23" s="230"/>
      <c r="I23" s="231"/>
    </row>
    <row r="24" spans="2:9" s="11" customFormat="1" ht="27" hidden="1" customHeight="1" x14ac:dyDescent="0.25">
      <c r="B24" s="27" t="s">
        <v>297</v>
      </c>
      <c r="C24" s="28">
        <v>42356</v>
      </c>
      <c r="D24" s="29" t="s">
        <v>102</v>
      </c>
      <c r="E24" s="229" t="s">
        <v>295</v>
      </c>
      <c r="F24" s="230"/>
      <c r="G24" s="230"/>
      <c r="H24" s="230"/>
      <c r="I24" s="231"/>
    </row>
    <row r="25" spans="2:9" s="11" customFormat="1" ht="30" hidden="1" customHeight="1" x14ac:dyDescent="0.25">
      <c r="B25" s="27" t="s">
        <v>298</v>
      </c>
      <c r="C25" s="28">
        <v>42356</v>
      </c>
      <c r="D25" s="29" t="s">
        <v>299</v>
      </c>
      <c r="E25" s="229" t="s">
        <v>300</v>
      </c>
      <c r="F25" s="230"/>
      <c r="G25" s="230"/>
      <c r="H25" s="230"/>
      <c r="I25" s="231"/>
    </row>
    <row r="26" spans="2:9" s="11" customFormat="1" ht="12.75" hidden="1" customHeight="1" x14ac:dyDescent="0.25">
      <c r="B26" s="27" t="s">
        <v>301</v>
      </c>
      <c r="C26" s="28">
        <v>42377</v>
      </c>
      <c r="D26" s="29" t="s">
        <v>102</v>
      </c>
      <c r="E26" s="229" t="s">
        <v>302</v>
      </c>
      <c r="F26" s="230"/>
      <c r="G26" s="230"/>
      <c r="H26" s="230"/>
      <c r="I26" s="231"/>
    </row>
    <row r="27" spans="2:9" s="11" customFormat="1" ht="66.75" hidden="1" customHeight="1" x14ac:dyDescent="0.25">
      <c r="B27" s="27" t="s">
        <v>310</v>
      </c>
      <c r="C27" s="28">
        <v>42488</v>
      </c>
      <c r="D27" s="29" t="s">
        <v>102</v>
      </c>
      <c r="E27" s="229" t="s">
        <v>311</v>
      </c>
      <c r="F27" s="230"/>
      <c r="G27" s="230"/>
      <c r="H27" s="230"/>
      <c r="I27" s="231"/>
    </row>
    <row r="28" spans="2:9" s="11" customFormat="1" ht="90" hidden="1" customHeight="1" x14ac:dyDescent="0.25">
      <c r="B28" s="27" t="s">
        <v>317</v>
      </c>
      <c r="C28" s="28">
        <v>42632</v>
      </c>
      <c r="D28" s="29" t="s">
        <v>318</v>
      </c>
      <c r="E28" s="229" t="s">
        <v>324</v>
      </c>
      <c r="F28" s="230"/>
      <c r="G28" s="230"/>
      <c r="H28" s="230"/>
      <c r="I28" s="231"/>
    </row>
    <row r="29" spans="2:9" s="11" customFormat="1" ht="12.75" hidden="1" customHeight="1" x14ac:dyDescent="0.25">
      <c r="B29" s="9"/>
      <c r="C29" s="9"/>
      <c r="D29" s="9"/>
      <c r="E29" s="31"/>
      <c r="F29" s="31"/>
    </row>
    <row r="30" spans="2:9" s="11" customFormat="1" ht="12.75" hidden="1" customHeight="1" x14ac:dyDescent="0.25">
      <c r="B30" s="36" t="s">
        <v>46</v>
      </c>
    </row>
    <row r="31" spans="2:9" s="11" customFormat="1" ht="39.6" hidden="1" x14ac:dyDescent="0.25">
      <c r="B31" s="37" t="s">
        <v>32</v>
      </c>
      <c r="C31" s="37" t="s">
        <v>47</v>
      </c>
      <c r="D31" s="37" t="s">
        <v>48</v>
      </c>
      <c r="E31" s="37" t="s">
        <v>49</v>
      </c>
      <c r="F31" s="37" t="s">
        <v>50</v>
      </c>
      <c r="G31" s="37" t="s">
        <v>51</v>
      </c>
      <c r="H31" s="37" t="s">
        <v>52</v>
      </c>
      <c r="I31" s="38" t="s">
        <v>53</v>
      </c>
    </row>
    <row r="32" spans="2:9" s="11" customFormat="1" ht="26.4" hidden="1" x14ac:dyDescent="0.25">
      <c r="B32" s="27" t="s">
        <v>125</v>
      </c>
      <c r="C32" s="29" t="s">
        <v>137</v>
      </c>
      <c r="D32" s="29" t="s">
        <v>102</v>
      </c>
      <c r="E32" s="37" t="s">
        <v>38</v>
      </c>
      <c r="F32" s="29" t="s">
        <v>138</v>
      </c>
      <c r="G32" s="29"/>
      <c r="H32" s="23"/>
      <c r="I32" s="27"/>
    </row>
    <row r="33" spans="2:10" s="11" customFormat="1" ht="79.2" hidden="1" x14ac:dyDescent="0.25">
      <c r="B33" s="27" t="s">
        <v>125</v>
      </c>
      <c r="C33" s="29" t="s">
        <v>137</v>
      </c>
      <c r="D33" s="29" t="s">
        <v>20</v>
      </c>
      <c r="E33" s="37" t="s">
        <v>38</v>
      </c>
      <c r="F33" s="29" t="s">
        <v>212</v>
      </c>
      <c r="G33" s="29" t="s">
        <v>213</v>
      </c>
      <c r="H33" s="23"/>
      <c r="I33" s="27"/>
    </row>
    <row r="34" spans="2:10" s="11" customFormat="1" ht="39.6" hidden="1" x14ac:dyDescent="0.25">
      <c r="B34" s="27" t="s">
        <v>125</v>
      </c>
      <c r="C34" s="96" t="s">
        <v>137</v>
      </c>
      <c r="D34" s="96" t="s">
        <v>188</v>
      </c>
      <c r="E34" s="37" t="s">
        <v>40</v>
      </c>
      <c r="F34" s="96" t="s">
        <v>189</v>
      </c>
      <c r="G34" s="96" t="s">
        <v>190</v>
      </c>
      <c r="H34" s="23" t="s">
        <v>38</v>
      </c>
      <c r="I34" s="30"/>
    </row>
    <row r="35" spans="2:10" s="11" customFormat="1" ht="105" hidden="1" customHeight="1" x14ac:dyDescent="0.25">
      <c r="B35" s="27" t="s">
        <v>125</v>
      </c>
      <c r="C35" s="96" t="s">
        <v>137</v>
      </c>
      <c r="D35" s="96" t="s">
        <v>188</v>
      </c>
      <c r="E35" s="37" t="s">
        <v>42</v>
      </c>
      <c r="F35" s="96" t="s">
        <v>191</v>
      </c>
      <c r="G35" s="96" t="s">
        <v>192</v>
      </c>
      <c r="H35" s="23" t="s">
        <v>38</v>
      </c>
      <c r="I35" s="30"/>
    </row>
    <row r="36" spans="2:10" s="11" customFormat="1" ht="39.6" hidden="1" x14ac:dyDescent="0.25">
      <c r="B36" s="27" t="s">
        <v>125</v>
      </c>
      <c r="C36" s="96" t="s">
        <v>137</v>
      </c>
      <c r="D36" s="96" t="s">
        <v>188</v>
      </c>
      <c r="E36" s="37" t="s">
        <v>42</v>
      </c>
      <c r="F36" s="96" t="s">
        <v>193</v>
      </c>
      <c r="G36" s="79" t="s">
        <v>194</v>
      </c>
      <c r="H36" s="23" t="s">
        <v>38</v>
      </c>
      <c r="I36" s="30"/>
    </row>
    <row r="37" spans="2:10" s="11" customFormat="1" ht="39.6" hidden="1" x14ac:dyDescent="0.25">
      <c r="B37" s="27" t="s">
        <v>125</v>
      </c>
      <c r="C37" s="96" t="s">
        <v>137</v>
      </c>
      <c r="D37" s="96" t="s">
        <v>188</v>
      </c>
      <c r="E37" s="37" t="s">
        <v>42</v>
      </c>
      <c r="F37" s="96" t="s">
        <v>195</v>
      </c>
      <c r="G37" s="79" t="s">
        <v>196</v>
      </c>
      <c r="H37" s="23" t="s">
        <v>38</v>
      </c>
      <c r="I37" s="30"/>
    </row>
    <row r="38" spans="2:10" ht="52.8" hidden="1" x14ac:dyDescent="0.25">
      <c r="B38" s="27" t="s">
        <v>125</v>
      </c>
      <c r="C38" s="96" t="s">
        <v>137</v>
      </c>
      <c r="D38" s="96" t="s">
        <v>188</v>
      </c>
      <c r="E38" s="37" t="s">
        <v>40</v>
      </c>
      <c r="F38" s="96" t="s">
        <v>197</v>
      </c>
      <c r="G38" s="79" t="s">
        <v>198</v>
      </c>
      <c r="H38" s="23" t="s">
        <v>38</v>
      </c>
      <c r="I38" s="30"/>
    </row>
    <row r="39" spans="2:10" ht="92.4" hidden="1" x14ac:dyDescent="0.25">
      <c r="B39" s="27" t="s">
        <v>125</v>
      </c>
      <c r="C39" s="96" t="s">
        <v>137</v>
      </c>
      <c r="D39" s="96" t="s">
        <v>188</v>
      </c>
      <c r="E39" s="37" t="s">
        <v>38</v>
      </c>
      <c r="F39" s="96" t="s">
        <v>199</v>
      </c>
      <c r="G39" s="79" t="s">
        <v>224</v>
      </c>
      <c r="H39" s="23" t="s">
        <v>38</v>
      </c>
      <c r="I39" s="30"/>
      <c r="J39" s="41"/>
    </row>
    <row r="40" spans="2:10" ht="66" hidden="1" x14ac:dyDescent="0.25">
      <c r="B40" s="27" t="s">
        <v>125</v>
      </c>
      <c r="C40" s="96" t="s">
        <v>137</v>
      </c>
      <c r="D40" s="96" t="s">
        <v>188</v>
      </c>
      <c r="E40" s="37" t="s">
        <v>42</v>
      </c>
      <c r="F40" s="96" t="s">
        <v>200</v>
      </c>
      <c r="G40" s="79" t="s">
        <v>225</v>
      </c>
      <c r="H40" s="23" t="s">
        <v>38</v>
      </c>
      <c r="I40" s="30"/>
      <c r="J40" s="41"/>
    </row>
    <row r="41" spans="2:10" ht="52.8" hidden="1" x14ac:dyDescent="0.25">
      <c r="B41" s="27" t="s">
        <v>125</v>
      </c>
      <c r="C41" s="96" t="s">
        <v>137</v>
      </c>
      <c r="D41" s="96" t="s">
        <v>188</v>
      </c>
      <c r="E41" s="37" t="s">
        <v>40</v>
      </c>
      <c r="F41" s="96" t="s">
        <v>201</v>
      </c>
      <c r="G41" s="79" t="s">
        <v>202</v>
      </c>
      <c r="H41" s="23" t="s">
        <v>38</v>
      </c>
      <c r="I41" s="30"/>
      <c r="J41" s="41"/>
    </row>
    <row r="42" spans="2:10" ht="39.6" hidden="1" x14ac:dyDescent="0.25">
      <c r="B42" s="27" t="s">
        <v>125</v>
      </c>
      <c r="C42" s="96" t="s">
        <v>137</v>
      </c>
      <c r="D42" s="96" t="s">
        <v>188</v>
      </c>
      <c r="E42" s="37" t="s">
        <v>38</v>
      </c>
      <c r="F42" s="96" t="s">
        <v>203</v>
      </c>
      <c r="G42" s="79" t="s">
        <v>204</v>
      </c>
      <c r="H42" s="23"/>
      <c r="I42" s="30"/>
    </row>
    <row r="43" spans="2:10" ht="39.6" hidden="1" x14ac:dyDescent="0.25">
      <c r="B43" s="79" t="s">
        <v>125</v>
      </c>
      <c r="C43" s="79" t="s">
        <v>137</v>
      </c>
      <c r="D43" s="79" t="s">
        <v>188</v>
      </c>
      <c r="E43" s="37" t="s">
        <v>38</v>
      </c>
      <c r="F43" s="79" t="s">
        <v>205</v>
      </c>
      <c r="G43" s="79" t="s">
        <v>206</v>
      </c>
      <c r="H43" s="23"/>
      <c r="I43" s="30"/>
    </row>
    <row r="44" spans="2:10" ht="92.4" hidden="1" x14ac:dyDescent="0.25">
      <c r="B44" s="79" t="s">
        <v>125</v>
      </c>
      <c r="C44" s="79" t="s">
        <v>137</v>
      </c>
      <c r="D44" s="79" t="s">
        <v>188</v>
      </c>
      <c r="E44" s="37" t="s">
        <v>38</v>
      </c>
      <c r="F44" s="79" t="s">
        <v>207</v>
      </c>
      <c r="G44" s="79" t="s">
        <v>226</v>
      </c>
      <c r="H44" s="23"/>
      <c r="I44" s="30"/>
    </row>
    <row r="45" spans="2:10" ht="79.2" hidden="1" x14ac:dyDescent="0.25">
      <c r="B45" s="97" t="s">
        <v>211</v>
      </c>
      <c r="C45" s="96" t="s">
        <v>137</v>
      </c>
      <c r="D45" s="98" t="s">
        <v>188</v>
      </c>
      <c r="E45" s="99" t="s">
        <v>40</v>
      </c>
      <c r="F45" s="96" t="s">
        <v>208</v>
      </c>
      <c r="G45" s="96" t="s">
        <v>209</v>
      </c>
      <c r="H45" s="23" t="s">
        <v>38</v>
      </c>
      <c r="I45" s="30"/>
    </row>
    <row r="46" spans="2:10" ht="132" hidden="1" x14ac:dyDescent="0.25">
      <c r="B46" s="97" t="s">
        <v>211</v>
      </c>
      <c r="C46" s="96" t="s">
        <v>137</v>
      </c>
      <c r="D46" s="96" t="s">
        <v>188</v>
      </c>
      <c r="E46" s="99" t="s">
        <v>42</v>
      </c>
      <c r="F46" s="96" t="s">
        <v>210</v>
      </c>
      <c r="G46" s="96" t="s">
        <v>227</v>
      </c>
      <c r="H46" s="23" t="s">
        <v>38</v>
      </c>
      <c r="I46" s="30"/>
    </row>
    <row r="47" spans="2:10" ht="118.5" hidden="1" customHeight="1" x14ac:dyDescent="0.25">
      <c r="B47" s="97" t="s">
        <v>215</v>
      </c>
      <c r="C47" s="96" t="s">
        <v>137</v>
      </c>
      <c r="D47" s="96" t="s">
        <v>279</v>
      </c>
      <c r="E47" s="99" t="s">
        <v>38</v>
      </c>
      <c r="F47" s="96" t="s">
        <v>280</v>
      </c>
      <c r="G47" s="96"/>
      <c r="H47" s="23"/>
      <c r="I47" s="30"/>
    </row>
    <row r="48" spans="2:10" ht="145.19999999999999" hidden="1" x14ac:dyDescent="0.25">
      <c r="B48" s="97" t="s">
        <v>298</v>
      </c>
      <c r="C48" s="96" t="s">
        <v>137</v>
      </c>
      <c r="D48" s="96" t="s">
        <v>303</v>
      </c>
      <c r="E48" s="99" t="s">
        <v>38</v>
      </c>
      <c r="F48" s="96" t="s">
        <v>292</v>
      </c>
      <c r="G48" s="96" t="s">
        <v>304</v>
      </c>
      <c r="H48" s="164"/>
      <c r="I48" s="30"/>
    </row>
    <row r="49" spans="2:9" ht="40.5" hidden="1" customHeight="1" x14ac:dyDescent="0.25">
      <c r="B49" s="97" t="s">
        <v>301</v>
      </c>
      <c r="C49" s="96" t="s">
        <v>137</v>
      </c>
      <c r="D49" s="96" t="s">
        <v>102</v>
      </c>
      <c r="E49" s="99" t="s">
        <v>38</v>
      </c>
      <c r="F49" s="223" t="s">
        <v>305</v>
      </c>
      <c r="G49" s="96" t="s">
        <v>306</v>
      </c>
      <c r="H49" s="164"/>
      <c r="I49" s="30"/>
    </row>
    <row r="50" spans="2:9" ht="316.8" hidden="1" x14ac:dyDescent="0.25">
      <c r="B50" s="97" t="s">
        <v>310</v>
      </c>
      <c r="C50" s="96" t="s">
        <v>137</v>
      </c>
      <c r="D50" s="96" t="s">
        <v>312</v>
      </c>
      <c r="E50" s="99" t="s">
        <v>38</v>
      </c>
      <c r="F50" s="223" t="s">
        <v>313</v>
      </c>
      <c r="G50" s="96" t="s">
        <v>306</v>
      </c>
      <c r="H50" s="164"/>
      <c r="I50" s="30"/>
    </row>
    <row r="51" spans="2:9" ht="198" hidden="1" x14ac:dyDescent="0.25">
      <c r="B51" s="97" t="s">
        <v>317</v>
      </c>
      <c r="C51" s="96" t="s">
        <v>137</v>
      </c>
      <c r="D51" s="96" t="s">
        <v>299</v>
      </c>
      <c r="E51" s="99" t="s">
        <v>40</v>
      </c>
      <c r="F51" s="223" t="s">
        <v>322</v>
      </c>
      <c r="G51" s="228" t="s">
        <v>323</v>
      </c>
      <c r="H51" s="164" t="s">
        <v>38</v>
      </c>
      <c r="I51" s="30"/>
    </row>
    <row r="52" spans="2:9" hidden="1" x14ac:dyDescent="0.25"/>
    <row r="53" spans="2:9" hidden="1" x14ac:dyDescent="0.25">
      <c r="B53" s="232" t="s">
        <v>37</v>
      </c>
      <c r="C53" s="32" t="s">
        <v>38</v>
      </c>
      <c r="D53" s="235" t="s">
        <v>39</v>
      </c>
      <c r="E53" s="236"/>
      <c r="F53" s="236"/>
      <c r="G53" s="236"/>
      <c r="H53" s="236"/>
      <c r="I53" s="237"/>
    </row>
    <row r="54" spans="2:9" hidden="1" x14ac:dyDescent="0.25">
      <c r="B54" s="233"/>
      <c r="C54" s="33" t="s">
        <v>40</v>
      </c>
      <c r="D54" s="235" t="s">
        <v>41</v>
      </c>
      <c r="E54" s="236"/>
      <c r="F54" s="236"/>
      <c r="G54" s="236"/>
      <c r="H54" s="236"/>
      <c r="I54" s="237"/>
    </row>
    <row r="55" spans="2:9" hidden="1" x14ac:dyDescent="0.25">
      <c r="B55" s="233"/>
      <c r="C55" s="34" t="s">
        <v>42</v>
      </c>
      <c r="D55" s="235" t="s">
        <v>43</v>
      </c>
      <c r="E55" s="236"/>
      <c r="F55" s="236"/>
      <c r="G55" s="236"/>
      <c r="H55" s="236"/>
      <c r="I55" s="237"/>
    </row>
    <row r="56" spans="2:9" hidden="1" x14ac:dyDescent="0.25">
      <c r="B56" s="234"/>
      <c r="C56" s="35" t="s">
        <v>44</v>
      </c>
      <c r="D56" s="238" t="s">
        <v>45</v>
      </c>
      <c r="E56" s="238"/>
      <c r="F56" s="238"/>
      <c r="G56" s="238"/>
      <c r="H56" s="238"/>
      <c r="I56" s="239"/>
    </row>
    <row r="57" spans="2:9" hidden="1" x14ac:dyDescent="0.25"/>
    <row r="58" spans="2:9" hidden="1" x14ac:dyDescent="0.25"/>
    <row r="59" spans="2:9" hidden="1" x14ac:dyDescent="0.25">
      <c r="B59" s="166" t="s">
        <v>308</v>
      </c>
    </row>
    <row r="60" spans="2:9" hidden="1" x14ac:dyDescent="0.25">
      <c r="B60" s="166" t="s">
        <v>309</v>
      </c>
    </row>
  </sheetData>
  <sheetProtection algorithmName="SHA-512" hashValue="CdoafeliTOBWEUXMfigh58fyl0HCGf0rplJE005RKrVaiKYQwWcGJx5dmPF6OgPiCgp9ZgwXmFU0pwBkPPyr+A==" saltValue="X65ZXvtknF060y0mkPTcZg==" spinCount="100000" sheet="1" objects="1" scenarios="1" selectLockedCells="1" selectUnlockedCells="1"/>
  <protectedRanges>
    <protectedRange sqref="C30:I31 B20:I20 G33:I33 C32 H32:I32 B30:B32 D32:D33 B55:B56 F32:F33 B33:C33 B18:C19 E18:I19 C53:I55 B53 B3:I17 H34:I47 B57:I65537 B52:I52 B29:I29 J3:IV65537 A3:A65537 E21:I28 B21:C28 I48:I51" name="Range1"/>
    <protectedRange sqref="E32:E33" name="Range1_1"/>
    <protectedRange sqref="G32" name="Range1_2"/>
    <protectedRange sqref="E36:G36 B34:B42 D34:D42" name="Range1_4"/>
    <protectedRange sqref="E34:F35 C34:C42" name="Range1_1_3"/>
    <protectedRange sqref="G34:G35" name="Range1_1_1_2"/>
    <protectedRange sqref="E37:E39 G39 E40:G42 B43:G44" name="Range1_3_1"/>
    <protectedRange sqref="F37:F39" name="Range1_1_2_1"/>
    <protectedRange sqref="G37:G38" name="Range1_1_1_1_1"/>
    <protectedRange sqref="D45 C46:G46 B45:B47 G47" name="Range1_5"/>
    <protectedRange sqref="C45 E45:F45" name="Range1_1_4"/>
    <protectedRange sqref="G45" name="Range1_1_1_3"/>
    <protectedRange sqref="B47:F47" name="Range1_5_1"/>
    <protectedRange sqref="H48:H51" name="Range1_3"/>
    <protectedRange sqref="B48:G49 B50:C51" name="Range1_5_2"/>
    <protectedRange sqref="B48:B51" name="Range1_5_1_1"/>
    <protectedRange sqref="D50:G51" name="Range1_5_2_1"/>
  </protectedRanges>
  <mergeCells count="22">
    <mergeCell ref="E25:I25"/>
    <mergeCell ref="E26:I26"/>
    <mergeCell ref="E24:I24"/>
    <mergeCell ref="C8:I8"/>
    <mergeCell ref="E23:I23"/>
    <mergeCell ref="E17:I17"/>
    <mergeCell ref="E21:I21"/>
    <mergeCell ref="E19:I19"/>
    <mergeCell ref="E20:I20"/>
    <mergeCell ref="E22:I22"/>
    <mergeCell ref="A2:B2"/>
    <mergeCell ref="B4:D4"/>
    <mergeCell ref="C5:I5"/>
    <mergeCell ref="C6:I6"/>
    <mergeCell ref="C7:I7"/>
    <mergeCell ref="E27:I27"/>
    <mergeCell ref="B53:B56"/>
    <mergeCell ref="D53:I53"/>
    <mergeCell ref="D54:I54"/>
    <mergeCell ref="D55:I55"/>
    <mergeCell ref="D56:I56"/>
    <mergeCell ref="E28:I28"/>
  </mergeCells>
  <conditionalFormatting sqref="E32:E49">
    <cfRule type="cellIs" dxfId="14" priority="47" stopIfTrue="1" operator="equal">
      <formula>"Yes"</formula>
    </cfRule>
    <cfRule type="cellIs" dxfId="13" priority="48" stopIfTrue="1" operator="equal">
      <formula>"Recommendation"</formula>
    </cfRule>
    <cfRule type="cellIs" dxfId="12" priority="49" stopIfTrue="1" operator="equal">
      <formula>"Issue"</formula>
    </cfRule>
  </conditionalFormatting>
  <conditionalFormatting sqref="H32:H51">
    <cfRule type="cellIs" dxfId="11" priority="45" stopIfTrue="1" operator="equal">
      <formula>"Yes"</formula>
    </cfRule>
    <cfRule type="cellIs" dxfId="10" priority="46" stopIfTrue="1" operator="equal">
      <formula>"No"</formula>
    </cfRule>
  </conditionalFormatting>
  <conditionalFormatting sqref="E50:E51">
    <cfRule type="cellIs" dxfId="9" priority="1" stopIfTrue="1" operator="equal">
      <formula>"Yes"</formula>
    </cfRule>
    <cfRule type="cellIs" dxfId="8" priority="2" stopIfTrue="1" operator="equal">
      <formula>"Recommendation"</formula>
    </cfRule>
    <cfRule type="cellIs" dxfId="7" priority="3" stopIfTrue="1" operator="equal">
      <formula>"Issue"</formula>
    </cfRule>
  </conditionalFormatting>
  <dataValidations count="2">
    <dataValidation type="list" allowBlank="1" showInputMessage="1" showErrorMessage="1" sqref="H32:H51" xr:uid="{00000000-0002-0000-0000-000000000000}">
      <formula1>"Yes,No"</formula1>
    </dataValidation>
    <dataValidation type="list" allowBlank="1" showInputMessage="1" showErrorMessage="1" sqref="E32:E51" xr:uid="{00000000-0002-0000-0000-000001000000}">
      <formula1>"Yes,Recommendation,Issue,Outstanding"</formula1>
    </dataValidation>
  </dataValidations>
  <pageMargins left="0.75" right="0.75" top="1" bottom="1" header="0.5" footer="0.5"/>
  <pageSetup paperSize="9" scale="64" orientation="landscape" r:id="rId1"/>
  <headerFooter alignWithMargins="0">
    <oddHeader>&amp;C&amp;"Calibri"&amp;12&amp;K000000 OFFICIAL&amp;1#_x000D_</oddHeader>
    <oddFooter>&amp;C_x000D_&amp;1#&amp;"Calibri"&amp;12&amp;K000000 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C5"/>
  <sheetViews>
    <sheetView showGridLines="0" workbookViewId="0">
      <selection activeCell="C4" sqref="C4"/>
    </sheetView>
  </sheetViews>
  <sheetFormatPr defaultRowHeight="13.2" x14ac:dyDescent="0.25"/>
  <cols>
    <col min="1" max="1" width="20" customWidth="1"/>
    <col min="2" max="13" width="12.88671875" style="128" customWidth="1"/>
  </cols>
  <sheetData>
    <row r="1" spans="1:29" s="117" customFormat="1" x14ac:dyDescent="0.25">
      <c r="A1" s="115" t="s">
        <v>85</v>
      </c>
      <c r="B1" s="118"/>
      <c r="C1" s="118"/>
      <c r="D1" s="118"/>
      <c r="E1" s="118"/>
      <c r="F1" s="118"/>
      <c r="G1" s="118"/>
      <c r="H1" s="118"/>
      <c r="I1" s="118"/>
      <c r="J1" s="118"/>
      <c r="K1" s="118"/>
      <c r="L1" s="118"/>
      <c r="M1" s="118"/>
      <c r="N1" s="116"/>
    </row>
    <row r="2" spans="1:29" x14ac:dyDescent="0.25">
      <c r="A2" s="44"/>
      <c r="B2" s="119"/>
      <c r="C2" s="119"/>
      <c r="D2" s="119"/>
      <c r="E2" s="119"/>
      <c r="F2" s="119"/>
      <c r="G2" s="119"/>
      <c r="H2" s="119"/>
      <c r="I2" s="119"/>
      <c r="J2" s="119"/>
      <c r="K2" s="119"/>
      <c r="L2" s="119"/>
      <c r="M2" s="119"/>
      <c r="N2" s="44"/>
    </row>
    <row r="3" spans="1:29" ht="39.6" x14ac:dyDescent="0.3">
      <c r="A3" s="2" t="s">
        <v>287</v>
      </c>
      <c r="B3" s="120" t="s">
        <v>24</v>
      </c>
      <c r="C3" s="120" t="s">
        <v>0</v>
      </c>
      <c r="D3" s="120" t="s">
        <v>217</v>
      </c>
      <c r="E3" s="121" t="s">
        <v>218</v>
      </c>
      <c r="F3" s="120" t="s">
        <v>123</v>
      </c>
      <c r="G3" s="120" t="s">
        <v>325</v>
      </c>
      <c r="H3" s="120" t="s">
        <v>219</v>
      </c>
      <c r="I3" s="120" t="s">
        <v>220</v>
      </c>
      <c r="J3" s="120" t="s">
        <v>221</v>
      </c>
      <c r="K3" s="120" t="s">
        <v>17</v>
      </c>
      <c r="L3" s="120" t="s">
        <v>222</v>
      </c>
      <c r="M3" s="120" t="s">
        <v>223</v>
      </c>
      <c r="N3" s="44"/>
      <c r="AA3" s="88" t="s">
        <v>139</v>
      </c>
      <c r="AB3" s="89" t="s">
        <v>6</v>
      </c>
      <c r="AC3" s="89" t="s">
        <v>25</v>
      </c>
    </row>
    <row r="4" spans="1:29" x14ac:dyDescent="0.25">
      <c r="A4" s="65"/>
      <c r="B4" s="122"/>
      <c r="C4" s="123"/>
      <c r="D4" s="124"/>
      <c r="E4" s="125"/>
      <c r="F4" s="126"/>
      <c r="G4" s="123"/>
      <c r="H4" s="123"/>
      <c r="I4" s="123"/>
      <c r="J4" s="123"/>
      <c r="K4" s="127"/>
      <c r="L4" s="123"/>
      <c r="M4" s="123"/>
      <c r="N4" s="44"/>
      <c r="AA4" s="89"/>
      <c r="AB4" s="89" t="s">
        <v>7</v>
      </c>
      <c r="AC4" s="89" t="s">
        <v>112</v>
      </c>
    </row>
    <row r="5" spans="1:29" x14ac:dyDescent="0.25">
      <c r="AA5" s="89"/>
      <c r="AB5" s="89" t="s">
        <v>18</v>
      </c>
      <c r="AC5" s="89" t="s">
        <v>113</v>
      </c>
    </row>
  </sheetData>
  <dataValidations count="2">
    <dataValidation type="list" allowBlank="1" showInputMessage="1" showErrorMessage="1" sqref="C4" xr:uid="{00000000-0002-0000-0100-000000000000}">
      <formula1>$AB$3:$AB$5</formula1>
    </dataValidation>
    <dataValidation type="list" allowBlank="1" showInputMessage="1" showErrorMessage="1" sqref="K4" xr:uid="{00000000-0002-0000-0100-000001000000}">
      <formula1>$AC$3:$AC$4</formula1>
    </dataValidation>
  </dataValidations>
  <pageMargins left="0.7" right="0.7" top="0.75" bottom="0.75" header="0.3" footer="0.3"/>
  <headerFooter>
    <oddHeader>&amp;C&amp;"Calibri"&amp;12&amp;K000000 OFFICIAL&amp;1#_x000D_</oddHeader>
    <oddFooter>&amp;C_x000D_&amp;1#&amp;"Calibri"&amp;12&amp;K000000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N74"/>
  <sheetViews>
    <sheetView showGridLines="0" workbookViewId="0">
      <selection activeCell="A4" sqref="A4"/>
    </sheetView>
  </sheetViews>
  <sheetFormatPr defaultColWidth="9.109375" defaultRowHeight="13.2" x14ac:dyDescent="0.25"/>
  <cols>
    <col min="1" max="1" width="31.33203125" style="140" customWidth="1"/>
    <col min="2" max="2" width="11" style="140" customWidth="1"/>
    <col min="3" max="3" width="13.109375" style="140" customWidth="1"/>
    <col min="4" max="6" width="11" style="140" customWidth="1"/>
    <col min="7" max="7" width="10.33203125" style="140" customWidth="1"/>
    <col min="8" max="10" width="11.33203125" style="140" bestFit="1" customWidth="1"/>
    <col min="11" max="11" width="12.33203125" style="140" bestFit="1" customWidth="1"/>
    <col min="12" max="12" width="10.88671875" style="140" customWidth="1"/>
    <col min="13" max="13" width="9.88671875" style="140" customWidth="1"/>
    <col min="14" max="16384" width="9.109375" style="140"/>
  </cols>
  <sheetData>
    <row r="1" spans="1:14" s="157" customFormat="1" x14ac:dyDescent="0.25">
      <c r="A1" s="156" t="s">
        <v>85</v>
      </c>
    </row>
    <row r="2" spans="1:14" x14ac:dyDescent="0.25">
      <c r="A2" s="140">
        <f>Model!A55</f>
        <v>0</v>
      </c>
      <c r="B2" s="140">
        <f>Model!B55</f>
        <v>0</v>
      </c>
      <c r="C2" s="140">
        <f>Model!C55</f>
        <v>0</v>
      </c>
      <c r="D2" s="140">
        <f>Model!D55</f>
        <v>0</v>
      </c>
      <c r="E2" s="140">
        <f>Model!E55</f>
        <v>0</v>
      </c>
      <c r="F2" s="140">
        <f>Model!F55</f>
        <v>0</v>
      </c>
      <c r="G2" s="140">
        <f>Model!G55</f>
        <v>0</v>
      </c>
      <c r="H2" s="140">
        <f>Model!H55</f>
        <v>0</v>
      </c>
      <c r="I2" s="140">
        <f>Model!I55</f>
        <v>0</v>
      </c>
      <c r="J2" s="140">
        <f>Model!J55</f>
        <v>0</v>
      </c>
      <c r="K2" s="140">
        <f>Model!K55</f>
        <v>0</v>
      </c>
      <c r="L2" s="140">
        <f>Model!L55</f>
        <v>0</v>
      </c>
      <c r="M2" s="140">
        <f>Model!M55</f>
        <v>0</v>
      </c>
    </row>
    <row r="3" spans="1:14" ht="39.6" x14ac:dyDescent="0.25">
      <c r="A3" s="93">
        <f>Model!A56</f>
        <v>0</v>
      </c>
      <c r="B3" s="158" t="str">
        <f>Model!B56</f>
        <v>Case ID</v>
      </c>
      <c r="C3" s="158" t="str">
        <f>Model!C56</f>
        <v>Cat</v>
      </c>
      <c r="D3" s="158" t="str">
        <f>Model!D56</f>
        <v>Used Evidence (pages)</v>
      </c>
      <c r="E3" s="158" t="str">
        <f>Model!E56</f>
        <v>Unused Material (pages)</v>
      </c>
      <c r="F3" s="158" t="str">
        <f>Model!F56</f>
        <v>Trial Days</v>
      </c>
      <c r="G3" s="158" t="str">
        <f>Model!G56</f>
        <v>Number of KCs</v>
      </c>
      <c r="H3" s="158" t="str">
        <f>Model!H56</f>
        <v>Number of Leading Juniors</v>
      </c>
      <c r="I3" s="158" t="str">
        <f>Model!I56</f>
        <v>Number of Led Juniors</v>
      </c>
      <c r="J3" s="158" t="str">
        <f>Model!J56</f>
        <v>Number of Junior Alone</v>
      </c>
      <c r="K3" s="158" t="str">
        <f>Model!K56</f>
        <v>Offence Type</v>
      </c>
      <c r="L3" s="158" t="str">
        <f>Model!L56</f>
        <v>Number of Witnesses (non expert)</v>
      </c>
      <c r="M3" s="158" t="str">
        <f>Model!M56</f>
        <v>Number of Witnesses (expert)</v>
      </c>
    </row>
    <row r="4" spans="1:14" x14ac:dyDescent="0.25">
      <c r="A4" s="93">
        <f>Model!A57</f>
        <v>0</v>
      </c>
      <c r="B4" s="158">
        <f>Model!B57</f>
        <v>0</v>
      </c>
      <c r="C4" s="158">
        <f>Model!C57</f>
        <v>0</v>
      </c>
      <c r="D4" s="159">
        <f>Model!D57</f>
        <v>0</v>
      </c>
      <c r="E4" s="159">
        <f>Model!E57</f>
        <v>0</v>
      </c>
      <c r="F4" s="158">
        <f>Model!F57</f>
        <v>0</v>
      </c>
      <c r="G4" s="158">
        <f>Model!G57</f>
        <v>0</v>
      </c>
      <c r="H4" s="158">
        <f>Model!H57</f>
        <v>0</v>
      </c>
      <c r="I4" s="158">
        <f>Model!I57</f>
        <v>0</v>
      </c>
      <c r="J4" s="158">
        <f>Model!J57</f>
        <v>0</v>
      </c>
      <c r="K4" s="158">
        <f>Model!K57</f>
        <v>0</v>
      </c>
      <c r="L4" s="158">
        <f>Model!L57</f>
        <v>0</v>
      </c>
      <c r="M4" s="158">
        <f>Model!M57</f>
        <v>0</v>
      </c>
    </row>
    <row r="5" spans="1:14" x14ac:dyDescent="0.25">
      <c r="A5" s="140">
        <f>Model!A58</f>
        <v>0</v>
      </c>
      <c r="B5" s="140">
        <f>Model!B58</f>
        <v>0</v>
      </c>
      <c r="C5" s="140">
        <f>Model!C58</f>
        <v>0</v>
      </c>
      <c r="D5" s="140">
        <f>Model!D58</f>
        <v>0</v>
      </c>
      <c r="E5" s="140">
        <f>Model!E58</f>
        <v>0</v>
      </c>
      <c r="F5" s="140">
        <f>Model!F58</f>
        <v>0</v>
      </c>
      <c r="G5" s="140">
        <f>Model!G58</f>
        <v>0</v>
      </c>
      <c r="H5" s="140">
        <f>Model!H58</f>
        <v>0</v>
      </c>
      <c r="I5" s="140">
        <f>Model!I58</f>
        <v>0</v>
      </c>
      <c r="J5" s="140">
        <f>Model!J58</f>
        <v>0</v>
      </c>
      <c r="K5" s="140">
        <f>Model!K58</f>
        <v>0</v>
      </c>
      <c r="L5" s="140">
        <f>Model!L58</f>
        <v>0</v>
      </c>
      <c r="M5" s="140">
        <f>Model!M58</f>
        <v>0</v>
      </c>
    </row>
    <row r="6" spans="1:14" x14ac:dyDescent="0.25">
      <c r="A6" s="140">
        <f>Model!A59</f>
        <v>0</v>
      </c>
      <c r="B6" s="140">
        <f>Model!B59</f>
        <v>0</v>
      </c>
      <c r="C6" s="140">
        <f>Model!C59</f>
        <v>0</v>
      </c>
      <c r="D6" s="140">
        <f>Model!D59</f>
        <v>0</v>
      </c>
      <c r="E6" s="140">
        <f>Model!E59</f>
        <v>0</v>
      </c>
      <c r="F6" s="140">
        <f>Model!F59</f>
        <v>0</v>
      </c>
      <c r="G6" s="140">
        <f>Model!G59</f>
        <v>0</v>
      </c>
      <c r="H6" s="140">
        <f>Model!H59</f>
        <v>0</v>
      </c>
      <c r="I6" s="140">
        <f>Model!I59</f>
        <v>0</v>
      </c>
      <c r="J6" s="140">
        <f>Model!J59</f>
        <v>0</v>
      </c>
      <c r="K6" s="140">
        <f>Model!K59</f>
        <v>0</v>
      </c>
      <c r="L6" s="140">
        <f>Model!L59</f>
        <v>0</v>
      </c>
      <c r="M6" s="140">
        <f>Model!M59</f>
        <v>0</v>
      </c>
    </row>
    <row r="7" spans="1:14" x14ac:dyDescent="0.25">
      <c r="A7" s="139" t="str">
        <f>Model!A60</f>
        <v>Assumptions used for this case</v>
      </c>
      <c r="B7" s="140">
        <f>Model!B60</f>
        <v>0</v>
      </c>
      <c r="C7" s="140">
        <f>Model!C60</f>
        <v>0</v>
      </c>
      <c r="D7" s="140">
        <f>Model!D60</f>
        <v>0</v>
      </c>
      <c r="E7" s="140">
        <f>Model!E60</f>
        <v>0</v>
      </c>
      <c r="F7" s="140">
        <f>Model!F60</f>
        <v>0</v>
      </c>
      <c r="G7" s="140">
        <f>Model!G60</f>
        <v>0</v>
      </c>
      <c r="H7" s="140">
        <f>Model!H60</f>
        <v>0</v>
      </c>
      <c r="I7" s="140">
        <f>Model!I60</f>
        <v>0</v>
      </c>
      <c r="J7" s="140">
        <f>Model!J60</f>
        <v>0</v>
      </c>
      <c r="K7" s="140">
        <f>Model!K60</f>
        <v>0</v>
      </c>
      <c r="L7" s="140">
        <f>Model!L60</f>
        <v>0</v>
      </c>
      <c r="M7" s="140">
        <f>Model!M60</f>
        <v>0</v>
      </c>
      <c r="N7" s="140">
        <f>Model!N60</f>
        <v>0</v>
      </c>
    </row>
    <row r="8" spans="1:14" x14ac:dyDescent="0.25">
      <c r="A8" s="140">
        <f>Model!A61</f>
        <v>0</v>
      </c>
      <c r="B8" s="140">
        <f>Model!B61</f>
        <v>0</v>
      </c>
      <c r="C8" s="140">
        <f>Model!C61</f>
        <v>0</v>
      </c>
      <c r="D8" s="140">
        <f>Model!D61</f>
        <v>0</v>
      </c>
      <c r="E8" s="140">
        <f>Model!E61</f>
        <v>0</v>
      </c>
      <c r="F8" s="140">
        <f>Model!F61</f>
        <v>0</v>
      </c>
      <c r="G8" s="140">
        <f>Model!G61</f>
        <v>0</v>
      </c>
      <c r="H8" s="140">
        <f>Model!H61</f>
        <v>0</v>
      </c>
      <c r="I8" s="140">
        <f>Model!I61</f>
        <v>0</v>
      </c>
      <c r="J8" s="140">
        <f>Model!J61</f>
        <v>0</v>
      </c>
      <c r="K8" s="140">
        <f>Model!K61</f>
        <v>0</v>
      </c>
      <c r="L8" s="140">
        <f>Model!L61</f>
        <v>0</v>
      </c>
      <c r="M8" s="140">
        <f>Model!M61</f>
        <v>0</v>
      </c>
      <c r="N8" s="140">
        <f>Model!N61</f>
        <v>0</v>
      </c>
    </row>
    <row r="9" spans="1:14" x14ac:dyDescent="0.25">
      <c r="A9" s="140" t="str">
        <f>Model!A62</f>
        <v>Type of case:</v>
      </c>
      <c r="B9" s="160">
        <f>Model!B62</f>
        <v>0</v>
      </c>
      <c r="C9" s="140">
        <f>Model!C62</f>
        <v>0</v>
      </c>
      <c r="D9" s="140">
        <f>Model!D62</f>
        <v>0</v>
      </c>
      <c r="E9" s="140">
        <f>Model!E62</f>
        <v>0</v>
      </c>
      <c r="F9" s="140">
        <f>Model!F62</f>
        <v>0</v>
      </c>
      <c r="G9" s="140">
        <f>Model!G62</f>
        <v>0</v>
      </c>
      <c r="H9" s="140">
        <f>Model!H62</f>
        <v>0</v>
      </c>
      <c r="I9" s="140">
        <f>Model!I62</f>
        <v>0</v>
      </c>
      <c r="J9" s="140">
        <f>Model!J62</f>
        <v>0</v>
      </c>
      <c r="K9" s="140">
        <f>Model!K62</f>
        <v>0</v>
      </c>
      <c r="L9" s="140">
        <f>Model!L62</f>
        <v>0</v>
      </c>
      <c r="M9" s="140">
        <f>Model!M62</f>
        <v>0</v>
      </c>
      <c r="N9" s="140">
        <f>Model!N62</f>
        <v>0</v>
      </c>
    </row>
    <row r="10" spans="1:14" x14ac:dyDescent="0.25">
      <c r="A10" s="140" t="str">
        <f>Model!A63</f>
        <v>Used Evidence pages</v>
      </c>
      <c r="B10" s="161" t="e">
        <f ca="1">Model!B63</f>
        <v>#N/A</v>
      </c>
      <c r="C10" s="140">
        <f>Model!C63</f>
        <v>0</v>
      </c>
      <c r="D10" s="140">
        <f>Model!D63</f>
        <v>0</v>
      </c>
      <c r="E10" s="140">
        <f>Model!E63</f>
        <v>0</v>
      </c>
      <c r="F10" s="140">
        <f>Model!F63</f>
        <v>0</v>
      </c>
      <c r="G10" s="140">
        <f>Model!G63</f>
        <v>0</v>
      </c>
      <c r="H10" s="140">
        <f>Model!H63</f>
        <v>0</v>
      </c>
      <c r="I10" s="140">
        <f>Model!I63</f>
        <v>0</v>
      </c>
      <c r="J10" s="140">
        <f>Model!J63</f>
        <v>0</v>
      </c>
      <c r="K10" s="140">
        <f>Model!K63</f>
        <v>0</v>
      </c>
      <c r="L10" s="140">
        <f>Model!L63</f>
        <v>0</v>
      </c>
      <c r="M10" s="140">
        <f>Model!M63</f>
        <v>0</v>
      </c>
      <c r="N10" s="140">
        <f>Model!N63</f>
        <v>0</v>
      </c>
    </row>
    <row r="11" spans="1:14" x14ac:dyDescent="0.25">
      <c r="A11" s="140" t="str">
        <f>Model!A64</f>
        <v xml:space="preserve">Unused to used ratio </v>
      </c>
      <c r="B11" s="160" t="e">
        <f ca="1">Model!B64</f>
        <v>#N/A</v>
      </c>
      <c r="C11" s="140">
        <f>Model!C64</f>
        <v>0</v>
      </c>
      <c r="D11" s="140">
        <f>Model!D64</f>
        <v>0</v>
      </c>
      <c r="E11" s="140">
        <f>Model!E64</f>
        <v>0</v>
      </c>
      <c r="F11" s="140">
        <f>Model!F64</f>
        <v>0</v>
      </c>
      <c r="G11" s="140">
        <f>Model!G64</f>
        <v>0</v>
      </c>
      <c r="H11" s="140">
        <f>Model!H64</f>
        <v>0</v>
      </c>
      <c r="I11" s="140">
        <f>Model!I64</f>
        <v>0</v>
      </c>
      <c r="J11" s="140">
        <f>Model!J64</f>
        <v>0</v>
      </c>
      <c r="K11" s="140">
        <f>Model!K64</f>
        <v>0</v>
      </c>
      <c r="L11" s="140">
        <f>Model!L64</f>
        <v>0</v>
      </c>
      <c r="M11" s="140">
        <f>Model!M64</f>
        <v>0</v>
      </c>
      <c r="N11" s="140">
        <f>Model!N64</f>
        <v>0</v>
      </c>
    </row>
    <row r="12" spans="1:14" x14ac:dyDescent="0.25">
      <c r="A12" s="140" t="str">
        <f>Model!A65</f>
        <v>Mins per used page</v>
      </c>
      <c r="B12" s="160" t="e">
        <f ca="1">Model!B65</f>
        <v>#N/A</v>
      </c>
      <c r="C12" s="140">
        <f>Model!C65</f>
        <v>0</v>
      </c>
      <c r="D12" s="140">
        <f>Model!D65</f>
        <v>0</v>
      </c>
      <c r="E12" s="140">
        <f>Model!E65</f>
        <v>0</v>
      </c>
      <c r="F12" s="140">
        <f>Model!F65</f>
        <v>0</v>
      </c>
      <c r="G12" s="140">
        <f>Model!G65</f>
        <v>0</v>
      </c>
      <c r="H12" s="140">
        <f>Model!H65</f>
        <v>0</v>
      </c>
      <c r="I12" s="140">
        <f>Model!I65</f>
        <v>0</v>
      </c>
      <c r="J12" s="140">
        <f>Model!J65</f>
        <v>0</v>
      </c>
      <c r="K12" s="140">
        <f>Model!K65</f>
        <v>0</v>
      </c>
      <c r="L12" s="140">
        <f>Model!L65</f>
        <v>0</v>
      </c>
      <c r="M12" s="140">
        <f>Model!M65</f>
        <v>0</v>
      </c>
      <c r="N12" s="140">
        <f>Model!N65</f>
        <v>0</v>
      </c>
    </row>
    <row r="13" spans="1:14" x14ac:dyDescent="0.25">
      <c r="A13" s="140" t="str">
        <f>Model!A66</f>
        <v>Mins per unused page</v>
      </c>
      <c r="B13" s="160" t="e">
        <f ca="1">Model!B66</f>
        <v>#N/A</v>
      </c>
      <c r="C13" s="140">
        <f>Model!C66</f>
        <v>0</v>
      </c>
      <c r="D13" s="140">
        <f>Model!D66</f>
        <v>0</v>
      </c>
      <c r="E13" s="140">
        <f>Model!E66</f>
        <v>0</v>
      </c>
      <c r="F13" s="140">
        <f>Model!F66</f>
        <v>0</v>
      </c>
      <c r="G13" s="140">
        <f>Model!G66</f>
        <v>0</v>
      </c>
      <c r="H13" s="140">
        <f>Model!H66</f>
        <v>0</v>
      </c>
      <c r="I13" s="140">
        <f>Model!I66</f>
        <v>0</v>
      </c>
      <c r="J13" s="140">
        <f>Model!J66</f>
        <v>0</v>
      </c>
      <c r="K13" s="140">
        <f>Model!K66</f>
        <v>0</v>
      </c>
      <c r="L13" s="140">
        <f>Model!L66</f>
        <v>0</v>
      </c>
      <c r="M13" s="140">
        <f>Model!M66</f>
        <v>0</v>
      </c>
      <c r="N13" s="140">
        <f>Model!N66</f>
        <v>0</v>
      </c>
    </row>
    <row r="14" spans="1:14" x14ac:dyDescent="0.25">
      <c r="A14" s="140" t="str">
        <f>Model!A67</f>
        <v>Other prep (hours)</v>
      </c>
      <c r="B14" s="160" t="e">
        <f ca="1">Model!B67</f>
        <v>#N/A</v>
      </c>
      <c r="C14" s="140">
        <f>Model!C67</f>
        <v>0</v>
      </c>
      <c r="D14" s="140">
        <f>Model!D67</f>
        <v>0</v>
      </c>
      <c r="E14" s="140">
        <f>Model!E67</f>
        <v>0</v>
      </c>
      <c r="F14" s="140">
        <f>Model!F67</f>
        <v>0</v>
      </c>
      <c r="G14" s="140">
        <f>Model!G67</f>
        <v>0</v>
      </c>
      <c r="H14" s="140">
        <f>Model!H67</f>
        <v>0</v>
      </c>
      <c r="I14" s="140">
        <f>Model!I67</f>
        <v>0</v>
      </c>
      <c r="J14" s="140">
        <f>Model!J67</f>
        <v>0</v>
      </c>
      <c r="K14" s="140">
        <f>Model!K67</f>
        <v>0</v>
      </c>
      <c r="L14" s="140">
        <f>Model!L67</f>
        <v>0</v>
      </c>
      <c r="M14" s="140">
        <f>Model!M67</f>
        <v>0</v>
      </c>
      <c r="N14" s="140">
        <f>Model!N67</f>
        <v>0</v>
      </c>
    </row>
    <row r="15" spans="1:14" x14ac:dyDescent="0.25">
      <c r="A15" s="140" t="str">
        <f>Model!A68</f>
        <v>Additional Trial hours prep per day</v>
      </c>
      <c r="B15" s="160" t="e">
        <f ca="1">Model!B68</f>
        <v>#N/A</v>
      </c>
      <c r="C15" s="140">
        <f>Model!C68</f>
        <v>0</v>
      </c>
      <c r="D15" s="140">
        <f>Model!D68</f>
        <v>0</v>
      </c>
      <c r="E15" s="140">
        <f>Model!E68</f>
        <v>0</v>
      </c>
      <c r="F15" s="140">
        <f>Model!F68</f>
        <v>0</v>
      </c>
      <c r="G15" s="140">
        <f>Model!G68</f>
        <v>0</v>
      </c>
      <c r="H15" s="140">
        <f>Model!H68</f>
        <v>0</v>
      </c>
      <c r="I15" s="140">
        <f>Model!I68</f>
        <v>0</v>
      </c>
      <c r="J15" s="140">
        <f>Model!J68</f>
        <v>0</v>
      </c>
      <c r="K15" s="140">
        <f>Model!K68</f>
        <v>0</v>
      </c>
      <c r="L15" s="140">
        <f>Model!L68</f>
        <v>0</v>
      </c>
      <c r="M15" s="140">
        <f>Model!M68</f>
        <v>0</v>
      </c>
      <c r="N15" s="140">
        <f>Model!N68</f>
        <v>0</v>
      </c>
    </row>
    <row r="16" spans="1:14" x14ac:dyDescent="0.25">
      <c r="A16" s="140" t="str">
        <f>Model!A69</f>
        <v xml:space="preserve">Trial days expected </v>
      </c>
      <c r="B16" s="161" t="e">
        <f ca="1">Model!B69</f>
        <v>#N/A</v>
      </c>
      <c r="C16" s="140">
        <f>Model!C69</f>
        <v>0</v>
      </c>
      <c r="D16" s="140">
        <f>Model!D69</f>
        <v>0</v>
      </c>
      <c r="E16" s="140">
        <f>Model!E69</f>
        <v>0</v>
      </c>
      <c r="F16" s="140">
        <f>Model!F69</f>
        <v>0</v>
      </c>
      <c r="G16" s="140">
        <f>Model!G69</f>
        <v>0</v>
      </c>
      <c r="H16" s="140">
        <f>Model!H69</f>
        <v>0</v>
      </c>
      <c r="I16" s="140">
        <f>Model!I69</f>
        <v>0</v>
      </c>
      <c r="J16" s="140">
        <f>Model!J69</f>
        <v>0</v>
      </c>
      <c r="K16" s="140">
        <f>Model!K69</f>
        <v>0</v>
      </c>
      <c r="L16" s="140">
        <f>Model!L69</f>
        <v>0</v>
      </c>
      <c r="M16" s="140">
        <f>Model!M69</f>
        <v>0</v>
      </c>
      <c r="N16" s="140">
        <f>Model!N69</f>
        <v>0</v>
      </c>
    </row>
    <row r="17" spans="1:14" x14ac:dyDescent="0.25">
      <c r="A17" s="140" t="str">
        <f>Model!A70</f>
        <v>Witness Prep hours per Non-Expert</v>
      </c>
      <c r="B17" s="160" t="e">
        <f ca="1">Model!B70</f>
        <v>#N/A</v>
      </c>
      <c r="C17" s="140">
        <f>Model!C70</f>
        <v>0</v>
      </c>
      <c r="D17" s="140">
        <f>Model!D70</f>
        <v>0</v>
      </c>
      <c r="E17" s="140">
        <f>Model!E70</f>
        <v>0</v>
      </c>
      <c r="F17" s="140">
        <f>Model!F70</f>
        <v>0</v>
      </c>
      <c r="G17" s="140">
        <f>Model!G70</f>
        <v>0</v>
      </c>
      <c r="H17" s="140">
        <f>Model!H70</f>
        <v>0</v>
      </c>
      <c r="I17" s="140">
        <f>Model!I70</f>
        <v>0</v>
      </c>
      <c r="J17" s="140">
        <f>Model!J70</f>
        <v>0</v>
      </c>
      <c r="K17" s="140">
        <f>Model!K70</f>
        <v>0</v>
      </c>
      <c r="L17" s="140">
        <f>Model!L70</f>
        <v>0</v>
      </c>
      <c r="M17" s="140">
        <f>Model!M70</f>
        <v>0</v>
      </c>
      <c r="N17" s="140">
        <f>Model!N70</f>
        <v>0</v>
      </c>
    </row>
    <row r="18" spans="1:14" x14ac:dyDescent="0.25">
      <c r="A18" s="140" t="str">
        <f>Model!A71</f>
        <v>Witness Prep hours per Expert</v>
      </c>
      <c r="B18" s="160" t="e">
        <f ca="1">Model!B71</f>
        <v>#N/A</v>
      </c>
      <c r="C18" s="140">
        <f>Model!C71</f>
        <v>0</v>
      </c>
      <c r="D18" s="140">
        <f>Model!D71</f>
        <v>0</v>
      </c>
      <c r="E18" s="140">
        <f>Model!E71</f>
        <v>0</v>
      </c>
      <c r="F18" s="140">
        <f>Model!F71</f>
        <v>0</v>
      </c>
      <c r="G18" s="140">
        <f>Model!G71</f>
        <v>0</v>
      </c>
      <c r="H18" s="140">
        <f>Model!H71</f>
        <v>0</v>
      </c>
      <c r="I18" s="140">
        <f>Model!I71</f>
        <v>0</v>
      </c>
      <c r="J18" s="140">
        <f>Model!J71</f>
        <v>0</v>
      </c>
      <c r="K18" s="140">
        <f>Model!K71</f>
        <v>0</v>
      </c>
      <c r="L18" s="140">
        <f>Model!L71</f>
        <v>0</v>
      </c>
      <c r="M18" s="140">
        <f>Model!M71</f>
        <v>0</v>
      </c>
      <c r="N18" s="140">
        <f>Model!N71</f>
        <v>0</v>
      </c>
    </row>
    <row r="19" spans="1:14" x14ac:dyDescent="0.25">
      <c r="A19" s="140" t="str">
        <f>Model!A72</f>
        <v>Category of Case</v>
      </c>
      <c r="B19" s="160">
        <f>Model!B72</f>
        <v>0</v>
      </c>
      <c r="C19" s="140">
        <f>Model!C72</f>
        <v>0</v>
      </c>
      <c r="D19" s="140">
        <f>Model!D72</f>
        <v>0</v>
      </c>
      <c r="E19" s="140">
        <f>Model!E72</f>
        <v>0</v>
      </c>
      <c r="F19" s="140">
        <f>Model!F72</f>
        <v>0</v>
      </c>
      <c r="G19" s="140">
        <f>Model!G72</f>
        <v>0</v>
      </c>
      <c r="H19" s="140">
        <f>Model!H72</f>
        <v>0</v>
      </c>
      <c r="I19" s="140">
        <f>Model!I72</f>
        <v>0</v>
      </c>
      <c r="J19" s="140">
        <f>Model!J72</f>
        <v>0</v>
      </c>
      <c r="K19" s="140">
        <f>Model!K72</f>
        <v>0</v>
      </c>
      <c r="L19" s="140">
        <f>Model!L72</f>
        <v>0</v>
      </c>
      <c r="M19" s="140">
        <f>Model!M72</f>
        <v>0</v>
      </c>
      <c r="N19" s="140">
        <f>Model!N72</f>
        <v>0</v>
      </c>
    </row>
    <row r="20" spans="1:14" x14ac:dyDescent="0.25">
      <c r="A20" s="140">
        <f>Model!A73</f>
        <v>0</v>
      </c>
      <c r="B20" s="160">
        <f>Model!B73</f>
        <v>0</v>
      </c>
      <c r="C20" s="140">
        <f>Model!C73</f>
        <v>0</v>
      </c>
      <c r="D20" s="140">
        <f>Model!D73</f>
        <v>0</v>
      </c>
      <c r="E20" s="140">
        <f>Model!E73</f>
        <v>0</v>
      </c>
      <c r="F20" s="140">
        <f>Model!F73</f>
        <v>0</v>
      </c>
      <c r="G20" s="140">
        <f>Model!G73</f>
        <v>0</v>
      </c>
      <c r="H20" s="140">
        <f>Model!H73</f>
        <v>0</v>
      </c>
      <c r="I20" s="140">
        <f>Model!I73</f>
        <v>0</v>
      </c>
      <c r="J20" s="140">
        <f>Model!J73</f>
        <v>0</v>
      </c>
      <c r="K20" s="140">
        <f>Model!K73</f>
        <v>0</v>
      </c>
      <c r="L20" s="140">
        <f>Model!L73</f>
        <v>0</v>
      </c>
      <c r="M20" s="140">
        <f>Model!M73</f>
        <v>0</v>
      </c>
      <c r="N20" s="140">
        <f>Model!N73</f>
        <v>0</v>
      </c>
    </row>
    <row r="21" spans="1:14" x14ac:dyDescent="0.25">
      <c r="A21" s="139" t="str">
        <f>Model!A74</f>
        <v>VHCC</v>
      </c>
      <c r="B21" s="140">
        <f>Model!B74</f>
        <v>0</v>
      </c>
      <c r="C21" s="140">
        <f>Model!C74</f>
        <v>0</v>
      </c>
      <c r="D21" s="140">
        <f>Model!D74</f>
        <v>0</v>
      </c>
      <c r="E21" s="140">
        <f>Model!E74</f>
        <v>0</v>
      </c>
      <c r="F21" s="140">
        <f>Model!F74</f>
        <v>0</v>
      </c>
      <c r="G21" s="140">
        <f>Model!G74</f>
        <v>0</v>
      </c>
      <c r="H21" s="140">
        <f>Model!H74</f>
        <v>0</v>
      </c>
      <c r="I21" s="140">
        <f>Model!I74</f>
        <v>0</v>
      </c>
      <c r="J21" s="140">
        <f>Model!J74</f>
        <v>0</v>
      </c>
      <c r="K21" s="140">
        <f>Model!K74</f>
        <v>0</v>
      </c>
      <c r="L21" s="140">
        <f>Model!L74</f>
        <v>0</v>
      </c>
      <c r="M21" s="140">
        <f>Model!M74</f>
        <v>0</v>
      </c>
      <c r="N21" s="140">
        <f>Model!N74</f>
        <v>0</v>
      </c>
    </row>
    <row r="22" spans="1:14" x14ac:dyDescent="0.25">
      <c r="A22" s="140" t="str">
        <f>Model!A75</f>
        <v>KC prep</v>
      </c>
      <c r="B22" s="140" t="e">
        <f ca="1">Model!B75</f>
        <v>#N/A</v>
      </c>
      <c r="C22" s="140">
        <f>Model!C75</f>
        <v>0</v>
      </c>
      <c r="D22" s="140">
        <f>Model!D75</f>
        <v>0</v>
      </c>
      <c r="E22" s="140">
        <f>Model!E75</f>
        <v>0</v>
      </c>
      <c r="F22" s="140">
        <f>Model!F75</f>
        <v>0</v>
      </c>
      <c r="G22" s="140">
        <f>Model!G75</f>
        <v>0</v>
      </c>
      <c r="H22" s="140">
        <f>Model!H75</f>
        <v>0</v>
      </c>
      <c r="I22" s="140">
        <f>Model!I75</f>
        <v>0</v>
      </c>
      <c r="J22" s="140">
        <f>Model!J75</f>
        <v>0</v>
      </c>
      <c r="K22" s="140">
        <f>Model!K75</f>
        <v>0</v>
      </c>
      <c r="L22" s="140">
        <f>Model!L75</f>
        <v>0</v>
      </c>
      <c r="M22" s="140">
        <f>Model!M75</f>
        <v>0</v>
      </c>
      <c r="N22" s="140">
        <f>Model!N75</f>
        <v>0</v>
      </c>
    </row>
    <row r="23" spans="1:14" x14ac:dyDescent="0.25">
      <c r="A23" s="140" t="str">
        <f>Model!A76</f>
        <v>KC daily</v>
      </c>
      <c r="B23" s="140" t="e">
        <f ca="1">Model!B76</f>
        <v>#N/A</v>
      </c>
      <c r="C23" s="140">
        <f>Model!C76</f>
        <v>0</v>
      </c>
      <c r="D23" s="140">
        <f>Model!D76</f>
        <v>0</v>
      </c>
      <c r="E23" s="140">
        <f>Model!E76</f>
        <v>0</v>
      </c>
      <c r="F23" s="140">
        <f>Model!F76</f>
        <v>0</v>
      </c>
      <c r="G23" s="140">
        <f>Model!G76</f>
        <v>0</v>
      </c>
      <c r="H23" s="140">
        <f>Model!H76</f>
        <v>0</v>
      </c>
      <c r="I23" s="140">
        <f>Model!I76</f>
        <v>0</v>
      </c>
      <c r="J23" s="140">
        <f>Model!J76</f>
        <v>0</v>
      </c>
      <c r="K23" s="140">
        <f>Model!K76</f>
        <v>0</v>
      </c>
      <c r="L23" s="140">
        <f>Model!L76</f>
        <v>0</v>
      </c>
      <c r="M23" s="140">
        <f>Model!M76</f>
        <v>0</v>
      </c>
      <c r="N23" s="140">
        <f>Model!N76</f>
        <v>0</v>
      </c>
    </row>
    <row r="24" spans="1:14" x14ac:dyDescent="0.25">
      <c r="A24" s="140" t="str">
        <f>Model!A77</f>
        <v>Lead Jr prep</v>
      </c>
      <c r="B24" s="140" t="e">
        <f ca="1">Model!B77</f>
        <v>#N/A</v>
      </c>
      <c r="C24" s="140">
        <f>Model!C77</f>
        <v>0</v>
      </c>
      <c r="D24" s="140">
        <f>Model!D77</f>
        <v>0</v>
      </c>
      <c r="E24" s="140">
        <f>Model!E77</f>
        <v>0</v>
      </c>
      <c r="F24" s="140">
        <f>Model!F77</f>
        <v>0</v>
      </c>
      <c r="G24" s="140">
        <f>Model!G77</f>
        <v>0</v>
      </c>
      <c r="H24" s="140">
        <f>Model!H77</f>
        <v>0</v>
      </c>
      <c r="I24" s="140">
        <f>Model!I77</f>
        <v>0</v>
      </c>
      <c r="J24" s="140">
        <f>Model!J77</f>
        <v>0</v>
      </c>
      <c r="K24" s="140">
        <f>Model!K77</f>
        <v>0</v>
      </c>
      <c r="L24" s="140">
        <f>Model!L77</f>
        <v>0</v>
      </c>
      <c r="M24" s="140">
        <f>Model!M79</f>
        <v>0</v>
      </c>
      <c r="N24" s="140">
        <f>Model!N79</f>
        <v>0</v>
      </c>
    </row>
    <row r="25" spans="1:14" x14ac:dyDescent="0.25">
      <c r="A25" s="140" t="str">
        <f>Model!A78</f>
        <v>Lead Jr daily</v>
      </c>
      <c r="B25" s="140" t="e">
        <f ca="1">Model!B78</f>
        <v>#N/A</v>
      </c>
      <c r="C25" s="140">
        <f>Model!C78</f>
        <v>0</v>
      </c>
      <c r="D25" s="140">
        <f>Model!D78</f>
        <v>0</v>
      </c>
      <c r="E25" s="140">
        <f>Model!E78</f>
        <v>0</v>
      </c>
      <c r="F25" s="140">
        <f>Model!F78</f>
        <v>0</v>
      </c>
      <c r="G25" s="140">
        <f>Model!G78</f>
        <v>0</v>
      </c>
      <c r="H25" s="140">
        <f>Model!H78</f>
        <v>0</v>
      </c>
      <c r="I25" s="140">
        <f>Model!I78</f>
        <v>0</v>
      </c>
      <c r="J25" s="140">
        <f>Model!J78</f>
        <v>0</v>
      </c>
      <c r="K25" s="140">
        <f>Model!K78</f>
        <v>0</v>
      </c>
      <c r="L25" s="140">
        <f>Model!L78</f>
        <v>0</v>
      </c>
      <c r="M25" s="140">
        <f>Model!M80</f>
        <v>0</v>
      </c>
      <c r="N25" s="140">
        <f>Model!N80</f>
        <v>0</v>
      </c>
    </row>
    <row r="26" spans="1:14" x14ac:dyDescent="0.25">
      <c r="A26" s="140" t="str">
        <f>Model!A79</f>
        <v>Led Jr prep</v>
      </c>
      <c r="B26" s="140" t="e">
        <f ca="1">Model!B79</f>
        <v>#N/A</v>
      </c>
      <c r="C26" s="140">
        <f>Model!C79</f>
        <v>0</v>
      </c>
      <c r="D26" s="140">
        <f>Model!D79</f>
        <v>0</v>
      </c>
      <c r="E26" s="140">
        <f>Model!E79</f>
        <v>0</v>
      </c>
      <c r="F26" s="140">
        <f>Model!F79</f>
        <v>0</v>
      </c>
      <c r="G26" s="140">
        <f>Model!G79</f>
        <v>0</v>
      </c>
      <c r="H26" s="140">
        <f>Model!H79</f>
        <v>0</v>
      </c>
      <c r="I26" s="140">
        <f>Model!I79</f>
        <v>0</v>
      </c>
      <c r="J26" s="140">
        <f>Model!J79</f>
        <v>0</v>
      </c>
      <c r="K26" s="140">
        <f>Model!K79</f>
        <v>0</v>
      </c>
      <c r="L26" s="140">
        <f>Model!L79</f>
        <v>0</v>
      </c>
      <c r="M26" s="140">
        <f>Model!M77</f>
        <v>0</v>
      </c>
      <c r="N26" s="140">
        <f>Model!N77</f>
        <v>0</v>
      </c>
    </row>
    <row r="27" spans="1:14" x14ac:dyDescent="0.25">
      <c r="A27" s="140" t="str">
        <f>Model!A80</f>
        <v>Led Jr daily</v>
      </c>
      <c r="B27" s="140" t="e">
        <f ca="1">Model!B80</f>
        <v>#N/A</v>
      </c>
      <c r="C27" s="140">
        <f>Model!C80</f>
        <v>0</v>
      </c>
      <c r="D27" s="140">
        <f>Model!D80</f>
        <v>0</v>
      </c>
      <c r="E27" s="140">
        <f>Model!E80</f>
        <v>0</v>
      </c>
      <c r="F27" s="140">
        <f>Model!F80</f>
        <v>0</v>
      </c>
      <c r="G27" s="140">
        <f>Model!G80</f>
        <v>0</v>
      </c>
      <c r="H27" s="140">
        <f>Model!H80</f>
        <v>0</v>
      </c>
      <c r="I27" s="140">
        <f>Model!I80</f>
        <v>0</v>
      </c>
      <c r="J27" s="140">
        <f>Model!J80</f>
        <v>0</v>
      </c>
      <c r="K27" s="140">
        <f>Model!K80</f>
        <v>0</v>
      </c>
      <c r="L27" s="140">
        <f>Model!L80</f>
        <v>0</v>
      </c>
      <c r="M27" s="140">
        <f>Model!M78</f>
        <v>0</v>
      </c>
      <c r="N27" s="140">
        <f>Model!N78</f>
        <v>0</v>
      </c>
    </row>
    <row r="28" spans="1:14" x14ac:dyDescent="0.25">
      <c r="A28" s="140" t="str">
        <f>Model!A81</f>
        <v>Jr Alone prep</v>
      </c>
      <c r="B28" s="140" t="e">
        <f ca="1">Model!B81</f>
        <v>#N/A</v>
      </c>
      <c r="C28" s="140">
        <f>Model!C81</f>
        <v>0</v>
      </c>
      <c r="D28" s="140">
        <f>Model!D81</f>
        <v>0</v>
      </c>
      <c r="E28" s="140">
        <f>Model!E81</f>
        <v>0</v>
      </c>
      <c r="F28" s="140">
        <f>Model!F81</f>
        <v>0</v>
      </c>
      <c r="G28" s="140">
        <f>Model!G81</f>
        <v>0</v>
      </c>
      <c r="H28" s="140">
        <f>Model!H81</f>
        <v>0</v>
      </c>
      <c r="I28" s="140">
        <f>Model!I81</f>
        <v>0</v>
      </c>
      <c r="J28" s="140">
        <f>Model!J81</f>
        <v>0</v>
      </c>
      <c r="K28" s="140">
        <f>Model!K81</f>
        <v>0</v>
      </c>
      <c r="L28" s="140">
        <f>Model!L81</f>
        <v>0</v>
      </c>
      <c r="M28" s="140">
        <f>Model!M81</f>
        <v>0</v>
      </c>
      <c r="N28" s="140">
        <f>Model!N81</f>
        <v>0</v>
      </c>
    </row>
    <row r="29" spans="1:14" x14ac:dyDescent="0.25">
      <c r="A29" s="140" t="str">
        <f>Model!A82</f>
        <v>Jr Alone daily</v>
      </c>
      <c r="B29" s="140" t="e">
        <f ca="1">Model!B82</f>
        <v>#N/A</v>
      </c>
      <c r="C29" s="140">
        <f>Model!C82</f>
        <v>0</v>
      </c>
      <c r="D29" s="140">
        <f>Model!D82</f>
        <v>0</v>
      </c>
      <c r="E29" s="140">
        <f>Model!E82</f>
        <v>0</v>
      </c>
      <c r="F29" s="140">
        <f>Model!F82</f>
        <v>0</v>
      </c>
      <c r="G29" s="140">
        <f>Model!G82</f>
        <v>0</v>
      </c>
      <c r="H29" s="140">
        <f>Model!H82</f>
        <v>0</v>
      </c>
      <c r="I29" s="140">
        <f>Model!I82</f>
        <v>0</v>
      </c>
      <c r="J29" s="140">
        <f>Model!J82</f>
        <v>0</v>
      </c>
      <c r="K29" s="140">
        <f>Model!K82</f>
        <v>0</v>
      </c>
      <c r="L29" s="140">
        <f>Model!L82</f>
        <v>0</v>
      </c>
      <c r="M29" s="140">
        <f>Model!M82</f>
        <v>0</v>
      </c>
      <c r="N29" s="140">
        <f>Model!N82</f>
        <v>0</v>
      </c>
    </row>
    <row r="30" spans="1:14" x14ac:dyDescent="0.25">
      <c r="A30" s="140">
        <f>Model!A83</f>
        <v>0</v>
      </c>
      <c r="B30" s="140">
        <f>Model!B83</f>
        <v>0</v>
      </c>
      <c r="C30" s="140">
        <f>Model!C83</f>
        <v>0</v>
      </c>
      <c r="D30" s="140">
        <f>Model!D83</f>
        <v>0</v>
      </c>
      <c r="E30" s="140">
        <f>Model!E83</f>
        <v>0</v>
      </c>
      <c r="F30" s="140">
        <f>Model!F83</f>
        <v>0</v>
      </c>
      <c r="G30" s="140">
        <f>Model!G83</f>
        <v>0</v>
      </c>
      <c r="H30" s="140">
        <f>Model!H83</f>
        <v>0</v>
      </c>
      <c r="I30" s="140">
        <f>Model!I83</f>
        <v>0</v>
      </c>
      <c r="J30" s="140">
        <f>Model!J83</f>
        <v>0</v>
      </c>
      <c r="K30" s="140">
        <f>Model!K83</f>
        <v>0</v>
      </c>
      <c r="L30" s="140">
        <f>Model!L83</f>
        <v>0</v>
      </c>
      <c r="M30" s="140">
        <f>Model!M83</f>
        <v>0</v>
      </c>
      <c r="N30" s="140">
        <f>Model!N83</f>
        <v>0</v>
      </c>
    </row>
    <row r="31" spans="1:14" hidden="1" x14ac:dyDescent="0.25">
      <c r="A31" s="139" t="str">
        <f>Model!A84</f>
        <v xml:space="preserve">AGFS Rates </v>
      </c>
      <c r="B31" s="140">
        <f>Model!B84</f>
        <v>0</v>
      </c>
      <c r="C31" s="140">
        <f>Model!C84</f>
        <v>0</v>
      </c>
      <c r="D31" s="140">
        <f>Model!D84</f>
        <v>0</v>
      </c>
      <c r="E31" s="140">
        <f>Model!E84</f>
        <v>0</v>
      </c>
      <c r="F31" s="140">
        <f>Model!F84</f>
        <v>0</v>
      </c>
      <c r="G31" s="140">
        <f>Model!G84</f>
        <v>0</v>
      </c>
      <c r="H31" s="140">
        <f>Model!H84</f>
        <v>0</v>
      </c>
      <c r="I31" s="140">
        <f>Model!I84</f>
        <v>0</v>
      </c>
      <c r="J31" s="140">
        <f>Model!J84</f>
        <v>0</v>
      </c>
      <c r="K31" s="140">
        <f>Model!K84</f>
        <v>0</v>
      </c>
      <c r="L31" s="140">
        <f>Model!L84</f>
        <v>0</v>
      </c>
      <c r="M31" s="140">
        <f>Model!M84</f>
        <v>0</v>
      </c>
      <c r="N31" s="140">
        <f>Model!N84</f>
        <v>0</v>
      </c>
    </row>
    <row r="32" spans="1:14" ht="56.25" hidden="1" customHeight="1" x14ac:dyDescent="0.25">
      <c r="A32" s="140">
        <f>Model!A85</f>
        <v>0</v>
      </c>
      <c r="B32" s="140" t="str">
        <f>Model!B85</f>
        <v>basic</v>
      </c>
      <c r="C32" s="140" t="str">
        <f>Model!C85</f>
        <v>evidence above 50 pages (not capped at 10k)</v>
      </c>
      <c r="D32" s="140" t="str">
        <f>Model!D85</f>
        <v>Witnesses uplift</v>
      </c>
      <c r="E32" s="140" t="str">
        <f>Model!E85</f>
        <v>Daily Attendance Fee 3-40</v>
      </c>
      <c r="F32" s="140" t="str">
        <f>Model!F85</f>
        <v>Daily Attendance Fee 41-50</v>
      </c>
      <c r="G32" s="140" t="str">
        <f>Model!G85</f>
        <v>Daily Attendance Fee 51+</v>
      </c>
      <c r="H32" s="140">
        <f>Model!I85</f>
        <v>0</v>
      </c>
      <c r="I32" s="140">
        <f>Model!J85</f>
        <v>0</v>
      </c>
      <c r="J32" s="140">
        <f>Model!K85</f>
        <v>0</v>
      </c>
      <c r="K32" s="140">
        <f>Model!L85</f>
        <v>0</v>
      </c>
      <c r="L32" s="140">
        <f>Model!M85</f>
        <v>0</v>
      </c>
      <c r="M32" s="140">
        <f>Model!N85</f>
        <v>0</v>
      </c>
      <c r="N32" s="140">
        <f>Model!O85</f>
        <v>0</v>
      </c>
    </row>
    <row r="33" spans="1:14" hidden="1" x14ac:dyDescent="0.25">
      <c r="A33" s="94" t="str">
        <f>Model!A86</f>
        <v>KC</v>
      </c>
      <c r="B33" s="94" t="e">
        <f ca="1">Model!B86</f>
        <v>#N/A</v>
      </c>
      <c r="C33" s="94" t="e">
        <f ca="1">Model!C86</f>
        <v>#N/A</v>
      </c>
      <c r="D33" s="94" t="e">
        <f ca="1">Model!D86</f>
        <v>#N/A</v>
      </c>
      <c r="E33" s="94" t="e">
        <f ca="1">Model!E86</f>
        <v>#N/A</v>
      </c>
      <c r="F33" s="94" t="e">
        <f ca="1">Model!F86</f>
        <v>#N/A</v>
      </c>
      <c r="G33" s="94" t="e">
        <f ca="1">Model!G86</f>
        <v>#N/A</v>
      </c>
      <c r="H33" s="140">
        <f>Model!I86</f>
        <v>0</v>
      </c>
      <c r="I33" s="140">
        <f>Model!J86</f>
        <v>0</v>
      </c>
      <c r="J33" s="140">
        <f>Model!K86</f>
        <v>0</v>
      </c>
      <c r="K33" s="140">
        <f>Model!L86</f>
        <v>0</v>
      </c>
      <c r="L33" s="140">
        <f>Model!M86</f>
        <v>0</v>
      </c>
      <c r="M33" s="140">
        <f>Model!N86</f>
        <v>0</v>
      </c>
      <c r="N33" s="140">
        <f>Model!O86</f>
        <v>0</v>
      </c>
    </row>
    <row r="34" spans="1:14" hidden="1" x14ac:dyDescent="0.25">
      <c r="A34" s="92" t="str">
        <f>Model!A87</f>
        <v>Leading Jr</v>
      </c>
      <c r="B34" s="92" t="e">
        <f ca="1">Model!B87</f>
        <v>#N/A</v>
      </c>
      <c r="C34" s="92" t="e">
        <f ca="1">Model!C87</f>
        <v>#N/A</v>
      </c>
      <c r="D34" s="92" t="e">
        <f ca="1">Model!D87</f>
        <v>#N/A</v>
      </c>
      <c r="E34" s="92" t="e">
        <f ca="1">Model!E87</f>
        <v>#N/A</v>
      </c>
      <c r="F34" s="92" t="e">
        <f ca="1">Model!F87</f>
        <v>#N/A</v>
      </c>
      <c r="G34" s="92" t="e">
        <f ca="1">Model!G87</f>
        <v>#N/A</v>
      </c>
      <c r="H34" s="140">
        <f>Model!I87</f>
        <v>0</v>
      </c>
      <c r="I34" s="140">
        <f>Model!J87</f>
        <v>0</v>
      </c>
      <c r="J34" s="140">
        <f>Model!K87</f>
        <v>0</v>
      </c>
      <c r="K34" s="140">
        <f>Model!L87</f>
        <v>0</v>
      </c>
      <c r="L34" s="140">
        <f>Model!M87</f>
        <v>0</v>
      </c>
      <c r="M34" s="140">
        <f>Model!N87</f>
        <v>0</v>
      </c>
      <c r="N34" s="140">
        <f>Model!O87</f>
        <v>0</v>
      </c>
    </row>
    <row r="35" spans="1:14" hidden="1" x14ac:dyDescent="0.25">
      <c r="A35" s="92" t="str">
        <f>Model!A88</f>
        <v>Led Jr</v>
      </c>
      <c r="B35" s="92" t="e">
        <f ca="1">Model!B88</f>
        <v>#N/A</v>
      </c>
      <c r="C35" s="92" t="e">
        <f ca="1">Model!C88</f>
        <v>#N/A</v>
      </c>
      <c r="D35" s="92" t="e">
        <f ca="1">Model!D88</f>
        <v>#N/A</v>
      </c>
      <c r="E35" s="92" t="e">
        <f ca="1">Model!E88</f>
        <v>#N/A</v>
      </c>
      <c r="F35" s="92" t="e">
        <f ca="1">Model!F88</f>
        <v>#N/A</v>
      </c>
      <c r="G35" s="92" t="e">
        <f ca="1">Model!G88</f>
        <v>#N/A</v>
      </c>
      <c r="H35" s="140">
        <f>Model!I88</f>
        <v>0</v>
      </c>
      <c r="I35" s="140">
        <f>Model!J88</f>
        <v>0</v>
      </c>
      <c r="J35" s="140">
        <f>Model!K88</f>
        <v>0</v>
      </c>
      <c r="K35" s="140">
        <f>Model!L88</f>
        <v>0</v>
      </c>
      <c r="L35" s="140">
        <f>Model!M88</f>
        <v>0</v>
      </c>
      <c r="M35" s="140">
        <f>Model!N88</f>
        <v>0</v>
      </c>
      <c r="N35" s="140">
        <f>Model!O88</f>
        <v>0</v>
      </c>
    </row>
    <row r="36" spans="1:14" hidden="1" x14ac:dyDescent="0.25">
      <c r="A36" s="92" t="str">
        <f>Model!A89</f>
        <v>Jr Alone</v>
      </c>
      <c r="B36" s="92" t="e">
        <f ca="1">Model!B89</f>
        <v>#N/A</v>
      </c>
      <c r="C36" s="92" t="e">
        <f ca="1">Model!C89</f>
        <v>#N/A</v>
      </c>
      <c r="D36" s="92" t="e">
        <f ca="1">Model!D89</f>
        <v>#N/A</v>
      </c>
      <c r="E36" s="92" t="e">
        <f ca="1">Model!E89</f>
        <v>#N/A</v>
      </c>
      <c r="F36" s="92" t="e">
        <f ca="1">Model!F89</f>
        <v>#N/A</v>
      </c>
      <c r="G36" s="92" t="e">
        <f ca="1">Model!G89</f>
        <v>#N/A</v>
      </c>
      <c r="H36" s="140">
        <f>Model!I89</f>
        <v>0</v>
      </c>
      <c r="I36" s="140">
        <f>Model!J89</f>
        <v>0</v>
      </c>
      <c r="J36" s="140">
        <f>Model!K89</f>
        <v>0</v>
      </c>
      <c r="K36" s="140">
        <f>Model!L89</f>
        <v>0</v>
      </c>
      <c r="L36" s="140">
        <f>Model!M89</f>
        <v>0</v>
      </c>
      <c r="M36" s="140">
        <f>Model!N89</f>
        <v>0</v>
      </c>
      <c r="N36" s="140">
        <f>Model!O89</f>
        <v>0</v>
      </c>
    </row>
    <row r="37" spans="1:14" ht="26.4" hidden="1" x14ac:dyDescent="0.25">
      <c r="A37" s="93" t="str">
        <f>Model!A91</f>
        <v>Number of evidence/days not included</v>
      </c>
      <c r="B37" s="93" t="str">
        <f>Model!B91</f>
        <v>-</v>
      </c>
      <c r="C37" s="93">
        <f>Model!C91</f>
        <v>50</v>
      </c>
      <c r="D37" s="93">
        <f>Model!D91</f>
        <v>10</v>
      </c>
      <c r="E37" s="93">
        <f>Model!E91</f>
        <v>2</v>
      </c>
      <c r="F37" s="93">
        <f>Model!F91</f>
        <v>40</v>
      </c>
      <c r="G37" s="93">
        <f>Model!G91</f>
        <v>50</v>
      </c>
      <c r="H37" s="140">
        <f>Model!I91</f>
        <v>0</v>
      </c>
      <c r="I37" s="140">
        <f>Model!J91</f>
        <v>0</v>
      </c>
      <c r="J37" s="140">
        <f>Model!K91</f>
        <v>0</v>
      </c>
      <c r="K37" s="140">
        <f>Model!L91</f>
        <v>0</v>
      </c>
      <c r="L37" s="140">
        <f>Model!M91</f>
        <v>0</v>
      </c>
      <c r="M37" s="140">
        <f>Model!N91</f>
        <v>0</v>
      </c>
      <c r="N37" s="140">
        <f>Model!O91</f>
        <v>0</v>
      </c>
    </row>
    <row r="38" spans="1:14" x14ac:dyDescent="0.25">
      <c r="A38" s="140">
        <f>Model!A92</f>
        <v>0</v>
      </c>
      <c r="B38" s="140">
        <f>Model!B92</f>
        <v>0</v>
      </c>
      <c r="C38" s="140">
        <f>Model!C92</f>
        <v>0</v>
      </c>
      <c r="D38" s="140">
        <f>Model!D92</f>
        <v>0</v>
      </c>
      <c r="E38" s="140">
        <f>Model!E92</f>
        <v>0</v>
      </c>
      <c r="F38" s="140">
        <f>Model!F92</f>
        <v>0</v>
      </c>
      <c r="G38" s="140">
        <f>Model!G92</f>
        <v>0</v>
      </c>
      <c r="H38" s="140">
        <f>Model!H92</f>
        <v>0</v>
      </c>
      <c r="I38" s="140">
        <f>Model!I92</f>
        <v>0</v>
      </c>
      <c r="J38" s="140">
        <f>Model!J92</f>
        <v>0</v>
      </c>
      <c r="K38" s="140">
        <f>Model!K92</f>
        <v>0</v>
      </c>
      <c r="L38" s="140">
        <f>Model!L92</f>
        <v>0</v>
      </c>
    </row>
    <row r="40" spans="1:14" hidden="1" x14ac:dyDescent="0.25">
      <c r="A40" s="145" t="s">
        <v>294</v>
      </c>
      <c r="B40" s="146"/>
      <c r="C40" s="146"/>
      <c r="D40" s="146"/>
      <c r="E40" s="146"/>
      <c r="F40" s="146"/>
      <c r="G40" s="146"/>
    </row>
    <row r="41" spans="1:14" ht="26.4" hidden="1" x14ac:dyDescent="0.25">
      <c r="A41" s="146">
        <f>Model!E121</f>
        <v>0</v>
      </c>
      <c r="B41" s="146" t="str">
        <f>Model!F121</f>
        <v>Cost per person</v>
      </c>
      <c r="C41" s="146" t="str">
        <f>Model!G121</f>
        <v>Total cost</v>
      </c>
      <c r="D41" s="147"/>
      <c r="E41" s="146"/>
      <c r="F41" s="146"/>
      <c r="G41" s="146"/>
    </row>
    <row r="42" spans="1:14" hidden="1" x14ac:dyDescent="0.25">
      <c r="A42" s="148" t="str">
        <f>Model!E122</f>
        <v xml:space="preserve">KC </v>
      </c>
      <c r="B42" s="149" t="e">
        <f ca="1">Model!F122</f>
        <v>#N/A</v>
      </c>
      <c r="C42" s="149" t="e">
        <f ca="1">Model!G122</f>
        <v>#N/A</v>
      </c>
      <c r="D42" s="150" t="str">
        <f>Model!H122</f>
        <v>*Note relative proportions have not been applied here</v>
      </c>
      <c r="E42" s="146"/>
      <c r="F42" s="146"/>
      <c r="G42" s="146"/>
    </row>
    <row r="43" spans="1:14" hidden="1" x14ac:dyDescent="0.25">
      <c r="A43" s="147" t="str">
        <f>Model!E124</f>
        <v>Led junior</v>
      </c>
      <c r="B43" s="151" t="e">
        <f ca="1">Model!F124</f>
        <v>#N/A</v>
      </c>
      <c r="C43" s="151" t="e">
        <f ca="1">Model!G124</f>
        <v>#N/A</v>
      </c>
      <c r="D43" s="146"/>
      <c r="E43" s="146"/>
      <c r="F43" s="146"/>
      <c r="G43" s="146"/>
    </row>
    <row r="44" spans="1:14" hidden="1" x14ac:dyDescent="0.25">
      <c r="A44" s="147" t="str">
        <f>Model!E123</f>
        <v>Lead junior</v>
      </c>
      <c r="B44" s="151" t="e">
        <f ca="1">Model!F123</f>
        <v>#N/A</v>
      </c>
      <c r="C44" s="151" t="e">
        <f ca="1">Model!G123</f>
        <v>#N/A</v>
      </c>
      <c r="D44" s="146"/>
      <c r="E44" s="146"/>
      <c r="F44" s="146"/>
      <c r="G44" s="146"/>
    </row>
    <row r="45" spans="1:14" hidden="1" x14ac:dyDescent="0.25">
      <c r="A45" s="152" t="str">
        <f>Model!E125</f>
        <v>Junior alone</v>
      </c>
      <c r="B45" s="153" t="e">
        <f ca="1">Model!F125</f>
        <v>#N/A</v>
      </c>
      <c r="C45" s="153" t="e">
        <f ca="1">Model!G125</f>
        <v>#N/A</v>
      </c>
      <c r="D45" s="146"/>
      <c r="E45" s="146"/>
      <c r="F45" s="146"/>
      <c r="G45" s="146"/>
    </row>
    <row r="46" spans="1:14" hidden="1" x14ac:dyDescent="0.25">
      <c r="A46" s="146">
        <f>Model!E126</f>
        <v>0</v>
      </c>
      <c r="B46" s="154">
        <f>Model!F126</f>
        <v>0</v>
      </c>
      <c r="C46" s="154">
        <f>Model!G126</f>
        <v>0</v>
      </c>
      <c r="D46" s="146"/>
      <c r="E46" s="146"/>
      <c r="F46" s="146"/>
      <c r="G46" s="146"/>
    </row>
    <row r="47" spans="1:14" hidden="1" x14ac:dyDescent="0.25">
      <c r="A47" s="146" t="str">
        <f>Model!E127</f>
        <v>Total</v>
      </c>
      <c r="B47" s="154">
        <f>Model!F127</f>
        <v>0</v>
      </c>
      <c r="C47" s="154" t="e">
        <f ca="1">Model!G127</f>
        <v>#N/A</v>
      </c>
      <c r="D47" s="146"/>
      <c r="E47" s="146"/>
      <c r="F47" s="146"/>
      <c r="G47" s="146"/>
    </row>
    <row r="48" spans="1:14" hidden="1" x14ac:dyDescent="0.25">
      <c r="A48" s="146"/>
      <c r="B48" s="154"/>
      <c r="C48" s="154"/>
      <c r="D48" s="146"/>
      <c r="E48" s="146"/>
      <c r="F48" s="146"/>
      <c r="G48" s="146"/>
    </row>
    <row r="49" spans="1:7" hidden="1" x14ac:dyDescent="0.25">
      <c r="A49" s="155" t="s">
        <v>316</v>
      </c>
      <c r="B49" s="216"/>
      <c r="C49" s="216"/>
      <c r="D49" s="216"/>
      <c r="E49" s="216"/>
      <c r="F49" s="216"/>
      <c r="G49" s="146"/>
    </row>
    <row r="50" spans="1:7" ht="26.4" hidden="1" x14ac:dyDescent="0.25">
      <c r="A50" s="216">
        <f>Model!E150</f>
        <v>0</v>
      </c>
      <c r="B50" s="216" t="str">
        <f>Model!F150</f>
        <v>Cost per person</v>
      </c>
      <c r="C50" s="216" t="str">
        <f>Model!G150</f>
        <v>Total cost</v>
      </c>
      <c r="D50" s="216"/>
      <c r="E50" s="216"/>
      <c r="F50" s="216"/>
      <c r="G50" s="146"/>
    </row>
    <row r="51" spans="1:7" hidden="1" x14ac:dyDescent="0.25">
      <c r="A51" s="217" t="str">
        <f>Model!E151</f>
        <v xml:space="preserve">KC </v>
      </c>
      <c r="B51" s="218" t="e">
        <f ca="1">Model!F151</f>
        <v>#N/A</v>
      </c>
      <c r="C51" s="218" t="e">
        <f ca="1">Model!G151</f>
        <v>#N/A</v>
      </c>
      <c r="D51" s="216"/>
      <c r="E51" s="216"/>
      <c r="F51" s="216"/>
      <c r="G51" s="146"/>
    </row>
    <row r="52" spans="1:7" hidden="1" x14ac:dyDescent="0.25">
      <c r="A52" s="157" t="str">
        <f>Model!E153</f>
        <v>Led junior</v>
      </c>
      <c r="B52" s="219" t="e">
        <f ca="1">Model!F153</f>
        <v>#N/A</v>
      </c>
      <c r="C52" s="219" t="e">
        <f ca="1">Model!G153</f>
        <v>#N/A</v>
      </c>
      <c r="D52" s="216"/>
      <c r="E52" s="216"/>
      <c r="F52" s="216"/>
      <c r="G52" s="146"/>
    </row>
    <row r="53" spans="1:7" hidden="1" x14ac:dyDescent="0.25">
      <c r="A53" s="157" t="str">
        <f>Model!E152</f>
        <v>Lead junior</v>
      </c>
      <c r="B53" s="219" t="e">
        <f ca="1">Model!F152</f>
        <v>#N/A</v>
      </c>
      <c r="C53" s="219" t="e">
        <f ca="1">Model!G152</f>
        <v>#N/A</v>
      </c>
      <c r="D53" s="216"/>
      <c r="E53" s="216"/>
      <c r="F53" s="216"/>
      <c r="G53" s="146"/>
    </row>
    <row r="54" spans="1:7" hidden="1" x14ac:dyDescent="0.25">
      <c r="A54" s="220" t="str">
        <f>Model!E154</f>
        <v>Junior alone</v>
      </c>
      <c r="B54" s="221" t="e">
        <f ca="1">Model!F154</f>
        <v>#N/A</v>
      </c>
      <c r="C54" s="221" t="e">
        <f ca="1">Model!G154</f>
        <v>#N/A</v>
      </c>
      <c r="D54" s="216"/>
      <c r="E54" s="216"/>
      <c r="F54" s="216"/>
      <c r="G54" s="146"/>
    </row>
    <row r="55" spans="1:7" hidden="1" x14ac:dyDescent="0.25">
      <c r="A55" s="216">
        <f>Model!E155</f>
        <v>0</v>
      </c>
      <c r="B55" s="222">
        <f>Model!F155</f>
        <v>0</v>
      </c>
      <c r="C55" s="222">
        <f>Model!G155</f>
        <v>0</v>
      </c>
      <c r="D55" s="216"/>
      <c r="E55" s="216"/>
      <c r="F55" s="216"/>
      <c r="G55" s="146"/>
    </row>
    <row r="56" spans="1:7" hidden="1" x14ac:dyDescent="0.25">
      <c r="A56" s="216" t="str">
        <f>Model!E156</f>
        <v>Total</v>
      </c>
      <c r="B56" s="222">
        <f>Model!F156</f>
        <v>0</v>
      </c>
      <c r="C56" s="222" t="e">
        <f ca="1">Model!G156</f>
        <v>#N/A</v>
      </c>
      <c r="D56" s="216"/>
      <c r="E56" s="216"/>
      <c r="F56" s="216"/>
      <c r="G56" s="146"/>
    </row>
    <row r="58" spans="1:7" x14ac:dyDescent="0.25">
      <c r="A58" s="155" t="s">
        <v>315</v>
      </c>
    </row>
    <row r="59" spans="1:7" ht="26.4" x14ac:dyDescent="0.25">
      <c r="A59" s="140">
        <f>Model!E159</f>
        <v>0</v>
      </c>
      <c r="B59" s="140" t="str">
        <f>Model!F159</f>
        <v>Cost per person</v>
      </c>
      <c r="C59" s="140" t="str">
        <f>Model!G159</f>
        <v>Total cost</v>
      </c>
    </row>
    <row r="60" spans="1:7" x14ac:dyDescent="0.25">
      <c r="A60" s="94" t="str">
        <f>Model!E160</f>
        <v xml:space="preserve">KC </v>
      </c>
      <c r="B60" s="141" t="e">
        <f ca="1">Model!F160</f>
        <v>#N/A</v>
      </c>
      <c r="C60" s="141" t="e">
        <f ca="1">Model!G160</f>
        <v>#N/A</v>
      </c>
    </row>
    <row r="61" spans="1:7" x14ac:dyDescent="0.25">
      <c r="A61" s="92" t="str">
        <f>Model!E162</f>
        <v>Led junior</v>
      </c>
      <c r="B61" s="142" t="e">
        <f ca="1">Model!F162</f>
        <v>#N/A</v>
      </c>
      <c r="C61" s="142" t="e">
        <f ca="1">Model!G162</f>
        <v>#N/A</v>
      </c>
    </row>
    <row r="62" spans="1:7" x14ac:dyDescent="0.25">
      <c r="A62" s="92" t="str">
        <f>Model!E161</f>
        <v>Lead junior</v>
      </c>
      <c r="B62" s="142" t="e">
        <f ca="1">Model!F161</f>
        <v>#N/A</v>
      </c>
      <c r="C62" s="142" t="e">
        <f ca="1">Model!G161</f>
        <v>#N/A</v>
      </c>
    </row>
    <row r="63" spans="1:7" x14ac:dyDescent="0.25">
      <c r="A63" s="93" t="str">
        <f>Model!E163</f>
        <v>Junior alone</v>
      </c>
      <c r="B63" s="143" t="e">
        <f ca="1">Model!F163</f>
        <v>#N/A</v>
      </c>
      <c r="C63" s="143" t="e">
        <f ca="1">Model!G163</f>
        <v>#N/A</v>
      </c>
    </row>
    <row r="64" spans="1:7" x14ac:dyDescent="0.25">
      <c r="A64" s="140">
        <f>Model!E164</f>
        <v>0</v>
      </c>
      <c r="B64" s="144">
        <f>Model!F164</f>
        <v>0</v>
      </c>
      <c r="C64" s="144">
        <f>Model!G164</f>
        <v>0</v>
      </c>
    </row>
    <row r="65" spans="1:12" x14ac:dyDescent="0.25">
      <c r="A65" s="140" t="str">
        <f>Model!E165</f>
        <v>Total</v>
      </c>
      <c r="B65" s="144">
        <f>Model!F165</f>
        <v>0</v>
      </c>
      <c r="C65" s="144" t="e">
        <f ca="1">Model!G165</f>
        <v>#N/A</v>
      </c>
    </row>
    <row r="68" spans="1:12" x14ac:dyDescent="0.25">
      <c r="A68" s="139"/>
      <c r="G68" s="139"/>
    </row>
    <row r="69" spans="1:12" x14ac:dyDescent="0.25">
      <c r="B69" s="144"/>
      <c r="C69" s="144"/>
      <c r="D69" s="144"/>
      <c r="E69" s="144"/>
      <c r="F69" s="144"/>
      <c r="G69" s="144"/>
      <c r="H69" s="144"/>
      <c r="I69" s="144"/>
      <c r="J69" s="144"/>
      <c r="K69" s="144"/>
    </row>
    <row r="70" spans="1:12" x14ac:dyDescent="0.25">
      <c r="B70" s="144"/>
      <c r="C70" s="144"/>
      <c r="D70" s="144"/>
      <c r="E70" s="144"/>
      <c r="F70" s="144"/>
      <c r="G70" s="144"/>
      <c r="H70" s="144"/>
      <c r="I70" s="144"/>
      <c r="J70" s="144"/>
      <c r="K70" s="144"/>
    </row>
    <row r="71" spans="1:12" x14ac:dyDescent="0.25">
      <c r="B71" s="144"/>
      <c r="C71" s="144"/>
      <c r="D71" s="144"/>
      <c r="E71" s="144"/>
      <c r="F71" s="144"/>
      <c r="G71" s="144"/>
      <c r="H71" s="144"/>
      <c r="I71" s="144"/>
      <c r="J71" s="144"/>
      <c r="K71" s="144"/>
    </row>
    <row r="72" spans="1:12" x14ac:dyDescent="0.25">
      <c r="B72" s="144"/>
      <c r="C72" s="144"/>
      <c r="D72" s="144"/>
      <c r="E72" s="144"/>
      <c r="F72" s="144"/>
      <c r="G72" s="144"/>
      <c r="H72" s="144"/>
      <c r="I72" s="144"/>
      <c r="J72" s="144"/>
      <c r="K72" s="144"/>
    </row>
    <row r="73" spans="1:12" x14ac:dyDescent="0.25">
      <c r="A73" s="140">
        <f>Model!A129</f>
        <v>0</v>
      </c>
      <c r="B73" s="140">
        <f>Model!B129</f>
        <v>0</v>
      </c>
      <c r="C73" s="140">
        <f>Model!C129</f>
        <v>0</v>
      </c>
      <c r="D73" s="140">
        <f>Model!D129</f>
        <v>0</v>
      </c>
      <c r="E73" s="140">
        <f>Model!E129</f>
        <v>0</v>
      </c>
      <c r="G73" s="140">
        <f>Model!G129</f>
        <v>0</v>
      </c>
      <c r="H73" s="140">
        <f>Model!H129</f>
        <v>0</v>
      </c>
      <c r="I73" s="140">
        <f>Model!I129</f>
        <v>0</v>
      </c>
      <c r="J73" s="140">
        <f>Model!J129</f>
        <v>0</v>
      </c>
      <c r="K73" s="140">
        <f>Model!K129</f>
        <v>0</v>
      </c>
      <c r="L73" s="140">
        <f>Model!L129</f>
        <v>0</v>
      </c>
    </row>
    <row r="74" spans="1:12" x14ac:dyDescent="0.25">
      <c r="A74" s="140">
        <f>Model!A130</f>
        <v>0</v>
      </c>
      <c r="B74" s="140">
        <f>Model!B130</f>
        <v>0</v>
      </c>
      <c r="C74" s="140">
        <f>Model!C130</f>
        <v>0</v>
      </c>
      <c r="D74" s="140">
        <f>Model!D130</f>
        <v>0</v>
      </c>
      <c r="E74" s="140">
        <f>Model!E130</f>
        <v>0</v>
      </c>
      <c r="F74" s="140">
        <f>Model!F130</f>
        <v>0</v>
      </c>
      <c r="G74" s="140">
        <f>Model!G130</f>
        <v>0</v>
      </c>
      <c r="H74" s="140">
        <f>Model!H130</f>
        <v>0</v>
      </c>
      <c r="I74" s="140">
        <f>Model!I130</f>
        <v>0</v>
      </c>
      <c r="J74" s="140">
        <f>Model!J130</f>
        <v>0</v>
      </c>
      <c r="K74" s="140">
        <f>Model!K130</f>
        <v>0</v>
      </c>
      <c r="L74" s="140">
        <f>Model!L130</f>
        <v>0</v>
      </c>
    </row>
  </sheetData>
  <sheetProtection algorithmName="SHA-512" hashValue="+zHCJljor28W+xCuQP+QBp2vRR0laaXzN7AupZxdBBPr3RwMfh4hhxjwH5lCIc+VXLeWDCv19hn3XQ7wPsle5A==" saltValue="FgSQ5t9/bHLBDN4yFkRUKQ==" spinCount="100000" sheet="1" objects="1" scenarios="1"/>
  <conditionalFormatting sqref="A1:XFD1048576">
    <cfRule type="cellIs" dxfId="6" priority="1" operator="equal">
      <formula>0</formula>
    </cfRule>
  </conditionalFormatting>
  <pageMargins left="0.7" right="0.7" top="0.75" bottom="0.75" header="0.3" footer="0.3"/>
  <pageSetup paperSize="9" orientation="portrait" r:id="rId1"/>
  <headerFooter>
    <oddHeader>&amp;C&amp;"Calibri"&amp;12&amp;K000000 OFFICIAL&amp;1#_x000D_</oddHeader>
    <oddFooter>&amp;C_x000D_&amp;1#&amp;"Calibri"&amp;12&amp;K000000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P171"/>
  <sheetViews>
    <sheetView showGridLines="0" workbookViewId="0">
      <selection activeCell="A57" sqref="A57"/>
    </sheetView>
  </sheetViews>
  <sheetFormatPr defaultColWidth="9.109375" defaultRowHeight="13.2" x14ac:dyDescent="0.25"/>
  <cols>
    <col min="1" max="1" width="46" style="44" customWidth="1"/>
    <col min="2" max="3" width="17.6640625" style="44" bestFit="1" customWidth="1"/>
    <col min="4" max="5" width="13.33203125" style="44" customWidth="1"/>
    <col min="6" max="6" width="14.33203125" style="44" bestFit="1" customWidth="1"/>
    <col min="7" max="11" width="13.33203125" style="44" customWidth="1"/>
    <col min="12" max="12" width="13.5546875" style="44" customWidth="1"/>
    <col min="13" max="13" width="9.88671875" style="44" customWidth="1"/>
    <col min="14" max="27" width="9.109375" style="44"/>
    <col min="28" max="29" width="9.109375" style="44" customWidth="1"/>
    <col min="30" max="16384" width="9.109375" style="44"/>
  </cols>
  <sheetData>
    <row r="1" spans="1:9" s="43" customFormat="1" x14ac:dyDescent="0.25">
      <c r="A1" s="42" t="s">
        <v>89</v>
      </c>
    </row>
    <row r="2" spans="1:9" x14ac:dyDescent="0.25">
      <c r="B2" s="44" t="s">
        <v>25</v>
      </c>
      <c r="C2" s="44" t="s">
        <v>112</v>
      </c>
      <c r="D2" s="44" t="s">
        <v>113</v>
      </c>
      <c r="G2" s="57"/>
    </row>
    <row r="3" spans="1:9" x14ac:dyDescent="0.25">
      <c r="A3" s="78" t="s">
        <v>126</v>
      </c>
      <c r="B3" s="46" t="s">
        <v>2</v>
      </c>
      <c r="C3" s="46" t="s">
        <v>2</v>
      </c>
      <c r="H3" s="46"/>
      <c r="I3" s="46"/>
    </row>
    <row r="4" spans="1:9" x14ac:dyDescent="0.25">
      <c r="A4" s="1" t="s">
        <v>3</v>
      </c>
      <c r="B4" s="131">
        <f>'Data &amp; Assumptions'!C25</f>
        <v>1</v>
      </c>
      <c r="C4" s="131">
        <f>'Data &amp; Assumptions'!D25</f>
        <v>1</v>
      </c>
      <c r="D4" s="131" t="str">
        <f>'Data &amp; Assumptions'!E25</f>
        <v>?</v>
      </c>
      <c r="H4" s="53"/>
      <c r="I4" s="54"/>
    </row>
    <row r="5" spans="1:9" ht="15" customHeight="1" x14ac:dyDescent="0.25">
      <c r="A5" s="101" t="s">
        <v>241</v>
      </c>
      <c r="B5" s="66">
        <f>'Data &amp; Assumptions'!C26</f>
        <v>0.25</v>
      </c>
      <c r="C5" s="66">
        <f>'Data &amp; Assumptions'!D26</f>
        <v>1</v>
      </c>
      <c r="D5" s="102" t="str">
        <f>'Data &amp; Assumptions'!E26</f>
        <v>?</v>
      </c>
      <c r="H5" s="55"/>
      <c r="I5" s="54"/>
    </row>
    <row r="6" spans="1:9" x14ac:dyDescent="0.25">
      <c r="A6" s="1" t="s">
        <v>4</v>
      </c>
      <c r="B6" s="67">
        <f>'Data &amp; Assumptions'!C27</f>
        <v>1.25</v>
      </c>
      <c r="C6" s="67">
        <f>'Data &amp; Assumptions'!D27</f>
        <v>1.25</v>
      </c>
      <c r="D6" s="102" t="str">
        <f>'Data &amp; Assumptions'!E27</f>
        <v>?</v>
      </c>
      <c r="H6" s="56"/>
      <c r="I6" s="56"/>
    </row>
    <row r="7" spans="1:9" x14ac:dyDescent="0.25">
      <c r="A7" s="1" t="s">
        <v>5</v>
      </c>
      <c r="B7" s="102">
        <f>'Data &amp; Assumptions'!C28</f>
        <v>0.5</v>
      </c>
      <c r="C7" s="67">
        <f>'Data &amp; Assumptions'!D28</f>
        <v>1</v>
      </c>
      <c r="D7" s="102" t="str">
        <f>'Data &amp; Assumptions'!E28</f>
        <v>?</v>
      </c>
      <c r="H7" s="56"/>
      <c r="I7" s="56"/>
    </row>
    <row r="8" spans="1:9" x14ac:dyDescent="0.25">
      <c r="A8" s="1" t="s">
        <v>11</v>
      </c>
      <c r="B8" s="67">
        <f>'Data &amp; Assumptions'!C29</f>
        <v>250</v>
      </c>
      <c r="C8" s="67">
        <f>'Data &amp; Assumptions'!D29</f>
        <v>530</v>
      </c>
      <c r="D8" s="102" t="str">
        <f>'Data &amp; Assumptions'!E29</f>
        <v>?</v>
      </c>
      <c r="H8" s="56"/>
      <c r="I8" s="56"/>
    </row>
    <row r="9" spans="1:9" x14ac:dyDescent="0.25">
      <c r="A9" s="1" t="s">
        <v>12</v>
      </c>
      <c r="B9" s="67">
        <f>'Data &amp; Assumptions'!C30</f>
        <v>2</v>
      </c>
      <c r="C9" s="67">
        <f>'Data &amp; Assumptions'!D30</f>
        <v>2</v>
      </c>
      <c r="D9" s="102" t="str">
        <f>'Data &amp; Assumptions'!E30</f>
        <v>?</v>
      </c>
      <c r="H9" s="56"/>
      <c r="I9" s="56"/>
    </row>
    <row r="10" spans="1:9" x14ac:dyDescent="0.25">
      <c r="A10" s="100" t="s">
        <v>242</v>
      </c>
      <c r="B10" s="66">
        <f>'Data &amp; Assumptions'!C31</f>
        <v>1</v>
      </c>
      <c r="C10" s="66">
        <f>'Data &amp; Assumptions'!D31</f>
        <v>1</v>
      </c>
      <c r="D10" s="102" t="str">
        <f>'Data &amp; Assumptions'!E31</f>
        <v>?</v>
      </c>
      <c r="H10" s="54"/>
      <c r="I10" s="54"/>
    </row>
    <row r="11" spans="1:9" x14ac:dyDescent="0.25">
      <c r="A11" s="59" t="s">
        <v>22</v>
      </c>
      <c r="B11" s="102">
        <f>'Data &amp; Assumptions'!C32</f>
        <v>0</v>
      </c>
      <c r="C11" s="132">
        <f>'Data &amp; Assumptions'!D32</f>
        <v>0.5</v>
      </c>
      <c r="D11" s="102" t="str">
        <f>'Data &amp; Assumptions'!E32</f>
        <v>?</v>
      </c>
      <c r="H11" s="54"/>
      <c r="I11" s="54"/>
    </row>
    <row r="12" spans="1:9" x14ac:dyDescent="0.25">
      <c r="A12" s="59" t="s">
        <v>23</v>
      </c>
      <c r="B12" s="102">
        <f>'Data &amp; Assumptions'!C33</f>
        <v>0</v>
      </c>
      <c r="C12" s="132">
        <f>'Data &amp; Assumptions'!D33</f>
        <v>6</v>
      </c>
      <c r="D12" s="102" t="str">
        <f>'Data &amp; Assumptions'!E33</f>
        <v>?</v>
      </c>
      <c r="H12" s="54"/>
      <c r="I12" s="54"/>
    </row>
    <row r="14" spans="1:9" x14ac:dyDescent="0.25">
      <c r="A14" s="52" t="s">
        <v>234</v>
      </c>
    </row>
    <row r="15" spans="1:9" s="45" customFormat="1" x14ac:dyDescent="0.25">
      <c r="B15" s="46" t="s">
        <v>6</v>
      </c>
      <c r="C15" s="46" t="s">
        <v>7</v>
      </c>
      <c r="D15" s="46" t="s">
        <v>18</v>
      </c>
      <c r="E15" s="3"/>
      <c r="F15" s="44"/>
    </row>
    <row r="16" spans="1:9" x14ac:dyDescent="0.25">
      <c r="A16" s="109" t="s">
        <v>326</v>
      </c>
      <c r="B16" s="133">
        <f>Regs!K6</f>
        <v>101.5</v>
      </c>
      <c r="C16" s="133">
        <f>Regs!L6</f>
        <v>79.099999999999994</v>
      </c>
      <c r="D16" s="133">
        <f>Regs!M6</f>
        <v>63.7</v>
      </c>
      <c r="E16" s="3"/>
    </row>
    <row r="17" spans="1:10" x14ac:dyDescent="0.25">
      <c r="A17" s="109" t="s">
        <v>327</v>
      </c>
      <c r="B17" s="133">
        <f>Regs!K7</f>
        <v>333.2</v>
      </c>
      <c r="C17" s="133">
        <f>Regs!L7</f>
        <v>333.2</v>
      </c>
      <c r="D17" s="133">
        <f>Regs!M7</f>
        <v>333.2</v>
      </c>
      <c r="E17" s="3"/>
    </row>
    <row r="18" spans="1:10" x14ac:dyDescent="0.25">
      <c r="A18" s="47" t="s">
        <v>13</v>
      </c>
      <c r="B18" s="133">
        <f>Regs!K8</f>
        <v>88.9</v>
      </c>
      <c r="C18" s="133">
        <f>Regs!L8</f>
        <v>70</v>
      </c>
      <c r="D18" s="133">
        <f>Regs!M8</f>
        <v>55.3</v>
      </c>
      <c r="E18" s="3"/>
    </row>
    <row r="19" spans="1:10" x14ac:dyDescent="0.25">
      <c r="A19" s="47" t="s">
        <v>14</v>
      </c>
      <c r="B19" s="133">
        <f>Regs!K9</f>
        <v>273</v>
      </c>
      <c r="C19" s="133">
        <f>Regs!L9</f>
        <v>273</v>
      </c>
      <c r="D19" s="133">
        <f>Regs!M9</f>
        <v>273</v>
      </c>
      <c r="E19" s="3"/>
    </row>
    <row r="20" spans="1:10" x14ac:dyDescent="0.25">
      <c r="A20" s="47" t="s">
        <v>8</v>
      </c>
      <c r="B20" s="133">
        <f>Regs!K10</f>
        <v>63.7</v>
      </c>
      <c r="C20" s="133">
        <f>Regs!L10</f>
        <v>51.1</v>
      </c>
      <c r="D20" s="133">
        <f>Regs!M10</f>
        <v>42.7</v>
      </c>
      <c r="E20" s="3"/>
    </row>
    <row r="21" spans="1:10" x14ac:dyDescent="0.25">
      <c r="A21" s="47" t="s">
        <v>9</v>
      </c>
      <c r="B21" s="133">
        <f>Regs!K11</f>
        <v>176.4</v>
      </c>
      <c r="C21" s="133">
        <f>Regs!L11</f>
        <v>176.4</v>
      </c>
      <c r="D21" s="133">
        <f>Regs!M11</f>
        <v>176.4</v>
      </c>
      <c r="E21" s="3"/>
    </row>
    <row r="22" spans="1:10" x14ac:dyDescent="0.25">
      <c r="A22" s="47" t="s">
        <v>15</v>
      </c>
      <c r="B22" s="133">
        <f>Regs!K12</f>
        <v>70</v>
      </c>
      <c r="C22" s="133">
        <f>Regs!L12</f>
        <v>57.4</v>
      </c>
      <c r="D22" s="133">
        <f>Regs!M12</f>
        <v>49</v>
      </c>
      <c r="E22" s="3"/>
    </row>
    <row r="23" spans="1:10" x14ac:dyDescent="0.25">
      <c r="A23" s="47" t="s">
        <v>16</v>
      </c>
      <c r="B23" s="133">
        <f>Regs!K13</f>
        <v>199.5</v>
      </c>
      <c r="C23" s="133">
        <f>Regs!L13</f>
        <v>199.5</v>
      </c>
      <c r="D23" s="133">
        <f>Regs!M13</f>
        <v>199.5</v>
      </c>
      <c r="E23" s="3"/>
    </row>
    <row r="26" spans="1:10" x14ac:dyDescent="0.25">
      <c r="A26" s="52" t="s">
        <v>235</v>
      </c>
    </row>
    <row r="27" spans="1:10" ht="39.6" x14ac:dyDescent="0.25">
      <c r="B27" s="105" t="str">
        <f>Regs!K52</f>
        <v>basic</v>
      </c>
      <c r="C27" s="105" t="str">
        <f>Regs!L52</f>
        <v>evidence above 50 pages (not capped at 10k)</v>
      </c>
      <c r="D27" s="105" t="str">
        <f>Regs!M52</f>
        <v>Witnesses uplift</v>
      </c>
      <c r="E27" s="105" t="str">
        <f>Regs!N52</f>
        <v>Daily Attendance Fee 3-40</v>
      </c>
      <c r="F27" s="105" t="str">
        <f>Regs!O52</f>
        <v>Daily Attendance Fee 41-50</v>
      </c>
      <c r="G27" s="105" t="str">
        <f>Regs!P52</f>
        <v>Daily Attendance Fee 51+</v>
      </c>
      <c r="I27" s="57"/>
      <c r="J27" s="57"/>
    </row>
    <row r="28" spans="1:10" x14ac:dyDescent="0.25">
      <c r="A28" s="45" t="s">
        <v>328</v>
      </c>
      <c r="B28" s="134">
        <f>Regs!K53</f>
        <v>2856</v>
      </c>
      <c r="C28" s="135">
        <f>Regs!L53</f>
        <v>1.63</v>
      </c>
      <c r="D28" s="135">
        <f>Regs!M53</f>
        <v>6.53</v>
      </c>
      <c r="E28" s="134">
        <f>Regs!N53</f>
        <v>979</v>
      </c>
      <c r="F28" s="134">
        <f>Regs!O53</f>
        <v>387</v>
      </c>
      <c r="G28" s="134">
        <f>Regs!P53</f>
        <v>414</v>
      </c>
    </row>
    <row r="29" spans="1:10" x14ac:dyDescent="0.25">
      <c r="A29" s="44" t="s">
        <v>105</v>
      </c>
      <c r="B29" s="134">
        <f>Regs!K54</f>
        <v>2142</v>
      </c>
      <c r="C29" s="135">
        <f>Regs!L54</f>
        <v>1.23</v>
      </c>
      <c r="D29" s="135">
        <f>Regs!M54</f>
        <v>4.9000000000000004</v>
      </c>
      <c r="E29" s="134">
        <f>Regs!N54</f>
        <v>734</v>
      </c>
      <c r="F29" s="134">
        <f>Regs!O54</f>
        <v>331</v>
      </c>
      <c r="G29" s="134">
        <f>Regs!P54</f>
        <v>356</v>
      </c>
    </row>
    <row r="30" spans="1:10" x14ac:dyDescent="0.25">
      <c r="A30" s="44" t="s">
        <v>104</v>
      </c>
      <c r="B30" s="134">
        <f>Regs!K55</f>
        <v>1428</v>
      </c>
      <c r="C30" s="135">
        <f>Regs!L55</f>
        <v>0.81</v>
      </c>
      <c r="D30" s="135">
        <f>Regs!M55</f>
        <v>3.26</v>
      </c>
      <c r="E30" s="134">
        <f>Regs!N55</f>
        <v>490</v>
      </c>
      <c r="F30" s="134">
        <f>Regs!O55</f>
        <v>221</v>
      </c>
      <c r="G30" s="134">
        <f>Regs!P55</f>
        <v>237</v>
      </c>
    </row>
    <row r="31" spans="1:10" x14ac:dyDescent="0.25">
      <c r="A31" s="44" t="s">
        <v>106</v>
      </c>
      <c r="B31" s="134">
        <f>Regs!K56</f>
        <v>1632</v>
      </c>
      <c r="C31" s="135">
        <f>Regs!L56</f>
        <v>0.98</v>
      </c>
      <c r="D31" s="135">
        <f>Regs!M56</f>
        <v>4.9000000000000004</v>
      </c>
      <c r="E31" s="134">
        <f>Regs!N56</f>
        <v>530</v>
      </c>
      <c r="F31" s="134">
        <f>Regs!O56</f>
        <v>266</v>
      </c>
      <c r="G31" s="134">
        <f>Regs!P56</f>
        <v>285</v>
      </c>
    </row>
    <row r="32" spans="1:10" x14ac:dyDescent="0.25">
      <c r="A32" s="3"/>
      <c r="B32" s="3"/>
    </row>
    <row r="33" spans="1:7" x14ac:dyDescent="0.25">
      <c r="A33" s="45" t="s">
        <v>117</v>
      </c>
      <c r="B33" s="3"/>
    </row>
    <row r="34" spans="1:7" x14ac:dyDescent="0.25">
      <c r="A34" s="52" t="s">
        <v>6</v>
      </c>
      <c r="B34" s="3"/>
    </row>
    <row r="35" spans="1:7" x14ac:dyDescent="0.25">
      <c r="A35" s="45" t="s">
        <v>328</v>
      </c>
      <c r="B35" s="86">
        <f>QCPrep_Cat1/QCPrep_Cat2</f>
        <v>1.2831858407079646</v>
      </c>
      <c r="C35" s="86">
        <f>QCPrep_Cat1/QCPrep_Cat2</f>
        <v>1.2831858407079646</v>
      </c>
      <c r="D35" s="86">
        <f>QCPrep_Cat1/QCPrep_Cat2</f>
        <v>1.2831858407079646</v>
      </c>
      <c r="E35" s="86">
        <f>QCDaily_Cat1/QCDaily_Cat2</f>
        <v>1</v>
      </c>
      <c r="F35" s="86">
        <f>QCDaily_Cat1/QCDaily_Cat2</f>
        <v>1</v>
      </c>
      <c r="G35" s="86">
        <f>QCDaily_Cat1/QCDaily_Cat2</f>
        <v>1</v>
      </c>
    </row>
    <row r="36" spans="1:7" x14ac:dyDescent="0.25">
      <c r="A36" s="44" t="s">
        <v>105</v>
      </c>
      <c r="B36" s="86">
        <f>LeadJrPrep_Cat1/LeadJrPrep_Cat2</f>
        <v>1.27</v>
      </c>
      <c r="C36" s="86">
        <f t="shared" ref="C36:D38" si="0">QCPrep_Cat1/QCPrep_Cat2</f>
        <v>1.2831858407079646</v>
      </c>
      <c r="D36" s="86">
        <f t="shared" si="0"/>
        <v>1.2831858407079646</v>
      </c>
      <c r="E36" s="86">
        <f>LeadJrDaily_Cat1/LeadJrDaily_Cat2</f>
        <v>1</v>
      </c>
      <c r="F36" s="86">
        <f>LeadJrDaily_Cat1/LeadJrDaily_Cat2</f>
        <v>1</v>
      </c>
      <c r="G36" s="86">
        <f>LeadJrDaily_Cat1/LeadJrDaily_Cat2</f>
        <v>1</v>
      </c>
    </row>
    <row r="37" spans="1:7" x14ac:dyDescent="0.25">
      <c r="A37" s="44" t="s">
        <v>104</v>
      </c>
      <c r="B37" s="86">
        <f>LedJrPrep_Cat1/LedJrPrep_Cat2</f>
        <v>1.2465753424657535</v>
      </c>
      <c r="C37" s="86">
        <f t="shared" si="0"/>
        <v>1.2831858407079646</v>
      </c>
      <c r="D37" s="86">
        <f t="shared" si="0"/>
        <v>1.2831858407079646</v>
      </c>
      <c r="E37" s="86">
        <f>LedJrDaily_Cat1/LedJrDaily_Cat2</f>
        <v>1</v>
      </c>
      <c r="F37" s="86">
        <f>LedJrDaily_Cat1/LedJrDaily_Cat2</f>
        <v>1</v>
      </c>
      <c r="G37" s="86">
        <f>LedJrDaily_Cat1/LedJrDaily_Cat2</f>
        <v>1</v>
      </c>
    </row>
    <row r="38" spans="1:7" x14ac:dyDescent="0.25">
      <c r="A38" s="44" t="s">
        <v>106</v>
      </c>
      <c r="B38" s="86">
        <f>JrAlonePrepCat1/JrAlonePrep_Cat2</f>
        <v>1.2195121951219512</v>
      </c>
      <c r="C38" s="86">
        <f t="shared" si="0"/>
        <v>1.2831858407079646</v>
      </c>
      <c r="D38" s="86">
        <f t="shared" si="0"/>
        <v>1.2831858407079646</v>
      </c>
      <c r="E38" s="86">
        <f>JrAloneDaily_Cat1/JrAloneDaily_Cat2</f>
        <v>1</v>
      </c>
      <c r="F38" s="86">
        <f>JrAloneDaily_Cat1/JrAloneDaily_Cat2</f>
        <v>1</v>
      </c>
      <c r="G38" s="86">
        <f>JrAloneDaily_Cat1/JrAloneDaily_Cat2</f>
        <v>1</v>
      </c>
    </row>
    <row r="39" spans="1:7" x14ac:dyDescent="0.25">
      <c r="A39" s="3"/>
      <c r="B39" s="3"/>
    </row>
    <row r="40" spans="1:7" x14ac:dyDescent="0.25">
      <c r="A40" s="52" t="s">
        <v>7</v>
      </c>
      <c r="B40" s="3"/>
    </row>
    <row r="41" spans="1:7" x14ac:dyDescent="0.25">
      <c r="A41" s="45" t="s">
        <v>328</v>
      </c>
      <c r="B41" s="86">
        <v>1</v>
      </c>
      <c r="C41" s="86">
        <v>1</v>
      </c>
      <c r="D41" s="86">
        <v>1</v>
      </c>
      <c r="E41" s="86">
        <v>1</v>
      </c>
      <c r="F41" s="86">
        <v>1</v>
      </c>
      <c r="G41" s="86">
        <v>1</v>
      </c>
    </row>
    <row r="42" spans="1:7" x14ac:dyDescent="0.25">
      <c r="A42" s="44" t="s">
        <v>105</v>
      </c>
      <c r="B42" s="86">
        <v>1</v>
      </c>
      <c r="C42" s="86">
        <v>1</v>
      </c>
      <c r="D42" s="86">
        <v>1</v>
      </c>
      <c r="E42" s="86">
        <v>1</v>
      </c>
      <c r="F42" s="86">
        <v>1</v>
      </c>
      <c r="G42" s="86">
        <v>1</v>
      </c>
    </row>
    <row r="43" spans="1:7" x14ac:dyDescent="0.25">
      <c r="A43" s="44" t="s">
        <v>104</v>
      </c>
      <c r="B43" s="86">
        <v>1</v>
      </c>
      <c r="C43" s="86">
        <v>1</v>
      </c>
      <c r="D43" s="86">
        <v>1</v>
      </c>
      <c r="E43" s="86">
        <v>1</v>
      </c>
      <c r="F43" s="86">
        <v>1</v>
      </c>
      <c r="G43" s="86">
        <v>1</v>
      </c>
    </row>
    <row r="44" spans="1:7" x14ac:dyDescent="0.25">
      <c r="A44" s="44" t="s">
        <v>106</v>
      </c>
      <c r="B44" s="86">
        <v>1</v>
      </c>
      <c r="C44" s="86">
        <v>1</v>
      </c>
      <c r="D44" s="86">
        <v>1</v>
      </c>
      <c r="E44" s="86">
        <v>1</v>
      </c>
      <c r="F44" s="86">
        <v>1</v>
      </c>
      <c r="G44" s="86">
        <v>1</v>
      </c>
    </row>
    <row r="45" spans="1:7" x14ac:dyDescent="0.25">
      <c r="A45" s="3"/>
      <c r="B45" s="3"/>
    </row>
    <row r="46" spans="1:7" x14ac:dyDescent="0.25">
      <c r="A46" s="52" t="s">
        <v>18</v>
      </c>
      <c r="B46" s="3"/>
    </row>
    <row r="47" spans="1:7" x14ac:dyDescent="0.25">
      <c r="A47" s="45" t="s">
        <v>328</v>
      </c>
      <c r="B47" s="86">
        <f>QCPrep_Cat3/QCPrep_Cat2</f>
        <v>0.80530973451327448</v>
      </c>
      <c r="C47" s="86">
        <f>QCPrep_Cat3/QCPrep_Cat2</f>
        <v>0.80530973451327448</v>
      </c>
      <c r="D47" s="86">
        <f>QCPrep_Cat3/QCPrep_Cat2</f>
        <v>0.80530973451327448</v>
      </c>
      <c r="E47" s="86">
        <f>QCDaily_Cat3/QCDaily_Cat2</f>
        <v>1</v>
      </c>
      <c r="F47" s="86">
        <f>QCDaily_Cat3/QCDaily_Cat2</f>
        <v>1</v>
      </c>
      <c r="G47" s="86">
        <f>QCDaily_Cat3/QCDaily_Cat2</f>
        <v>1</v>
      </c>
    </row>
    <row r="48" spans="1:7" x14ac:dyDescent="0.25">
      <c r="A48" s="44" t="s">
        <v>105</v>
      </c>
      <c r="B48" s="86">
        <f>LeadJrPrep_Cat3/LeadJrPrep_Cat2</f>
        <v>0.78999999999999992</v>
      </c>
      <c r="C48" s="86">
        <f>LeadJrPrep_Cat3/LeadJrPrep_Cat2</f>
        <v>0.78999999999999992</v>
      </c>
      <c r="D48" s="86">
        <f>LeadJrPrep_Cat3/LeadJrPrep_Cat2</f>
        <v>0.78999999999999992</v>
      </c>
      <c r="E48" s="86">
        <f>LeadJrDaily_Cat3/LeadJrDaily_Cat2</f>
        <v>1</v>
      </c>
      <c r="F48" s="86">
        <f>LeadJrDaily_Cat3/LeadJrDaily_Cat2</f>
        <v>1</v>
      </c>
      <c r="G48" s="86">
        <f>LeadJrDaily_Cat3/LeadJrDaily_Cat2</f>
        <v>1</v>
      </c>
    </row>
    <row r="49" spans="1:13" x14ac:dyDescent="0.25">
      <c r="A49" s="44" t="s">
        <v>104</v>
      </c>
      <c r="B49" s="86">
        <f>LedJrPrep_Cat3/LedJrPrep_Cat2</f>
        <v>0.83561643835616439</v>
      </c>
      <c r="C49" s="86">
        <f>LedJrPrep_Cat3/LedJrPrep_Cat2</f>
        <v>0.83561643835616439</v>
      </c>
      <c r="D49" s="86">
        <f>LedJrPrep_Cat3/LedJrPrep_Cat2</f>
        <v>0.83561643835616439</v>
      </c>
      <c r="E49" s="86">
        <f>LedJrDaily_Cat3/LedJrDaily_Cat2</f>
        <v>1</v>
      </c>
      <c r="F49" s="86">
        <f>LedJrDaily_Cat3/LedJrDaily_Cat2</f>
        <v>1</v>
      </c>
      <c r="G49" s="86">
        <f>LedJrDaily_Cat3/LedJrDaily_Cat2</f>
        <v>1</v>
      </c>
    </row>
    <row r="50" spans="1:13" x14ac:dyDescent="0.25">
      <c r="A50" s="44" t="s">
        <v>106</v>
      </c>
      <c r="B50" s="86">
        <f>JrAlonePrep_Cat3/JrAlonePrep_Cat2</f>
        <v>0.85365853658536583</v>
      </c>
      <c r="C50" s="86">
        <f>JrAlonePrep_Cat3/JrAlonePrep_Cat2</f>
        <v>0.85365853658536583</v>
      </c>
      <c r="D50" s="86">
        <f>JrAlonePrep_Cat3/JrAlonePrep_Cat2</f>
        <v>0.85365853658536583</v>
      </c>
      <c r="E50" s="86">
        <f>JrAloneDaily_Cat3/JrAloneDaily_Cat2</f>
        <v>1</v>
      </c>
      <c r="F50" s="86">
        <f>JrAloneDaily_Cat3/JrAloneDaily_Cat2</f>
        <v>1</v>
      </c>
      <c r="G50" s="86">
        <f>JrAloneDaily_Cat3/JrAloneDaily_Cat2</f>
        <v>1</v>
      </c>
    </row>
    <row r="51" spans="1:13" x14ac:dyDescent="0.25">
      <c r="A51" s="3"/>
      <c r="B51" s="3"/>
    </row>
    <row r="52" spans="1:13" x14ac:dyDescent="0.25">
      <c r="A52" s="44" t="s">
        <v>124</v>
      </c>
      <c r="B52" s="102" t="s">
        <v>10</v>
      </c>
      <c r="C52" s="102">
        <v>50</v>
      </c>
      <c r="D52" s="102">
        <v>10</v>
      </c>
      <c r="E52" s="102">
        <v>2</v>
      </c>
      <c r="F52" s="102">
        <v>40</v>
      </c>
      <c r="G52" s="102">
        <v>50</v>
      </c>
    </row>
    <row r="54" spans="1:13" s="43" customFormat="1" x14ac:dyDescent="0.25">
      <c r="A54" s="42" t="s">
        <v>85</v>
      </c>
    </row>
    <row r="56" spans="1:13" ht="52.8" x14ac:dyDescent="0.25">
      <c r="A56" s="2"/>
      <c r="B56" s="2" t="s">
        <v>24</v>
      </c>
      <c r="C56" s="2" t="s">
        <v>0</v>
      </c>
      <c r="D56" s="2" t="s">
        <v>217</v>
      </c>
      <c r="E56" s="4" t="s">
        <v>218</v>
      </c>
      <c r="F56" s="2" t="s">
        <v>123</v>
      </c>
      <c r="G56" s="2" t="s">
        <v>325</v>
      </c>
      <c r="H56" s="2" t="s">
        <v>219</v>
      </c>
      <c r="I56" s="2" t="s">
        <v>220</v>
      </c>
      <c r="J56" s="2" t="s">
        <v>221</v>
      </c>
      <c r="K56" s="2" t="s">
        <v>17</v>
      </c>
      <c r="L56" s="2" t="s">
        <v>222</v>
      </c>
      <c r="M56" s="2" t="s">
        <v>223</v>
      </c>
    </row>
    <row r="57" spans="1:13" x14ac:dyDescent="0.25">
      <c r="A57" s="136">
        <f>Inputs!A4</f>
        <v>0</v>
      </c>
      <c r="B57" s="136">
        <f>Inputs!B4</f>
        <v>0</v>
      </c>
      <c r="C57" s="136">
        <f>Inputs!C4</f>
        <v>0</v>
      </c>
      <c r="D57" s="137">
        <f>Inputs!D4</f>
        <v>0</v>
      </c>
      <c r="E57" s="137">
        <f>Inputs!E4</f>
        <v>0</v>
      </c>
      <c r="F57" s="136">
        <f>Inputs!F4</f>
        <v>0</v>
      </c>
      <c r="G57" s="136">
        <f>Inputs!G4</f>
        <v>0</v>
      </c>
      <c r="H57" s="136">
        <f>Inputs!H4</f>
        <v>0</v>
      </c>
      <c r="I57" s="136">
        <f>Inputs!I4</f>
        <v>0</v>
      </c>
      <c r="J57" s="136">
        <f>Inputs!J4</f>
        <v>0</v>
      </c>
      <c r="K57" s="136">
        <f>Inputs!K4</f>
        <v>0</v>
      </c>
      <c r="L57" s="136">
        <f>Inputs!L4</f>
        <v>0</v>
      </c>
      <c r="M57" s="136">
        <f>Inputs!M4</f>
        <v>0</v>
      </c>
    </row>
    <row r="60" spans="1:13" s="43" customFormat="1" x14ac:dyDescent="0.25">
      <c r="A60" s="42" t="s">
        <v>114</v>
      </c>
    </row>
    <row r="61" spans="1:13" s="45" customFormat="1" x14ac:dyDescent="0.25">
      <c r="A61" s="52"/>
    </row>
    <row r="62" spans="1:13" s="45" customFormat="1" x14ac:dyDescent="0.25">
      <c r="A62" s="52" t="s">
        <v>115</v>
      </c>
      <c r="B62" s="45">
        <f>$K$57</f>
        <v>0</v>
      </c>
    </row>
    <row r="63" spans="1:13" s="45" customFormat="1" x14ac:dyDescent="0.25">
      <c r="A63" s="1" t="str">
        <f>A4</f>
        <v>Used Evidence pages</v>
      </c>
      <c r="B63" s="66" t="e">
        <f t="shared" ref="B63:B71" ca="1" si="1">OFFSET($A$2,MATCH($A63,$A$2:$A$12,0)-1,MATCH($B$62,$A$2:$D$2,0)-1)</f>
        <v>#N/A</v>
      </c>
    </row>
    <row r="64" spans="1:13" s="45" customFormat="1" x14ac:dyDescent="0.25">
      <c r="A64" s="1" t="str">
        <f t="shared" ref="A64:A71" si="2">A5</f>
        <v xml:space="preserve">Unused to used ratio </v>
      </c>
      <c r="B64" s="66" t="e">
        <f t="shared" ca="1" si="1"/>
        <v>#N/A</v>
      </c>
    </row>
    <row r="65" spans="1:2" s="45" customFormat="1" x14ac:dyDescent="0.25">
      <c r="A65" s="1" t="str">
        <f t="shared" si="2"/>
        <v>Mins per used page</v>
      </c>
      <c r="B65" s="67" t="e">
        <f t="shared" ca="1" si="1"/>
        <v>#N/A</v>
      </c>
    </row>
    <row r="66" spans="1:2" s="45" customFormat="1" x14ac:dyDescent="0.25">
      <c r="A66" s="1" t="str">
        <f t="shared" si="2"/>
        <v>Mins per unused page</v>
      </c>
      <c r="B66" s="67" t="e">
        <f t="shared" ca="1" si="1"/>
        <v>#N/A</v>
      </c>
    </row>
    <row r="67" spans="1:2" s="45" customFormat="1" x14ac:dyDescent="0.25">
      <c r="A67" s="1" t="str">
        <f t="shared" si="2"/>
        <v>Other prep (hours)</v>
      </c>
      <c r="B67" s="67" t="e">
        <f t="shared" ca="1" si="1"/>
        <v>#N/A</v>
      </c>
    </row>
    <row r="68" spans="1:2" s="45" customFormat="1" x14ac:dyDescent="0.25">
      <c r="A68" s="1" t="str">
        <f t="shared" si="2"/>
        <v>Additional Trial hours prep per day</v>
      </c>
      <c r="B68" s="67" t="e">
        <f t="shared" ca="1" si="1"/>
        <v>#N/A</v>
      </c>
    </row>
    <row r="69" spans="1:2" s="45" customFormat="1" x14ac:dyDescent="0.25">
      <c r="A69" s="1" t="str">
        <f t="shared" si="2"/>
        <v xml:space="preserve">Trial days expected </v>
      </c>
      <c r="B69" s="66" t="e">
        <f t="shared" ca="1" si="1"/>
        <v>#N/A</v>
      </c>
    </row>
    <row r="70" spans="1:2" s="45" customFormat="1" x14ac:dyDescent="0.25">
      <c r="A70" s="1" t="str">
        <f t="shared" si="2"/>
        <v>Witness Prep hours per Non-Expert</v>
      </c>
      <c r="B70" s="102" t="e">
        <f t="shared" ca="1" si="1"/>
        <v>#N/A</v>
      </c>
    </row>
    <row r="71" spans="1:2" s="45" customFormat="1" x14ac:dyDescent="0.25">
      <c r="A71" s="1" t="str">
        <f t="shared" si="2"/>
        <v>Witness Prep hours per Expert</v>
      </c>
      <c r="B71" s="102" t="e">
        <f t="shared" ca="1" si="1"/>
        <v>#N/A</v>
      </c>
    </row>
    <row r="72" spans="1:2" x14ac:dyDescent="0.25">
      <c r="A72" s="44" t="s">
        <v>116</v>
      </c>
      <c r="B72" s="68">
        <f>$C$57</f>
        <v>0</v>
      </c>
    </row>
    <row r="74" spans="1:2" x14ac:dyDescent="0.25">
      <c r="A74" s="81" t="s">
        <v>99</v>
      </c>
    </row>
    <row r="75" spans="1:2" x14ac:dyDescent="0.25">
      <c r="A75" s="109" t="s">
        <v>326</v>
      </c>
      <c r="B75" s="69" t="e">
        <f t="shared" ref="B75:B82" ca="1" si="3">OFFSET($A$15,MATCH($A75,$A$15:$A$23,0)-1,MATCH($B$72,$A$15:$D$15,0)-1)</f>
        <v>#N/A</v>
      </c>
    </row>
    <row r="76" spans="1:2" x14ac:dyDescent="0.25">
      <c r="A76" s="109" t="s">
        <v>327</v>
      </c>
      <c r="B76" s="69" t="e">
        <f t="shared" ca="1" si="3"/>
        <v>#N/A</v>
      </c>
    </row>
    <row r="77" spans="1:2" x14ac:dyDescent="0.25">
      <c r="A77" s="47" t="s">
        <v>13</v>
      </c>
      <c r="B77" s="69" t="e">
        <f t="shared" ca="1" si="3"/>
        <v>#N/A</v>
      </c>
    </row>
    <row r="78" spans="1:2" x14ac:dyDescent="0.25">
      <c r="A78" s="47" t="s">
        <v>14</v>
      </c>
      <c r="B78" s="69" t="e">
        <f t="shared" ca="1" si="3"/>
        <v>#N/A</v>
      </c>
    </row>
    <row r="79" spans="1:2" x14ac:dyDescent="0.25">
      <c r="A79" s="47" t="s">
        <v>8</v>
      </c>
      <c r="B79" s="69" t="e">
        <f t="shared" ca="1" si="3"/>
        <v>#N/A</v>
      </c>
    </row>
    <row r="80" spans="1:2" x14ac:dyDescent="0.25">
      <c r="A80" s="47" t="s">
        <v>9</v>
      </c>
      <c r="B80" s="69" t="e">
        <f t="shared" ca="1" si="3"/>
        <v>#N/A</v>
      </c>
    </row>
    <row r="81" spans="1:7" x14ac:dyDescent="0.25">
      <c r="A81" s="47" t="s">
        <v>15</v>
      </c>
      <c r="B81" s="69" t="e">
        <f t="shared" ca="1" si="3"/>
        <v>#N/A</v>
      </c>
    </row>
    <row r="82" spans="1:7" x14ac:dyDescent="0.25">
      <c r="A82" s="47" t="s">
        <v>16</v>
      </c>
      <c r="B82" s="69" t="e">
        <f t="shared" ca="1" si="3"/>
        <v>#N/A</v>
      </c>
    </row>
    <row r="84" spans="1:7" x14ac:dyDescent="0.25">
      <c r="A84" s="52" t="s">
        <v>111</v>
      </c>
    </row>
    <row r="85" spans="1:7" ht="41.25" customHeight="1" x14ac:dyDescent="0.25">
      <c r="B85" s="60" t="str">
        <f>B27</f>
        <v>basic</v>
      </c>
      <c r="C85" s="60" t="str">
        <f t="shared" ref="C85:D85" si="4">C27</f>
        <v>evidence above 50 pages (not capped at 10k)</v>
      </c>
      <c r="D85" s="60" t="str">
        <f t="shared" si="4"/>
        <v>Witnesses uplift</v>
      </c>
      <c r="E85" s="60" t="str">
        <f>E27</f>
        <v>Daily Attendance Fee 3-40</v>
      </c>
      <c r="F85" s="60" t="str">
        <f>F27</f>
        <v>Daily Attendance Fee 41-50</v>
      </c>
      <c r="G85" s="60" t="str">
        <f>G27</f>
        <v>Daily Attendance Fee 51+</v>
      </c>
    </row>
    <row r="86" spans="1:7" x14ac:dyDescent="0.25">
      <c r="A86" s="45" t="str">
        <f>A28</f>
        <v>KC</v>
      </c>
      <c r="B86" s="70" t="e">
        <f t="shared" ref="B86:G89" ca="1" si="5">B28*OFFSET($A$27,MATCH($A86,$A$28:$A$31,0)+MATCH($B$72,$A$27:$A$50,0)-1,MATCH(B$85,$A$27:$G$27,0)-1)</f>
        <v>#N/A</v>
      </c>
      <c r="C86" s="71" t="e">
        <f t="shared" ca="1" si="5"/>
        <v>#N/A</v>
      </c>
      <c r="D86" s="71" t="e">
        <f t="shared" ca="1" si="5"/>
        <v>#N/A</v>
      </c>
      <c r="E86" s="70" t="e">
        <f t="shared" ca="1" si="5"/>
        <v>#N/A</v>
      </c>
      <c r="F86" s="70" t="e">
        <f t="shared" ca="1" si="5"/>
        <v>#N/A</v>
      </c>
      <c r="G86" s="70" t="e">
        <f t="shared" ca="1" si="5"/>
        <v>#N/A</v>
      </c>
    </row>
    <row r="87" spans="1:7" x14ac:dyDescent="0.25">
      <c r="A87" s="45" t="str">
        <f t="shared" ref="A87:A89" si="6">A29</f>
        <v>Leading Jr</v>
      </c>
      <c r="B87" s="70" t="e">
        <f t="shared" ca="1" si="5"/>
        <v>#N/A</v>
      </c>
      <c r="C87" s="71" t="e">
        <f t="shared" ca="1" si="5"/>
        <v>#N/A</v>
      </c>
      <c r="D87" s="71" t="e">
        <f t="shared" ca="1" si="5"/>
        <v>#N/A</v>
      </c>
      <c r="E87" s="70" t="e">
        <f t="shared" ca="1" si="5"/>
        <v>#N/A</v>
      </c>
      <c r="F87" s="70" t="e">
        <f t="shared" ca="1" si="5"/>
        <v>#N/A</v>
      </c>
      <c r="G87" s="70" t="e">
        <f t="shared" ca="1" si="5"/>
        <v>#N/A</v>
      </c>
    </row>
    <row r="88" spans="1:7" x14ac:dyDescent="0.25">
      <c r="A88" s="45" t="str">
        <f t="shared" si="6"/>
        <v>Led Jr</v>
      </c>
      <c r="B88" s="70" t="e">
        <f t="shared" ca="1" si="5"/>
        <v>#N/A</v>
      </c>
      <c r="C88" s="71" t="e">
        <f t="shared" ca="1" si="5"/>
        <v>#N/A</v>
      </c>
      <c r="D88" s="71" t="e">
        <f t="shared" ca="1" si="5"/>
        <v>#N/A</v>
      </c>
      <c r="E88" s="70" t="e">
        <f t="shared" ca="1" si="5"/>
        <v>#N/A</v>
      </c>
      <c r="F88" s="70" t="e">
        <f t="shared" ca="1" si="5"/>
        <v>#N/A</v>
      </c>
      <c r="G88" s="70" t="e">
        <f t="shared" ca="1" si="5"/>
        <v>#N/A</v>
      </c>
    </row>
    <row r="89" spans="1:7" x14ac:dyDescent="0.25">
      <c r="A89" s="45" t="str">
        <f t="shared" si="6"/>
        <v>Jr Alone</v>
      </c>
      <c r="B89" s="70" t="e">
        <f t="shared" ca="1" si="5"/>
        <v>#N/A</v>
      </c>
      <c r="C89" s="71" t="e">
        <f t="shared" ca="1" si="5"/>
        <v>#N/A</v>
      </c>
      <c r="D89" s="71" t="e">
        <f t="shared" ca="1" si="5"/>
        <v>#N/A</v>
      </c>
      <c r="E89" s="70" t="e">
        <f t="shared" ca="1" si="5"/>
        <v>#N/A</v>
      </c>
      <c r="F89" s="70" t="e">
        <f t="shared" ca="1" si="5"/>
        <v>#N/A</v>
      </c>
      <c r="G89" s="70" t="e">
        <f t="shared" ca="1" si="5"/>
        <v>#N/A</v>
      </c>
    </row>
    <row r="90" spans="1:7" s="45" customFormat="1" x14ac:dyDescent="0.25">
      <c r="B90" s="106"/>
      <c r="C90" s="107"/>
      <c r="D90" s="107"/>
      <c r="E90" s="106"/>
      <c r="F90" s="106"/>
      <c r="G90" s="106"/>
    </row>
    <row r="91" spans="1:7" x14ac:dyDescent="0.25">
      <c r="A91" s="45" t="str">
        <f>A52</f>
        <v>Number of evidence/days not included</v>
      </c>
      <c r="B91" s="70" t="str">
        <f>B52</f>
        <v>-</v>
      </c>
      <c r="C91" s="70">
        <f t="shared" ref="C91:G91" si="7">C52</f>
        <v>50</v>
      </c>
      <c r="D91" s="70">
        <f t="shared" si="7"/>
        <v>10</v>
      </c>
      <c r="E91" s="70">
        <f t="shared" si="7"/>
        <v>2</v>
      </c>
      <c r="F91" s="70">
        <f t="shared" si="7"/>
        <v>40</v>
      </c>
      <c r="G91" s="70">
        <f t="shared" si="7"/>
        <v>50</v>
      </c>
    </row>
    <row r="97" spans="1:16" s="42" customFormat="1" x14ac:dyDescent="0.25">
      <c r="A97" s="42" t="s">
        <v>99</v>
      </c>
    </row>
    <row r="98" spans="1:16" ht="39" customHeight="1" x14ac:dyDescent="0.25">
      <c r="A98" s="259" t="s">
        <v>319</v>
      </c>
      <c r="B98" s="259"/>
      <c r="C98" s="259"/>
      <c r="D98" s="259"/>
      <c r="E98" s="259"/>
      <c r="F98" s="259"/>
      <c r="G98" s="259"/>
      <c r="H98" s="259"/>
      <c r="I98" s="259"/>
      <c r="J98" s="259"/>
      <c r="K98" s="259"/>
      <c r="L98" s="58"/>
      <c r="M98" s="58"/>
      <c r="N98" s="58"/>
      <c r="O98" s="58"/>
      <c r="P98" s="58"/>
    </row>
    <row r="99" spans="1:16" x14ac:dyDescent="0.25">
      <c r="A99" s="48" t="s">
        <v>21</v>
      </c>
      <c r="B99" s="63" t="e">
        <f ca="1">UsedEvi*UsedEvi_min/60</f>
        <v>#N/A</v>
      </c>
      <c r="C99" s="44" t="s">
        <v>92</v>
      </c>
    </row>
    <row r="100" spans="1:16" x14ac:dyDescent="0.25">
      <c r="A100" s="48" t="s">
        <v>87</v>
      </c>
      <c r="B100" s="63" t="e">
        <f ca="1">UnusedMat*UnusedRatio*Unused_mins/60</f>
        <v>#N/A</v>
      </c>
      <c r="C100" s="44" t="s">
        <v>92</v>
      </c>
    </row>
    <row r="101" spans="1:16" x14ac:dyDescent="0.25">
      <c r="A101" s="48"/>
    </row>
    <row r="102" spans="1:16" x14ac:dyDescent="0.25">
      <c r="A102" s="62" t="s">
        <v>133</v>
      </c>
    </row>
    <row r="103" spans="1:16" x14ac:dyDescent="0.25">
      <c r="A103" s="48" t="s">
        <v>90</v>
      </c>
      <c r="B103" s="61" t="e">
        <f ca="1">TrialPrep*TrialDays</f>
        <v>#N/A</v>
      </c>
    </row>
    <row r="104" spans="1:16" x14ac:dyDescent="0.25">
      <c r="A104" s="48" t="s">
        <v>91</v>
      </c>
      <c r="B104" s="61" t="e">
        <f ca="1">OtherPrep</f>
        <v>#N/A</v>
      </c>
    </row>
    <row r="105" spans="1:16" x14ac:dyDescent="0.25">
      <c r="A105" s="48" t="s">
        <v>132</v>
      </c>
      <c r="B105" s="61" t="e">
        <f ca="1">(WitNonExpertHrs*WitNonExpert)+(WitExpertHrs*WitExpert)</f>
        <v>#N/A</v>
      </c>
    </row>
    <row r="106" spans="1:16" x14ac:dyDescent="0.25">
      <c r="A106" s="48" t="s">
        <v>93</v>
      </c>
      <c r="B106" s="63" t="e">
        <f ca="1">SUM(B99:B100,B103:B105)</f>
        <v>#N/A</v>
      </c>
    </row>
    <row r="107" spans="1:16" s="45" customFormat="1" x14ac:dyDescent="0.25">
      <c r="A107" s="74"/>
      <c r="B107" s="80"/>
    </row>
    <row r="108" spans="1:16" x14ac:dyDescent="0.25">
      <c r="A108" s="62" t="s">
        <v>134</v>
      </c>
    </row>
    <row r="109" spans="1:16" x14ac:dyDescent="0.25">
      <c r="A109" s="48" t="s">
        <v>326</v>
      </c>
      <c r="B109" s="64" t="e">
        <f ca="1">QCPrep_final*B106</f>
        <v>#N/A</v>
      </c>
    </row>
    <row r="110" spans="1:16" x14ac:dyDescent="0.25">
      <c r="A110" s="48" t="s">
        <v>94</v>
      </c>
      <c r="B110" s="64" t="e">
        <f ca="1">LeadJrPrep_final*B106</f>
        <v>#N/A</v>
      </c>
    </row>
    <row r="111" spans="1:16" x14ac:dyDescent="0.25">
      <c r="A111" s="48" t="s">
        <v>95</v>
      </c>
      <c r="B111" s="64" t="e">
        <f ca="1">LedJrPrep_final*B106</f>
        <v>#N/A</v>
      </c>
    </row>
    <row r="112" spans="1:16" x14ac:dyDescent="0.25">
      <c r="A112" s="48" t="s">
        <v>118</v>
      </c>
      <c r="B112" s="64" t="e">
        <f ca="1">JrAloneprep_final*B106</f>
        <v>#N/A</v>
      </c>
    </row>
    <row r="114" spans="1:8" x14ac:dyDescent="0.25">
      <c r="A114" s="62" t="s">
        <v>135</v>
      </c>
    </row>
    <row r="115" spans="1:8" x14ac:dyDescent="0.25">
      <c r="A115" s="48" t="s">
        <v>329</v>
      </c>
      <c r="B115" s="64" t="e">
        <f ca="1">TrialDays*QCDaily_final</f>
        <v>#N/A</v>
      </c>
    </row>
    <row r="116" spans="1:8" x14ac:dyDescent="0.25">
      <c r="A116" s="48" t="s">
        <v>94</v>
      </c>
      <c r="B116" s="64" t="e">
        <f ca="1">TrialDays*LeadJrDaily_final</f>
        <v>#N/A</v>
      </c>
    </row>
    <row r="117" spans="1:8" x14ac:dyDescent="0.25">
      <c r="A117" s="48" t="s">
        <v>95</v>
      </c>
      <c r="B117" s="64" t="e">
        <f ca="1">TrialDays*LedJrDaily_Final</f>
        <v>#N/A</v>
      </c>
    </row>
    <row r="118" spans="1:8" x14ac:dyDescent="0.25">
      <c r="A118" s="48" t="s">
        <v>118</v>
      </c>
      <c r="B118" s="64" t="e">
        <f ca="1">TrialDays*JrAloneDaily_final</f>
        <v>#N/A</v>
      </c>
    </row>
    <row r="119" spans="1:8" x14ac:dyDescent="0.25">
      <c r="A119" s="48"/>
    </row>
    <row r="120" spans="1:8" x14ac:dyDescent="0.25">
      <c r="A120" s="62" t="s">
        <v>136</v>
      </c>
    </row>
    <row r="121" spans="1:8" x14ac:dyDescent="0.25">
      <c r="A121" s="48" t="s">
        <v>96</v>
      </c>
      <c r="B121" s="44" t="s">
        <v>119</v>
      </c>
      <c r="C121" s="44" t="s">
        <v>120</v>
      </c>
      <c r="D121" s="44" t="s">
        <v>121</v>
      </c>
      <c r="F121" s="44" t="s">
        <v>119</v>
      </c>
      <c r="G121" s="44" t="s">
        <v>120</v>
      </c>
    </row>
    <row r="122" spans="1:8" x14ac:dyDescent="0.25">
      <c r="A122" s="74" t="s">
        <v>330</v>
      </c>
      <c r="B122" s="64" t="e">
        <f ca="1">(B109+B115)</f>
        <v>#N/A</v>
      </c>
      <c r="C122" s="64" t="e">
        <f ca="1">(B109+B115)*QCs</f>
        <v>#N/A</v>
      </c>
      <c r="D122" s="45"/>
      <c r="E122" s="76" t="s">
        <v>330</v>
      </c>
      <c r="F122" s="64" t="e">
        <f t="shared" ref="F122:G125" ca="1" si="8">MROUND(B122,100)</f>
        <v>#N/A</v>
      </c>
      <c r="G122" s="64" t="e">
        <f t="shared" ca="1" si="8"/>
        <v>#N/A</v>
      </c>
      <c r="H122" s="44" t="s">
        <v>286</v>
      </c>
    </row>
    <row r="123" spans="1:8" x14ac:dyDescent="0.25">
      <c r="A123" s="74" t="s">
        <v>94</v>
      </c>
      <c r="B123" s="64" t="e">
        <f ca="1">(B110+B116)</f>
        <v>#N/A</v>
      </c>
      <c r="C123" s="64" t="e">
        <f ca="1">(B110+B116)*LeadJnr</f>
        <v>#N/A</v>
      </c>
      <c r="D123" s="45"/>
      <c r="E123" s="76" t="s">
        <v>94</v>
      </c>
      <c r="F123" s="64" t="e">
        <f t="shared" ca="1" si="8"/>
        <v>#N/A</v>
      </c>
      <c r="G123" s="64" t="e">
        <f t="shared" ca="1" si="8"/>
        <v>#N/A</v>
      </c>
    </row>
    <row r="124" spans="1:8" x14ac:dyDescent="0.25">
      <c r="A124" s="74" t="s">
        <v>95</v>
      </c>
      <c r="B124" s="64" t="e">
        <f ca="1">(B111+B117)</f>
        <v>#N/A</v>
      </c>
      <c r="C124" s="64" t="e">
        <f ca="1">(B111+B117)*LedJnr</f>
        <v>#N/A</v>
      </c>
      <c r="D124" s="45"/>
      <c r="E124" s="76" t="s">
        <v>95</v>
      </c>
      <c r="F124" s="64" t="e">
        <f t="shared" ca="1" si="8"/>
        <v>#N/A</v>
      </c>
      <c r="G124" s="64" t="e">
        <f t="shared" ca="1" si="8"/>
        <v>#N/A</v>
      </c>
    </row>
    <row r="125" spans="1:8" x14ac:dyDescent="0.25">
      <c r="A125" s="74" t="s">
        <v>118</v>
      </c>
      <c r="B125" s="64" t="e">
        <f ca="1">(B112+B118)</f>
        <v>#N/A</v>
      </c>
      <c r="C125" s="64" t="e">
        <f ca="1">(B112+B118)*JnrAlone</f>
        <v>#N/A</v>
      </c>
      <c r="D125" s="45"/>
      <c r="E125" s="76" t="s">
        <v>118</v>
      </c>
      <c r="F125" s="64" t="e">
        <f t="shared" ca="1" si="8"/>
        <v>#N/A</v>
      </c>
      <c r="G125" s="64" t="e">
        <f t="shared" ca="1" si="8"/>
        <v>#N/A</v>
      </c>
    </row>
    <row r="126" spans="1:8" x14ac:dyDescent="0.25">
      <c r="A126" s="45"/>
    </row>
    <row r="127" spans="1:8" x14ac:dyDescent="0.25">
      <c r="A127" s="75" t="s">
        <v>1</v>
      </c>
      <c r="B127" s="82" t="e">
        <f ca="1">SUM(B122:B125)</f>
        <v>#N/A</v>
      </c>
      <c r="C127" s="82" t="e">
        <f ca="1">SUM(C122:C125)</f>
        <v>#N/A</v>
      </c>
      <c r="E127" s="76" t="s">
        <v>1</v>
      </c>
      <c r="G127" s="82" t="e">
        <f ca="1">SUM(G122:G125)</f>
        <v>#N/A</v>
      </c>
    </row>
    <row r="129" spans="1:11" x14ac:dyDescent="0.25">
      <c r="A129" s="57"/>
    </row>
    <row r="131" spans="1:11" s="42" customFormat="1" x14ac:dyDescent="0.25">
      <c r="A131" s="42" t="s">
        <v>293</v>
      </c>
    </row>
    <row r="132" spans="1:11" x14ac:dyDescent="0.25">
      <c r="A132" s="62" t="s">
        <v>101</v>
      </c>
    </row>
    <row r="133" spans="1:11" x14ac:dyDescent="0.25">
      <c r="A133" s="49" t="s">
        <v>97</v>
      </c>
    </row>
    <row r="134" spans="1:11" x14ac:dyDescent="0.25">
      <c r="A134" s="73" t="s">
        <v>100</v>
      </c>
      <c r="B134" s="83" t="e">
        <f ca="1">UsedEvi+(UnusedMat*UnusedRatio)</f>
        <v>#N/A</v>
      </c>
    </row>
    <row r="135" spans="1:11" x14ac:dyDescent="0.25">
      <c r="A135" s="73"/>
      <c r="B135" s="50"/>
    </row>
    <row r="136" spans="1:11" ht="31.5" customHeight="1" x14ac:dyDescent="0.25">
      <c r="A136" s="260" t="s">
        <v>321</v>
      </c>
      <c r="B136" s="260"/>
      <c r="C136" s="260"/>
      <c r="D136" s="260"/>
      <c r="E136" s="260"/>
      <c r="F136" s="260"/>
      <c r="G136" s="260"/>
      <c r="H136" s="260"/>
      <c r="I136" s="260"/>
      <c r="J136" s="260"/>
      <c r="K136" s="260"/>
    </row>
    <row r="137" spans="1:11" x14ac:dyDescent="0.25">
      <c r="A137" s="48" t="s">
        <v>330</v>
      </c>
      <c r="B137" s="84" t="e">
        <f ca="1">QCBasic+(QCevi*($B$134-$C$91))+(QCWit*(WitNonExpert+IF(WitExpert&gt;0,WitExpert-$D$52,0)))</f>
        <v>#N/A</v>
      </c>
    </row>
    <row r="138" spans="1:11" x14ac:dyDescent="0.25">
      <c r="A138" s="48" t="s">
        <v>94</v>
      </c>
      <c r="B138" s="84" t="e">
        <f ca="1">LeadBasic+(LeadEvi*($B$134-$C$91))+(LeadJrWit*(WitNonExpert+IF(WitExpert&gt;0,WitExpert-$D$52,0)))</f>
        <v>#N/A</v>
      </c>
    </row>
    <row r="139" spans="1:11" x14ac:dyDescent="0.25">
      <c r="A139" s="48" t="s">
        <v>95</v>
      </c>
      <c r="B139" s="84" t="e">
        <f ca="1">LedBasic+(LedEvi*($B$134-$C$91))+(LedJrWit*(WitNonExpert+IF(WitExpert&gt;0,WitExpert-$D$52,0)))</f>
        <v>#N/A</v>
      </c>
    </row>
    <row r="140" spans="1:11" x14ac:dyDescent="0.25">
      <c r="A140" s="48" t="s">
        <v>118</v>
      </c>
      <c r="B140" s="84" t="e">
        <f ca="1">JrAloneBasic+(JrAloneEvi*($B$134-$C$91))+(JrAloneWit*(WitNonExpert+IF(WitExpert&gt;0,WitExpert-$D$52,0)))</f>
        <v>#N/A</v>
      </c>
    </row>
    <row r="141" spans="1:11" x14ac:dyDescent="0.25">
      <c r="B141" s="49"/>
    </row>
    <row r="142" spans="1:11" x14ac:dyDescent="0.25">
      <c r="A142" s="72" t="s">
        <v>127</v>
      </c>
      <c r="B142" s="49"/>
    </row>
    <row r="143" spans="1:11" x14ac:dyDescent="0.25">
      <c r="A143" s="49" t="s">
        <v>98</v>
      </c>
    </row>
    <row r="144" spans="1:11" x14ac:dyDescent="0.25">
      <c r="A144" s="48" t="s">
        <v>330</v>
      </c>
      <c r="B144" s="84" t="e">
        <f ca="1">IF(TrialDays&gt;=50,(($F$91-$E$91)*QCDAF40)+(($G$91-$F$91)*QCDAF50)+((TrialDays-$G$91)*QCDAF51),(($F$91-$E$91)*QCDAF40)+(($G$91-$F$91)*QCDAF50))</f>
        <v>#N/A</v>
      </c>
    </row>
    <row r="145" spans="1:8" x14ac:dyDescent="0.25">
      <c r="A145" s="48" t="s">
        <v>94</v>
      </c>
      <c r="B145" s="84" t="e">
        <f ca="1">IF(TrialDays&gt;=50,(($F$91-$E$91)*LeadDAF40)+(($G$91-$F$91)*LeadDAF50)+((TrialDays-$G$91)*LeadDAF51),(($F$91-$E$91)*LeadDAF40)+(($G$91-$F$91)*LeadDAF50))</f>
        <v>#N/A</v>
      </c>
    </row>
    <row r="146" spans="1:8" x14ac:dyDescent="0.25">
      <c r="A146" s="48" t="s">
        <v>95</v>
      </c>
      <c r="B146" s="84" t="e">
        <f ca="1">IF(TrialDays&gt;=50,(($F$91-$E$91)*LedDAF40)+(($G$91-$F$91)*LedDAF50)+((TrialDays-$G$91)*LedDAF51),(($F$91-$E$91)*LedDAF40)+(($G$91-$F$91)*LedDAF50))</f>
        <v>#N/A</v>
      </c>
    </row>
    <row r="147" spans="1:8" x14ac:dyDescent="0.25">
      <c r="A147" s="48" t="s">
        <v>118</v>
      </c>
      <c r="B147" s="84" t="e">
        <f ca="1">IF(TrialDays&gt;=50,(($F$91-$E$91)*JrAloneDAF40)+(($G$91-$F$91)*JrAloneDAF50)+((TrialDays-$G$91)*JrAloneDAF51),(($F$91-$E$91)*JrAloneDAF40)+(($G$91-$F$91)*JrAloneDAF50))</f>
        <v>#N/A</v>
      </c>
    </row>
    <row r="148" spans="1:8" x14ac:dyDescent="0.25">
      <c r="B148" s="51"/>
    </row>
    <row r="149" spans="1:8" x14ac:dyDescent="0.25">
      <c r="A149" s="72" t="s">
        <v>128</v>
      </c>
      <c r="B149" s="49"/>
    </row>
    <row r="150" spans="1:8" x14ac:dyDescent="0.25">
      <c r="A150" s="72"/>
      <c r="B150" s="44" t="s">
        <v>119</v>
      </c>
      <c r="C150" s="44" t="s">
        <v>120</v>
      </c>
      <c r="D150" s="44" t="s">
        <v>121</v>
      </c>
      <c r="F150" s="44" t="s">
        <v>119</v>
      </c>
      <c r="G150" s="44" t="s">
        <v>120</v>
      </c>
    </row>
    <row r="151" spans="1:8" x14ac:dyDescent="0.25">
      <c r="A151" s="48" t="s">
        <v>330</v>
      </c>
      <c r="B151" s="85" t="e">
        <f ca="1">(B137+B144)</f>
        <v>#N/A</v>
      </c>
      <c r="C151" s="85" t="e">
        <f ca="1">(B137+B144)*QCs</f>
        <v>#N/A</v>
      </c>
      <c r="D151" s="45"/>
      <c r="E151" s="76" t="s">
        <v>330</v>
      </c>
      <c r="F151" s="64" t="e">
        <f t="shared" ref="F151:G154" ca="1" si="9">MROUND(B151,100)</f>
        <v>#N/A</v>
      </c>
      <c r="G151" s="64" t="e">
        <f t="shared" ca="1" si="9"/>
        <v>#N/A</v>
      </c>
      <c r="H151" s="108"/>
    </row>
    <row r="152" spans="1:8" x14ac:dyDescent="0.25">
      <c r="A152" s="48" t="s">
        <v>94</v>
      </c>
      <c r="B152" s="85" t="e">
        <f ca="1">(B138+B145)</f>
        <v>#N/A</v>
      </c>
      <c r="C152" s="85" t="e">
        <f ca="1">(B138+B145)*LeadJnr</f>
        <v>#N/A</v>
      </c>
      <c r="D152" s="45"/>
      <c r="E152" s="76" t="s">
        <v>94</v>
      </c>
      <c r="F152" s="64" t="e">
        <f t="shared" ca="1" si="9"/>
        <v>#N/A</v>
      </c>
      <c r="G152" s="64" t="e">
        <f t="shared" ca="1" si="9"/>
        <v>#N/A</v>
      </c>
      <c r="H152" s="108"/>
    </row>
    <row r="153" spans="1:8" x14ac:dyDescent="0.25">
      <c r="A153" s="48" t="s">
        <v>95</v>
      </c>
      <c r="B153" s="85" t="e">
        <f ca="1">(B139+B146)</f>
        <v>#N/A</v>
      </c>
      <c r="C153" s="85" t="e">
        <f ca="1">(B139+B146)*LedJnr</f>
        <v>#N/A</v>
      </c>
      <c r="D153" s="45"/>
      <c r="E153" s="76" t="s">
        <v>95</v>
      </c>
      <c r="F153" s="64" t="e">
        <f t="shared" ca="1" si="9"/>
        <v>#N/A</v>
      </c>
      <c r="G153" s="64" t="e">
        <f t="shared" ca="1" si="9"/>
        <v>#N/A</v>
      </c>
      <c r="H153" s="108"/>
    </row>
    <row r="154" spans="1:8" x14ac:dyDescent="0.25">
      <c r="A154" s="48" t="s">
        <v>118</v>
      </c>
      <c r="B154" s="85" t="e">
        <f ca="1">(B140+B147)</f>
        <v>#N/A</v>
      </c>
      <c r="C154" s="85" t="e">
        <f ca="1">(B140+B147)*JnrAlone</f>
        <v>#N/A</v>
      </c>
      <c r="D154" s="45"/>
      <c r="E154" s="76" t="s">
        <v>118</v>
      </c>
      <c r="F154" s="64" t="e">
        <f t="shared" ca="1" si="9"/>
        <v>#N/A</v>
      </c>
      <c r="G154" s="64" t="e">
        <f t="shared" ca="1" si="9"/>
        <v>#N/A</v>
      </c>
      <c r="H154" s="108"/>
    </row>
    <row r="155" spans="1:8" x14ac:dyDescent="0.25">
      <c r="C155" s="77"/>
      <c r="D155" s="45"/>
      <c r="E155" s="76"/>
      <c r="F155" s="76"/>
      <c r="G155" s="76"/>
    </row>
    <row r="156" spans="1:8" x14ac:dyDescent="0.25">
      <c r="A156" s="75" t="s">
        <v>1</v>
      </c>
      <c r="B156" s="82" t="e">
        <f ca="1">SUM(B151:B154)</f>
        <v>#N/A</v>
      </c>
      <c r="C156" s="82" t="e">
        <f ca="1">SUM(C151:C154)</f>
        <v>#N/A</v>
      </c>
      <c r="E156" s="76" t="s">
        <v>1</v>
      </c>
      <c r="G156" s="82" t="e">
        <f ca="1">SUM(G151:G154)</f>
        <v>#N/A</v>
      </c>
    </row>
    <row r="158" spans="1:8" s="42" customFormat="1" x14ac:dyDescent="0.25">
      <c r="A158" s="42" t="s">
        <v>320</v>
      </c>
    </row>
    <row r="159" spans="1:8" s="52" customFormat="1" x14ac:dyDescent="0.25">
      <c r="B159" s="45" t="s">
        <v>119</v>
      </c>
      <c r="D159" s="44" t="s">
        <v>121</v>
      </c>
      <c r="E159" s="44"/>
      <c r="F159" s="44" t="s">
        <v>119</v>
      </c>
      <c r="G159" s="44" t="s">
        <v>120</v>
      </c>
    </row>
    <row r="160" spans="1:8" x14ac:dyDescent="0.25">
      <c r="A160" s="48" t="s">
        <v>330</v>
      </c>
      <c r="B160" s="84" t="e">
        <f ca="1">B151/SUM($B$151:$B$154)*SUM($B$122:$B$125)</f>
        <v>#N/A</v>
      </c>
      <c r="C160" s="215" t="e">
        <f ca="1">B160*QCs</f>
        <v>#N/A</v>
      </c>
      <c r="D160" s="45"/>
      <c r="E160" s="76" t="s">
        <v>330</v>
      </c>
      <c r="F160" s="64" t="e">
        <f t="shared" ref="F160:F164" ca="1" si="10">MROUND(B160,100)</f>
        <v>#N/A</v>
      </c>
      <c r="G160" s="64" t="e">
        <f ca="1">$F160*QCs</f>
        <v>#N/A</v>
      </c>
      <c r="H160" s="108"/>
    </row>
    <row r="161" spans="1:8" x14ac:dyDescent="0.25">
      <c r="A161" s="48" t="s">
        <v>94</v>
      </c>
      <c r="B161" s="84" t="e">
        <f t="shared" ref="B161:B163" ca="1" si="11">B152/SUM($B$151:$B$154)*SUM($B$122:$B$125)</f>
        <v>#N/A</v>
      </c>
      <c r="C161" s="215" t="e">
        <f ca="1">B161*LeadJnr</f>
        <v>#N/A</v>
      </c>
      <c r="D161" s="45"/>
      <c r="E161" s="76" t="s">
        <v>94</v>
      </c>
      <c r="F161" s="64" t="e">
        <f t="shared" ca="1" si="10"/>
        <v>#N/A</v>
      </c>
      <c r="G161" s="64" t="e">
        <f ca="1">$F161*LeadJnr</f>
        <v>#N/A</v>
      </c>
      <c r="H161" s="108"/>
    </row>
    <row r="162" spans="1:8" x14ac:dyDescent="0.25">
      <c r="A162" s="48" t="s">
        <v>95</v>
      </c>
      <c r="B162" s="84" t="e">
        <f t="shared" ca="1" si="11"/>
        <v>#N/A</v>
      </c>
      <c r="C162" s="215" t="e">
        <f ca="1">B162*LedJnr</f>
        <v>#N/A</v>
      </c>
      <c r="D162" s="45"/>
      <c r="E162" s="76" t="s">
        <v>95</v>
      </c>
      <c r="F162" s="64" t="e">
        <f t="shared" ca="1" si="10"/>
        <v>#N/A</v>
      </c>
      <c r="G162" s="64" t="e">
        <f ca="1">$F162*LedJnr</f>
        <v>#N/A</v>
      </c>
      <c r="H162" s="108"/>
    </row>
    <row r="163" spans="1:8" x14ac:dyDescent="0.25">
      <c r="A163" s="48" t="s">
        <v>118</v>
      </c>
      <c r="B163" s="84" t="e">
        <f t="shared" ca="1" si="11"/>
        <v>#N/A</v>
      </c>
      <c r="C163" s="215" t="e">
        <f ca="1">B163*JnrAlone</f>
        <v>#N/A</v>
      </c>
      <c r="D163" s="45"/>
      <c r="E163" s="76" t="s">
        <v>118</v>
      </c>
      <c r="F163" s="64" t="e">
        <f t="shared" ca="1" si="10"/>
        <v>#N/A</v>
      </c>
      <c r="G163" s="64" t="e">
        <f ca="1">$F163*JnrAlone</f>
        <v>#N/A</v>
      </c>
      <c r="H163" s="108"/>
    </row>
    <row r="164" spans="1:8" x14ac:dyDescent="0.25">
      <c r="B164" s="226"/>
      <c r="C164" s="45"/>
      <c r="D164" s="45"/>
      <c r="E164" s="76"/>
      <c r="F164" s="76">
        <f t="shared" si="10"/>
        <v>0</v>
      </c>
      <c r="G164" s="76"/>
      <c r="H164" s="227"/>
    </row>
    <row r="165" spans="1:8" x14ac:dyDescent="0.25">
      <c r="B165" s="82" t="e">
        <f ca="1">SUM(B160:B163)</f>
        <v>#N/A</v>
      </c>
      <c r="C165" s="82" t="e">
        <f ca="1">SUM(C160:C163)</f>
        <v>#N/A</v>
      </c>
      <c r="E165" s="44" t="s">
        <v>1</v>
      </c>
      <c r="G165" s="82" t="e">
        <f ca="1">SUM(G160:G163)</f>
        <v>#N/A</v>
      </c>
    </row>
    <row r="166" spans="1:8" x14ac:dyDescent="0.25">
      <c r="B166" s="45"/>
      <c r="C166" s="45"/>
      <c r="E166" s="44" t="s">
        <v>122</v>
      </c>
      <c r="G166" s="87" t="e">
        <f ca="1">G127-G165</f>
        <v>#N/A</v>
      </c>
    </row>
    <row r="167" spans="1:8" x14ac:dyDescent="0.25">
      <c r="A167" s="224"/>
      <c r="B167" s="224"/>
      <c r="C167" s="225"/>
    </row>
    <row r="168" spans="1:8" x14ac:dyDescent="0.25">
      <c r="A168" s="224"/>
      <c r="B168" s="224"/>
      <c r="C168" s="225"/>
    </row>
    <row r="169" spans="1:8" x14ac:dyDescent="0.25">
      <c r="A169" s="224"/>
      <c r="B169" s="224"/>
      <c r="C169" s="225"/>
    </row>
    <row r="170" spans="1:8" x14ac:dyDescent="0.25">
      <c r="A170" s="224"/>
      <c r="B170" s="224"/>
      <c r="C170" s="225"/>
    </row>
    <row r="171" spans="1:8" x14ac:dyDescent="0.25">
      <c r="B171" s="224"/>
      <c r="C171" s="225"/>
    </row>
  </sheetData>
  <sheetProtection algorithmName="SHA-512" hashValue="Vv8915K6dWP8G+jQuJgN1Ic2pDZQkc6lX0TJE94YLhzH0+kCbDHzr0b80oDv3DbC9QS8usFKr6gKWYLApiZL4Q==" saltValue="PRgQWk50zA4v8kg8AAqBSQ==" spinCount="100000" sheet="1" objects="1" scenarios="1"/>
  <mergeCells count="2">
    <mergeCell ref="A98:K98"/>
    <mergeCell ref="A136:K136"/>
  </mergeCells>
  <pageMargins left="0.7" right="0.7" top="0.75" bottom="0.75" header="0.3" footer="0.3"/>
  <pageSetup paperSize="9" orientation="portrait" r:id="rId1"/>
  <headerFooter>
    <oddHeader>&amp;C&amp;"Calibri"&amp;12&amp;K000000 OFFICIAL&amp;1#_x000D_</oddHeader>
    <oddFooter>&amp;C_x000D_&amp;1#&amp;"Calibri"&amp;12&amp;K000000 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L36"/>
  <sheetViews>
    <sheetView showGridLines="0" workbookViewId="0">
      <selection activeCell="H34" sqref="H34"/>
    </sheetView>
  </sheetViews>
  <sheetFormatPr defaultColWidth="9.109375" defaultRowHeight="13.2" x14ac:dyDescent="0.25"/>
  <cols>
    <col min="1" max="1" width="2.88671875" style="5" customWidth="1"/>
    <col min="2" max="2" width="32.109375" style="5" customWidth="1"/>
    <col min="3" max="3" width="20.33203125" style="5" customWidth="1"/>
    <col min="4" max="4" width="22.109375" style="5" customWidth="1"/>
    <col min="5" max="5" width="13.6640625" style="5" hidden="1" customWidth="1"/>
    <col min="6" max="6" width="11.88671875" style="5" customWidth="1"/>
    <col min="7" max="7" width="12.6640625" style="5" customWidth="1"/>
    <col min="8" max="10" width="9.6640625" style="5" customWidth="1"/>
    <col min="11" max="11" width="17" style="5" customWidth="1"/>
    <col min="12" max="12" width="31.5546875" style="5" customWidth="1"/>
    <col min="13" max="14" width="22.6640625" style="5" customWidth="1"/>
    <col min="15" max="16384" width="9.109375" style="5"/>
  </cols>
  <sheetData>
    <row r="1" spans="1:12" s="167" customFormat="1" ht="15.6" x14ac:dyDescent="0.25">
      <c r="B1" s="168"/>
      <c r="C1" s="261" t="s">
        <v>54</v>
      </c>
      <c r="D1" s="261"/>
      <c r="E1" s="261"/>
      <c r="F1" s="169"/>
    </row>
    <row r="2" spans="1:12" s="8" customFormat="1" ht="13.8" thickBot="1" x14ac:dyDescent="0.3">
      <c r="A2" s="165"/>
      <c r="B2" s="170"/>
    </row>
    <row r="3" spans="1:12" s="167" customFormat="1" x14ac:dyDescent="0.25"/>
    <row r="4" spans="1:12" hidden="1" x14ac:dyDescent="0.25">
      <c r="B4" s="262" t="s">
        <v>55</v>
      </c>
      <c r="C4" s="171" t="s">
        <v>56</v>
      </c>
      <c r="D4" s="40" t="s">
        <v>57</v>
      </c>
      <c r="E4" s="263" t="s">
        <v>58</v>
      </c>
      <c r="F4" s="264"/>
      <c r="G4" s="264"/>
      <c r="H4" s="264"/>
      <c r="I4" s="264"/>
      <c r="J4" s="264"/>
      <c r="K4" s="264"/>
      <c r="L4" s="265"/>
    </row>
    <row r="5" spans="1:12" hidden="1" x14ac:dyDescent="0.25">
      <c r="B5" s="262"/>
      <c r="C5" s="172" t="s">
        <v>59</v>
      </c>
      <c r="D5" s="40" t="s">
        <v>60</v>
      </c>
      <c r="E5" s="263" t="s">
        <v>61</v>
      </c>
      <c r="F5" s="264"/>
      <c r="G5" s="264"/>
      <c r="H5" s="264"/>
      <c r="I5" s="264"/>
      <c r="J5" s="264"/>
      <c r="K5" s="264"/>
      <c r="L5" s="265"/>
    </row>
    <row r="6" spans="1:12" hidden="1" x14ac:dyDescent="0.25">
      <c r="B6" s="262"/>
      <c r="C6" s="173" t="s">
        <v>62</v>
      </c>
      <c r="D6" s="40" t="s">
        <v>63</v>
      </c>
      <c r="E6" s="263" t="s">
        <v>64</v>
      </c>
      <c r="F6" s="264"/>
      <c r="G6" s="264"/>
      <c r="H6" s="264"/>
      <c r="I6" s="264"/>
      <c r="J6" s="264"/>
      <c r="K6" s="264"/>
      <c r="L6" s="265"/>
    </row>
    <row r="7" spans="1:12" hidden="1" x14ac:dyDescent="0.25">
      <c r="B7" s="174"/>
      <c r="C7" s="175"/>
      <c r="D7" s="175"/>
      <c r="E7" s="175"/>
      <c r="F7" s="175"/>
      <c r="G7" s="175"/>
      <c r="H7" s="175"/>
      <c r="K7" s="175"/>
      <c r="L7" s="175"/>
    </row>
    <row r="8" spans="1:12" hidden="1" x14ac:dyDescent="0.25">
      <c r="B8" s="262" t="s">
        <v>65</v>
      </c>
      <c r="C8" s="171" t="s">
        <v>56</v>
      </c>
      <c r="D8" s="40" t="s">
        <v>66</v>
      </c>
      <c r="E8" s="263" t="s">
        <v>67</v>
      </c>
      <c r="F8" s="264"/>
      <c r="G8" s="264"/>
      <c r="H8" s="264"/>
      <c r="I8" s="264"/>
      <c r="J8" s="264"/>
      <c r="K8" s="264"/>
      <c r="L8" s="265"/>
    </row>
    <row r="9" spans="1:12" hidden="1" x14ac:dyDescent="0.25">
      <c r="B9" s="262"/>
      <c r="C9" s="172" t="s">
        <v>59</v>
      </c>
      <c r="D9" s="40" t="s">
        <v>68</v>
      </c>
      <c r="E9" s="263" t="s">
        <v>69</v>
      </c>
      <c r="F9" s="264"/>
      <c r="G9" s="264"/>
      <c r="H9" s="264"/>
      <c r="I9" s="264"/>
      <c r="J9" s="264"/>
      <c r="K9" s="264"/>
      <c r="L9" s="265"/>
    </row>
    <row r="10" spans="1:12" hidden="1" x14ac:dyDescent="0.25">
      <c r="B10" s="262"/>
      <c r="C10" s="173" t="s">
        <v>62</v>
      </c>
      <c r="D10" s="40" t="s">
        <v>70</v>
      </c>
      <c r="E10" s="263" t="s">
        <v>71</v>
      </c>
      <c r="F10" s="264"/>
      <c r="G10" s="264"/>
      <c r="H10" s="264"/>
      <c r="I10" s="264"/>
      <c r="J10" s="264"/>
      <c r="K10" s="264"/>
      <c r="L10" s="265"/>
    </row>
    <row r="11" spans="1:12" hidden="1" x14ac:dyDescent="0.25"/>
    <row r="12" spans="1:12" hidden="1" x14ac:dyDescent="0.25"/>
    <row r="13" spans="1:12" ht="39.6" hidden="1" x14ac:dyDescent="0.25">
      <c r="B13" s="40" t="s">
        <v>72</v>
      </c>
      <c r="C13" s="40" t="s">
        <v>73</v>
      </c>
      <c r="D13" s="40" t="s">
        <v>74</v>
      </c>
      <c r="E13" s="40" t="s">
        <v>75</v>
      </c>
      <c r="F13" s="40" t="s">
        <v>76</v>
      </c>
      <c r="G13" s="40" t="s">
        <v>77</v>
      </c>
      <c r="H13" s="40" t="s">
        <v>78</v>
      </c>
      <c r="I13" s="40" t="s">
        <v>79</v>
      </c>
      <c r="J13" s="40" t="s">
        <v>80</v>
      </c>
      <c r="K13" s="40" t="s">
        <v>81</v>
      </c>
      <c r="L13" s="40" t="s">
        <v>82</v>
      </c>
    </row>
    <row r="14" spans="1:12" ht="92.4" hidden="1" x14ac:dyDescent="0.25">
      <c r="B14" s="176" t="s">
        <v>129</v>
      </c>
      <c r="C14" s="177" t="s">
        <v>83</v>
      </c>
      <c r="D14" s="176" t="s">
        <v>228</v>
      </c>
      <c r="E14" s="178" t="s">
        <v>130</v>
      </c>
      <c r="F14" s="178" t="s">
        <v>88</v>
      </c>
      <c r="G14" s="179"/>
      <c r="H14" s="179"/>
      <c r="I14" s="180" t="s">
        <v>62</v>
      </c>
      <c r="J14" s="180" t="s">
        <v>56</v>
      </c>
      <c r="K14" s="181"/>
      <c r="L14" s="179"/>
    </row>
    <row r="15" spans="1:12" ht="409.6" hidden="1" x14ac:dyDescent="0.25">
      <c r="B15" s="178" t="s">
        <v>233</v>
      </c>
      <c r="C15" s="178" t="s">
        <v>83</v>
      </c>
      <c r="D15" s="178" t="s">
        <v>231</v>
      </c>
      <c r="E15" s="178" t="s">
        <v>281</v>
      </c>
      <c r="F15" s="178" t="s">
        <v>88</v>
      </c>
      <c r="G15" s="178"/>
      <c r="H15" s="178"/>
      <c r="I15" s="180" t="s">
        <v>62</v>
      </c>
      <c r="J15" s="180" t="s">
        <v>56</v>
      </c>
      <c r="K15" s="182"/>
      <c r="L15" s="178" t="s">
        <v>185</v>
      </c>
    </row>
    <row r="16" spans="1:12" ht="409.6" hidden="1" x14ac:dyDescent="0.25">
      <c r="B16" s="177" t="s">
        <v>232</v>
      </c>
      <c r="C16" s="178" t="s">
        <v>83</v>
      </c>
      <c r="D16" s="178" t="s">
        <v>231</v>
      </c>
      <c r="E16" s="178" t="s">
        <v>282</v>
      </c>
      <c r="F16" s="178" t="s">
        <v>88</v>
      </c>
      <c r="G16" s="179"/>
      <c r="H16" s="179"/>
      <c r="I16" s="180" t="s">
        <v>62</v>
      </c>
      <c r="J16" s="180" t="s">
        <v>56</v>
      </c>
      <c r="K16" s="179"/>
      <c r="L16" s="177" t="s">
        <v>230</v>
      </c>
    </row>
    <row r="17" spans="1:12" ht="158.4" hidden="1" x14ac:dyDescent="0.25">
      <c r="B17" s="177" t="s">
        <v>238</v>
      </c>
      <c r="C17" s="177" t="s">
        <v>84</v>
      </c>
      <c r="D17" s="178" t="s">
        <v>231</v>
      </c>
      <c r="E17" s="178" t="s">
        <v>236</v>
      </c>
      <c r="F17" s="178" t="s">
        <v>88</v>
      </c>
      <c r="G17" s="178"/>
      <c r="H17" s="178"/>
      <c r="I17" s="180" t="s">
        <v>59</v>
      </c>
      <c r="J17" s="180" t="s">
        <v>59</v>
      </c>
      <c r="K17" s="178"/>
      <c r="L17" s="178"/>
    </row>
    <row r="18" spans="1:12" ht="171.6" hidden="1" x14ac:dyDescent="0.25">
      <c r="B18" s="178" t="s">
        <v>237</v>
      </c>
      <c r="C18" s="178" t="s">
        <v>84</v>
      </c>
      <c r="D18" s="178" t="s">
        <v>231</v>
      </c>
      <c r="E18" s="178" t="s">
        <v>283</v>
      </c>
      <c r="F18" s="178" t="s">
        <v>88</v>
      </c>
      <c r="G18" s="178"/>
      <c r="H18" s="178"/>
      <c r="I18" s="180" t="s">
        <v>62</v>
      </c>
      <c r="J18" s="180" t="s">
        <v>59</v>
      </c>
      <c r="K18" s="178"/>
      <c r="L18" s="178"/>
    </row>
    <row r="19" spans="1:12" ht="39.6" hidden="1" x14ac:dyDescent="0.25">
      <c r="B19" s="176" t="s">
        <v>131</v>
      </c>
      <c r="C19" s="177" t="s">
        <v>84</v>
      </c>
      <c r="D19" s="178" t="s">
        <v>231</v>
      </c>
      <c r="E19" s="178" t="s">
        <v>229</v>
      </c>
      <c r="F19" s="178" t="s">
        <v>88</v>
      </c>
      <c r="G19" s="179"/>
      <c r="H19" s="179"/>
      <c r="I19" s="180" t="s">
        <v>62</v>
      </c>
      <c r="J19" s="180" t="s">
        <v>62</v>
      </c>
      <c r="K19" s="181"/>
      <c r="L19" s="179"/>
    </row>
    <row r="20" spans="1:12" ht="198" hidden="1" x14ac:dyDescent="0.25">
      <c r="B20" s="183" t="s">
        <v>126</v>
      </c>
      <c r="C20" s="184" t="s">
        <v>84</v>
      </c>
      <c r="D20" s="185" t="s">
        <v>231</v>
      </c>
      <c r="E20" s="185" t="s">
        <v>284</v>
      </c>
      <c r="F20" s="185" t="s">
        <v>88</v>
      </c>
      <c r="G20" s="184"/>
      <c r="H20" s="184"/>
      <c r="I20" s="186" t="s">
        <v>56</v>
      </c>
      <c r="J20" s="186" t="s">
        <v>56</v>
      </c>
      <c r="K20" s="183"/>
      <c r="L20" s="179"/>
    </row>
    <row r="21" spans="1:12" ht="224.4" hidden="1" x14ac:dyDescent="0.25">
      <c r="A21" s="187"/>
      <c r="B21" s="183" t="s">
        <v>126</v>
      </c>
      <c r="C21" s="184" t="s">
        <v>84</v>
      </c>
      <c r="D21" s="185" t="s">
        <v>231</v>
      </c>
      <c r="E21" s="184" t="s">
        <v>285</v>
      </c>
      <c r="F21" s="185" t="s">
        <v>88</v>
      </c>
      <c r="G21" s="184"/>
      <c r="H21" s="184"/>
      <c r="I21" s="186" t="s">
        <v>59</v>
      </c>
      <c r="J21" s="186" t="s">
        <v>59</v>
      </c>
      <c r="K21" s="183"/>
      <c r="L21" s="179"/>
    </row>
    <row r="22" spans="1:12" x14ac:dyDescent="0.25">
      <c r="A22" s="187"/>
      <c r="B22" s="188"/>
      <c r="C22" s="189"/>
      <c r="D22" s="190"/>
      <c r="E22" s="188"/>
      <c r="F22" s="190"/>
      <c r="G22" s="189"/>
      <c r="H22" s="189"/>
      <c r="I22" s="191"/>
      <c r="J22" s="191"/>
      <c r="K22" s="188"/>
    </row>
    <row r="23" spans="1:12" x14ac:dyDescent="0.25">
      <c r="B23" s="192"/>
      <c r="C23" s="193" t="s">
        <v>25</v>
      </c>
      <c r="D23" s="193" t="s">
        <v>112</v>
      </c>
      <c r="E23" s="194" t="s">
        <v>113</v>
      </c>
    </row>
    <row r="24" spans="1:12" x14ac:dyDescent="0.25">
      <c r="B24" s="195" t="s">
        <v>126</v>
      </c>
      <c r="C24" s="196" t="s">
        <v>2</v>
      </c>
      <c r="D24" s="196" t="s">
        <v>2</v>
      </c>
      <c r="E24" s="197"/>
    </row>
    <row r="25" spans="1:12" x14ac:dyDescent="0.25">
      <c r="B25" s="198" t="s">
        <v>3</v>
      </c>
      <c r="C25" s="199">
        <v>1</v>
      </c>
      <c r="D25" s="199">
        <v>1</v>
      </c>
      <c r="E25" s="200" t="s">
        <v>186</v>
      </c>
    </row>
    <row r="26" spans="1:12" ht="52.8" x14ac:dyDescent="0.25">
      <c r="B26" s="201" t="s">
        <v>240</v>
      </c>
      <c r="C26" s="202">
        <v>0.25</v>
      </c>
      <c r="D26" s="202">
        <v>1</v>
      </c>
      <c r="E26" s="200" t="s">
        <v>186</v>
      </c>
    </row>
    <row r="27" spans="1:12" x14ac:dyDescent="0.25">
      <c r="B27" s="198" t="s">
        <v>4</v>
      </c>
      <c r="C27" s="203">
        <v>1.25</v>
      </c>
      <c r="D27" s="203">
        <v>1.25</v>
      </c>
      <c r="E27" s="200" t="s">
        <v>186</v>
      </c>
    </row>
    <row r="28" spans="1:12" ht="29.25" customHeight="1" x14ac:dyDescent="0.25">
      <c r="B28" s="198" t="s">
        <v>5</v>
      </c>
      <c r="C28" s="204">
        <v>0.5</v>
      </c>
      <c r="D28" s="203">
        <v>1</v>
      </c>
      <c r="E28" s="200" t="s">
        <v>186</v>
      </c>
    </row>
    <row r="29" spans="1:12" x14ac:dyDescent="0.25">
      <c r="B29" s="198" t="s">
        <v>11</v>
      </c>
      <c r="C29" s="203">
        <v>250</v>
      </c>
      <c r="D29" s="203">
        <v>530</v>
      </c>
      <c r="E29" s="200" t="s">
        <v>186</v>
      </c>
    </row>
    <row r="30" spans="1:12" x14ac:dyDescent="0.25">
      <c r="B30" s="198" t="s">
        <v>12</v>
      </c>
      <c r="C30" s="203">
        <v>2</v>
      </c>
      <c r="D30" s="203">
        <v>2</v>
      </c>
      <c r="E30" s="200" t="s">
        <v>186</v>
      </c>
    </row>
    <row r="31" spans="1:12" x14ac:dyDescent="0.25">
      <c r="B31" s="205" t="s">
        <v>216</v>
      </c>
      <c r="C31" s="202">
        <v>1</v>
      </c>
      <c r="D31" s="202">
        <v>1</v>
      </c>
      <c r="E31" s="200" t="s">
        <v>186</v>
      </c>
    </row>
    <row r="32" spans="1:12" x14ac:dyDescent="0.25">
      <c r="B32" s="198" t="s">
        <v>22</v>
      </c>
      <c r="C32" s="204">
        <v>0</v>
      </c>
      <c r="D32" s="206">
        <v>0.5</v>
      </c>
      <c r="E32" s="200" t="s">
        <v>186</v>
      </c>
    </row>
    <row r="33" spans="2:5" x14ac:dyDescent="0.25">
      <c r="B33" s="207" t="s">
        <v>23</v>
      </c>
      <c r="C33" s="208">
        <v>0</v>
      </c>
      <c r="D33" s="209">
        <v>6</v>
      </c>
      <c r="E33" s="210" t="s">
        <v>186</v>
      </c>
    </row>
    <row r="34" spans="2:5" x14ac:dyDescent="0.25">
      <c r="B34" s="211"/>
      <c r="C34" s="212"/>
      <c r="D34" s="213"/>
      <c r="E34" s="214"/>
    </row>
    <row r="35" spans="2:5" x14ac:dyDescent="0.25">
      <c r="B35" s="211"/>
      <c r="C35" s="212"/>
      <c r="D35" s="213"/>
      <c r="E35" s="214"/>
    </row>
    <row r="36" spans="2:5" x14ac:dyDescent="0.25">
      <c r="B36" s="211"/>
    </row>
  </sheetData>
  <sheetProtection algorithmName="SHA-512" hashValue="hPP+rcNax3blv2CjVlr2DB+rBDlmg6CM2QAXOiuGbPJj1nOLxgc6Bg3Gerk1Fj1GS8C0Qy49BQ5ATlOvvD5qEQ==" saltValue="I6RJPDQVdBjkLDHF0ntMxw==" spinCount="100000" sheet="1" objects="1" scenarios="1" selectLockedCells="1" selectUnlockedCells="1"/>
  <protectedRanges>
    <protectedRange sqref="A3:IV7 A8:D10 M8:IV10 A11:A65462 B34:D65462 B24:C32 B33 D33 C32:C33 B11:IV19 B23:D23 E23:IV65462 L20:IV22" name="Range1"/>
    <protectedRange sqref="B20:D22 D21:K22 E20:K20" name="Range1_1"/>
  </protectedRanges>
  <mergeCells count="9">
    <mergeCell ref="B8:B10"/>
    <mergeCell ref="E8:L8"/>
    <mergeCell ref="E9:L9"/>
    <mergeCell ref="E10:L10"/>
    <mergeCell ref="C1:E1"/>
    <mergeCell ref="B4:B6"/>
    <mergeCell ref="E4:L4"/>
    <mergeCell ref="E5:L5"/>
    <mergeCell ref="E6:L6"/>
  </mergeCells>
  <conditionalFormatting sqref="I14:J20">
    <cfRule type="cellIs" dxfId="5" priority="8" stopIfTrue="1" operator="equal">
      <formula>"Red"</formula>
    </cfRule>
    <cfRule type="cellIs" dxfId="4" priority="9" stopIfTrue="1" operator="equal">
      <formula>"Amber"</formula>
    </cfRule>
    <cfRule type="cellIs" dxfId="3" priority="10" stopIfTrue="1" operator="equal">
      <formula>"Green"</formula>
    </cfRule>
  </conditionalFormatting>
  <conditionalFormatting sqref="I20:J22">
    <cfRule type="cellIs" dxfId="2" priority="1" stopIfTrue="1" operator="equal">
      <formula>"Red"</formula>
    </cfRule>
    <cfRule type="cellIs" dxfId="1" priority="2" stopIfTrue="1" operator="equal">
      <formula>"Amber"</formula>
    </cfRule>
    <cfRule type="cellIs" dxfId="0" priority="3" stopIfTrue="1" operator="equal">
      <formula>"Green"</formula>
    </cfRule>
  </conditionalFormatting>
  <dataValidations count="2">
    <dataValidation type="list" allowBlank="1" showInputMessage="1" showErrorMessage="1" sqref="I14:J22" xr:uid="{00000000-0002-0000-0400-000000000000}">
      <formula1>"Red,Amber,Green"</formula1>
    </dataValidation>
    <dataValidation type="list" allowBlank="1" showInputMessage="1" showErrorMessage="1" sqref="C14:C19" xr:uid="{00000000-0002-0000-0400-000001000000}">
      <formula1>"Data,Assumption"</formula1>
    </dataValidation>
  </dataValidations>
  <pageMargins left="0.75" right="0.75" top="1" bottom="1" header="0.5" footer="0.5"/>
  <pageSetup paperSize="9" scale="41" orientation="landscape" r:id="rId1"/>
  <headerFooter alignWithMargins="0">
    <oddHeader>&amp;C&amp;"Calibri"&amp;12&amp;K000000 OFFICIAL&amp;1#_x000D_</oddHeader>
    <oddFooter>&amp;C_x000D_&amp;1#&amp;"Calibri"&amp;12&amp;K000000 OFFICIAL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P162"/>
  <sheetViews>
    <sheetView showGridLines="0" workbookViewId="0">
      <selection activeCell="I170" sqref="I170"/>
    </sheetView>
  </sheetViews>
  <sheetFormatPr defaultColWidth="9.109375" defaultRowHeight="13.2" x14ac:dyDescent="0.25"/>
  <cols>
    <col min="1" max="9" width="9.109375" style="44"/>
    <col min="10" max="10" width="29.33203125" style="44" bestFit="1" customWidth="1"/>
    <col min="11" max="11" width="9.109375" style="44"/>
    <col min="12" max="12" width="12.33203125" style="44" customWidth="1"/>
    <col min="13" max="16384" width="9.109375" style="44"/>
  </cols>
  <sheetData>
    <row r="1" spans="1:13" s="43" customFormat="1" x14ac:dyDescent="0.25">
      <c r="A1" s="43" t="s">
        <v>103</v>
      </c>
    </row>
    <row r="2" spans="1:13" x14ac:dyDescent="0.25">
      <c r="A2" s="103" t="s">
        <v>145</v>
      </c>
    </row>
    <row r="3" spans="1:13" x14ac:dyDescent="0.25">
      <c r="A3" s="111" t="s">
        <v>146</v>
      </c>
    </row>
    <row r="4" spans="1:13" x14ac:dyDescent="0.25">
      <c r="A4" s="111" t="s">
        <v>147</v>
      </c>
      <c r="J4" s="52" t="s">
        <v>103</v>
      </c>
    </row>
    <row r="5" spans="1:13" ht="26.4" x14ac:dyDescent="0.25">
      <c r="A5" s="112"/>
      <c r="B5" s="112" t="s">
        <v>148</v>
      </c>
      <c r="C5" s="112" t="s">
        <v>149</v>
      </c>
      <c r="D5" s="112" t="s">
        <v>150</v>
      </c>
      <c r="E5" s="112" t="s">
        <v>151</v>
      </c>
      <c r="F5" s="112" t="s">
        <v>152</v>
      </c>
      <c r="J5" s="45"/>
      <c r="K5" s="46" t="s">
        <v>6</v>
      </c>
      <c r="L5" s="46" t="s">
        <v>7</v>
      </c>
      <c r="M5" s="46" t="s">
        <v>18</v>
      </c>
    </row>
    <row r="6" spans="1:13" x14ac:dyDescent="0.25">
      <c r="A6" s="113" t="s">
        <v>153</v>
      </c>
      <c r="B6" s="113"/>
      <c r="C6" s="113"/>
      <c r="D6" s="113"/>
      <c r="E6" s="113"/>
      <c r="F6" s="113"/>
      <c r="J6" s="109" t="s">
        <v>326</v>
      </c>
      <c r="K6" s="138">
        <f>B13</f>
        <v>101.5</v>
      </c>
      <c r="L6" s="138">
        <f t="shared" ref="L6:M6" si="0">C13</f>
        <v>79.099999999999994</v>
      </c>
      <c r="M6" s="138">
        <f t="shared" si="0"/>
        <v>63.7</v>
      </c>
    </row>
    <row r="7" spans="1:13" x14ac:dyDescent="0.25">
      <c r="A7" s="113" t="s">
        <v>154</v>
      </c>
      <c r="B7" s="113">
        <v>101.5</v>
      </c>
      <c r="C7" s="113">
        <v>79.099999999999994</v>
      </c>
      <c r="D7" s="113">
        <v>63.7</v>
      </c>
      <c r="E7" s="113">
        <v>63.7</v>
      </c>
      <c r="F7" s="113">
        <v>39.03</v>
      </c>
      <c r="J7" s="109" t="s">
        <v>327</v>
      </c>
      <c r="K7" s="138">
        <f>$D$30</f>
        <v>333.2</v>
      </c>
      <c r="L7" s="138">
        <f t="shared" ref="L7:M7" si="1">$D$30</f>
        <v>333.2</v>
      </c>
      <c r="M7" s="138">
        <f t="shared" si="1"/>
        <v>333.2</v>
      </c>
    </row>
    <row r="8" spans="1:13" x14ac:dyDescent="0.25">
      <c r="A8" s="113" t="s">
        <v>155</v>
      </c>
      <c r="B8" s="113">
        <v>88.9</v>
      </c>
      <c r="C8" s="113">
        <v>70</v>
      </c>
      <c r="D8" s="113">
        <v>55.3</v>
      </c>
      <c r="E8" s="113">
        <v>55.3</v>
      </c>
      <c r="F8" s="113">
        <v>33.08</v>
      </c>
      <c r="J8" s="109" t="s">
        <v>13</v>
      </c>
      <c r="K8" s="138">
        <f>B14</f>
        <v>88.9</v>
      </c>
      <c r="L8" s="138">
        <f>C14</f>
        <v>70</v>
      </c>
      <c r="M8" s="138">
        <f>D14</f>
        <v>55.3</v>
      </c>
    </row>
    <row r="9" spans="1:13" x14ac:dyDescent="0.25">
      <c r="A9" s="113" t="s">
        <v>156</v>
      </c>
      <c r="B9" s="113">
        <v>58.8</v>
      </c>
      <c r="C9" s="113">
        <v>45.5</v>
      </c>
      <c r="D9" s="113">
        <v>35.700000000000003</v>
      </c>
      <c r="E9" s="113">
        <v>35.700000000000003</v>
      </c>
      <c r="F9" s="113">
        <v>24.5</v>
      </c>
      <c r="J9" s="109" t="s">
        <v>14</v>
      </c>
      <c r="K9" s="138">
        <f>$D$31</f>
        <v>273</v>
      </c>
      <c r="L9" s="138">
        <f t="shared" ref="L9:M9" si="2">$D$31</f>
        <v>273</v>
      </c>
      <c r="M9" s="138">
        <f t="shared" si="2"/>
        <v>273</v>
      </c>
    </row>
    <row r="10" spans="1:13" ht="26.4" x14ac:dyDescent="0.25">
      <c r="A10" s="113" t="s">
        <v>157</v>
      </c>
      <c r="B10" s="113">
        <v>31.5</v>
      </c>
      <c r="C10" s="113">
        <v>25.2</v>
      </c>
      <c r="D10" s="113">
        <v>21</v>
      </c>
      <c r="E10" s="113">
        <v>21</v>
      </c>
      <c r="F10" s="113"/>
      <c r="J10" s="109" t="s">
        <v>8</v>
      </c>
      <c r="K10" s="138">
        <f>B15</f>
        <v>63.7</v>
      </c>
      <c r="L10" s="138">
        <f>C15</f>
        <v>51.1</v>
      </c>
      <c r="M10" s="138">
        <f>D15</f>
        <v>42.7</v>
      </c>
    </row>
    <row r="11" spans="1:13" x14ac:dyDescent="0.25">
      <c r="A11" s="113"/>
      <c r="B11" s="113"/>
      <c r="C11" s="113"/>
      <c r="D11" s="113"/>
      <c r="E11" s="113"/>
      <c r="F11" s="113"/>
      <c r="J11" s="109" t="s">
        <v>9</v>
      </c>
      <c r="K11" s="138">
        <f>$D$32</f>
        <v>176.4</v>
      </c>
      <c r="L11" s="138">
        <f t="shared" ref="L11:M11" si="3">$D$32</f>
        <v>176.4</v>
      </c>
      <c r="M11" s="138">
        <f t="shared" si="3"/>
        <v>176.4</v>
      </c>
    </row>
    <row r="12" spans="1:13" x14ac:dyDescent="0.25">
      <c r="A12" s="113" t="s">
        <v>158</v>
      </c>
      <c r="B12" s="113"/>
      <c r="C12" s="113"/>
      <c r="D12" s="113"/>
      <c r="E12" s="113"/>
      <c r="F12" s="113"/>
      <c r="J12" s="109" t="s">
        <v>15</v>
      </c>
      <c r="K12" s="138">
        <f>B16</f>
        <v>70</v>
      </c>
      <c r="L12" s="138">
        <f>C16</f>
        <v>57.4</v>
      </c>
      <c r="M12" s="138">
        <f>D16</f>
        <v>49</v>
      </c>
    </row>
    <row r="13" spans="1:13" x14ac:dyDescent="0.25">
      <c r="A13" s="113" t="s">
        <v>328</v>
      </c>
      <c r="B13" s="113">
        <v>101.5</v>
      </c>
      <c r="C13" s="113">
        <v>79.099999999999994</v>
      </c>
      <c r="D13" s="113">
        <v>63.7</v>
      </c>
      <c r="E13" s="113">
        <v>63.7</v>
      </c>
      <c r="F13" s="113"/>
      <c r="J13" s="109" t="s">
        <v>16</v>
      </c>
      <c r="K13" s="138">
        <f>$D$33</f>
        <v>199.5</v>
      </c>
      <c r="L13" s="138">
        <f t="shared" ref="L13:M13" si="4">$D$33</f>
        <v>199.5</v>
      </c>
      <c r="M13" s="138">
        <f t="shared" si="4"/>
        <v>199.5</v>
      </c>
    </row>
    <row r="14" spans="1:13" ht="26.4" x14ac:dyDescent="0.25">
      <c r="A14" s="113" t="s">
        <v>159</v>
      </c>
      <c r="B14" s="113">
        <v>88.9</v>
      </c>
      <c r="C14" s="113">
        <v>70</v>
      </c>
      <c r="D14" s="113">
        <v>55.3</v>
      </c>
      <c r="E14" s="113">
        <v>55.3</v>
      </c>
      <c r="F14" s="113"/>
    </row>
    <row r="15" spans="1:13" x14ac:dyDescent="0.25">
      <c r="A15" s="113" t="s">
        <v>95</v>
      </c>
      <c r="B15" s="113">
        <v>63.7</v>
      </c>
      <c r="C15" s="113">
        <v>51.1</v>
      </c>
      <c r="D15" s="113">
        <v>42.7</v>
      </c>
      <c r="E15" s="113">
        <v>42.7</v>
      </c>
      <c r="F15" s="113"/>
    </row>
    <row r="16" spans="1:13" ht="26.4" x14ac:dyDescent="0.25">
      <c r="A16" s="113" t="s">
        <v>118</v>
      </c>
      <c r="B16" s="113">
        <v>70</v>
      </c>
      <c r="C16" s="113">
        <v>57.4</v>
      </c>
      <c r="D16" s="113">
        <v>49</v>
      </c>
      <c r="E16" s="113">
        <v>49</v>
      </c>
      <c r="F16" s="113"/>
    </row>
    <row r="17" spans="1:6" ht="26.4" x14ac:dyDescent="0.25">
      <c r="A17" s="113" t="s">
        <v>160</v>
      </c>
      <c r="B17" s="113">
        <v>44.1</v>
      </c>
      <c r="C17" s="113">
        <v>35</v>
      </c>
      <c r="D17" s="113">
        <v>30.1</v>
      </c>
      <c r="E17" s="113">
        <v>30.1</v>
      </c>
      <c r="F17" s="113"/>
    </row>
    <row r="18" spans="1:6" x14ac:dyDescent="0.25">
      <c r="A18" s="113"/>
      <c r="B18" s="113"/>
      <c r="C18" s="113"/>
      <c r="D18" s="113"/>
      <c r="E18" s="113"/>
      <c r="F18" s="113"/>
    </row>
    <row r="19" spans="1:6" ht="26.4" x14ac:dyDescent="0.25">
      <c r="A19" s="113" t="s">
        <v>161</v>
      </c>
      <c r="B19" s="113"/>
      <c r="C19" s="113"/>
      <c r="D19" s="113"/>
      <c r="E19" s="113"/>
      <c r="F19" s="113"/>
    </row>
    <row r="20" spans="1:6" ht="26.4" x14ac:dyDescent="0.25">
      <c r="A20" s="113" t="s">
        <v>162</v>
      </c>
      <c r="B20" s="113">
        <v>101.5</v>
      </c>
      <c r="C20" s="113">
        <v>79.099999999999994</v>
      </c>
      <c r="D20" s="113">
        <v>63.7</v>
      </c>
      <c r="E20" s="113">
        <v>63.7</v>
      </c>
      <c r="F20" s="113"/>
    </row>
    <row r="21" spans="1:6" ht="26.4" x14ac:dyDescent="0.25">
      <c r="A21" s="113" t="s">
        <v>163</v>
      </c>
      <c r="B21" s="113">
        <v>88.9</v>
      </c>
      <c r="C21" s="113">
        <v>70</v>
      </c>
      <c r="D21" s="113">
        <v>55.3</v>
      </c>
      <c r="E21" s="113">
        <v>55.3</v>
      </c>
      <c r="F21" s="113"/>
    </row>
    <row r="22" spans="1:6" ht="26.4" x14ac:dyDescent="0.25">
      <c r="A22" s="113" t="s">
        <v>164</v>
      </c>
      <c r="B22" s="113">
        <v>88.9</v>
      </c>
      <c r="C22" s="113">
        <v>70</v>
      </c>
      <c r="D22" s="113">
        <v>55.3</v>
      </c>
      <c r="E22" s="113">
        <v>55.3</v>
      </c>
      <c r="F22" s="113"/>
    </row>
    <row r="23" spans="1:6" ht="26.4" x14ac:dyDescent="0.25">
      <c r="A23" s="113" t="s">
        <v>165</v>
      </c>
      <c r="B23" s="113">
        <v>72.8</v>
      </c>
      <c r="C23" s="113">
        <v>60.2</v>
      </c>
      <c r="D23" s="113">
        <v>46.2</v>
      </c>
      <c r="E23" s="113">
        <v>46.2</v>
      </c>
      <c r="F23" s="113"/>
    </row>
    <row r="24" spans="1:6" ht="26.4" x14ac:dyDescent="0.25">
      <c r="A24" s="113" t="s">
        <v>166</v>
      </c>
      <c r="B24" s="113">
        <v>91.7</v>
      </c>
      <c r="C24" s="113">
        <v>76.3</v>
      </c>
      <c r="D24" s="113">
        <v>61.6</v>
      </c>
      <c r="E24" s="113">
        <v>61.6</v>
      </c>
      <c r="F24" s="113"/>
    </row>
    <row r="25" spans="1:6" ht="26.4" x14ac:dyDescent="0.25">
      <c r="A25" s="113" t="s">
        <v>167</v>
      </c>
      <c r="B25" s="113">
        <v>79.099999999999994</v>
      </c>
      <c r="C25" s="113">
        <v>66.5</v>
      </c>
      <c r="D25" s="113">
        <v>52.5</v>
      </c>
      <c r="E25" s="113">
        <v>52.5</v>
      </c>
      <c r="F25" s="113"/>
    </row>
    <row r="26" spans="1:6" ht="26.4" x14ac:dyDescent="0.25">
      <c r="A26" s="113" t="s">
        <v>168</v>
      </c>
      <c r="B26" s="113">
        <v>44.1</v>
      </c>
      <c r="C26" s="113">
        <v>35</v>
      </c>
      <c r="D26" s="113">
        <v>30.1</v>
      </c>
      <c r="E26" s="113">
        <v>30.1</v>
      </c>
      <c r="F26" s="113"/>
    </row>
    <row r="27" spans="1:6" x14ac:dyDescent="0.25">
      <c r="A27" s="111" t="s">
        <v>169</v>
      </c>
    </row>
    <row r="28" spans="1:6" x14ac:dyDescent="0.25">
      <c r="A28" s="111" t="s">
        <v>170</v>
      </c>
    </row>
    <row r="29" spans="1:6" ht="52.8" x14ac:dyDescent="0.25">
      <c r="A29" s="112"/>
      <c r="B29" s="112" t="s">
        <v>171</v>
      </c>
      <c r="C29" s="112" t="s">
        <v>172</v>
      </c>
      <c r="D29" s="112" t="s">
        <v>173</v>
      </c>
    </row>
    <row r="30" spans="1:6" x14ac:dyDescent="0.25">
      <c r="A30" s="113" t="s">
        <v>328</v>
      </c>
      <c r="B30" s="113">
        <v>79.099999999999994</v>
      </c>
      <c r="C30" s="113">
        <v>166.6</v>
      </c>
      <c r="D30" s="113">
        <v>333.2</v>
      </c>
    </row>
    <row r="31" spans="1:6" ht="26.4" x14ac:dyDescent="0.25">
      <c r="A31" s="113" t="s">
        <v>159</v>
      </c>
      <c r="B31" s="113">
        <v>60.2</v>
      </c>
      <c r="C31" s="113">
        <v>136.5</v>
      </c>
      <c r="D31" s="113">
        <v>273</v>
      </c>
    </row>
    <row r="32" spans="1:6" x14ac:dyDescent="0.25">
      <c r="A32" s="113" t="s">
        <v>95</v>
      </c>
      <c r="B32" s="113">
        <v>40.6</v>
      </c>
      <c r="C32" s="113">
        <v>88.2</v>
      </c>
      <c r="D32" s="113">
        <v>176.4</v>
      </c>
    </row>
    <row r="33" spans="1:4" ht="26.4" x14ac:dyDescent="0.25">
      <c r="A33" s="113" t="s">
        <v>118</v>
      </c>
      <c r="B33" s="113">
        <v>46.9</v>
      </c>
      <c r="C33" s="113">
        <v>100.1</v>
      </c>
      <c r="D33" s="113">
        <v>199.5</v>
      </c>
    </row>
    <row r="34" spans="1:4" ht="26.4" x14ac:dyDescent="0.25">
      <c r="A34" s="113" t="s">
        <v>160</v>
      </c>
      <c r="B34" s="113">
        <v>23.8</v>
      </c>
      <c r="C34" s="113">
        <v>44.8</v>
      </c>
      <c r="D34" s="113">
        <v>89.6</v>
      </c>
    </row>
    <row r="35" spans="1:4" ht="26.4" x14ac:dyDescent="0.25">
      <c r="A35" s="113" t="s">
        <v>174</v>
      </c>
      <c r="B35" s="113">
        <v>20.3</v>
      </c>
      <c r="C35" s="113">
        <v>38.5</v>
      </c>
      <c r="D35" s="113">
        <v>76.3</v>
      </c>
    </row>
    <row r="36" spans="1:4" x14ac:dyDescent="0.25">
      <c r="A36" s="111" t="s">
        <v>175</v>
      </c>
    </row>
    <row r="37" spans="1:4" x14ac:dyDescent="0.25">
      <c r="A37" s="111" t="s">
        <v>176</v>
      </c>
    </row>
    <row r="38" spans="1:4" x14ac:dyDescent="0.25">
      <c r="A38" s="113"/>
      <c r="B38" s="113" t="s">
        <v>177</v>
      </c>
    </row>
    <row r="39" spans="1:4" x14ac:dyDescent="0.25">
      <c r="A39" s="113" t="s">
        <v>154</v>
      </c>
      <c r="B39" s="113">
        <v>29.58</v>
      </c>
    </row>
    <row r="40" spans="1:4" x14ac:dyDescent="0.25">
      <c r="A40" s="113" t="s">
        <v>155</v>
      </c>
      <c r="B40" s="113">
        <v>23.8</v>
      </c>
    </row>
    <row r="41" spans="1:4" x14ac:dyDescent="0.25">
      <c r="A41" s="113" t="s">
        <v>156</v>
      </c>
      <c r="B41" s="113">
        <v>14.35</v>
      </c>
    </row>
    <row r="42" spans="1:4" x14ac:dyDescent="0.25">
      <c r="A42" s="111" t="s">
        <v>178</v>
      </c>
    </row>
    <row r="43" spans="1:4" x14ac:dyDescent="0.25">
      <c r="A43" s="111" t="s">
        <v>179</v>
      </c>
    </row>
    <row r="44" spans="1:4" x14ac:dyDescent="0.25">
      <c r="A44" s="112"/>
      <c r="B44" s="112" t="s">
        <v>177</v>
      </c>
    </row>
    <row r="45" spans="1:4" ht="79.2" x14ac:dyDescent="0.25">
      <c r="A45" s="113" t="s">
        <v>180</v>
      </c>
      <c r="B45" s="113" t="s">
        <v>181</v>
      </c>
    </row>
    <row r="46" spans="1:4" ht="39.6" x14ac:dyDescent="0.25">
      <c r="A46" s="113" t="s">
        <v>182</v>
      </c>
      <c r="B46" s="113">
        <v>25</v>
      </c>
    </row>
    <row r="47" spans="1:4" ht="26.4" x14ac:dyDescent="0.25">
      <c r="A47" s="113" t="s">
        <v>183</v>
      </c>
      <c r="B47" s="113" t="s">
        <v>184</v>
      </c>
    </row>
    <row r="50" spans="1:16" s="43" customFormat="1" ht="26.4" hidden="1" x14ac:dyDescent="0.25">
      <c r="A50" s="114" t="s">
        <v>271</v>
      </c>
    </row>
    <row r="51" spans="1:16" hidden="1" x14ac:dyDescent="0.25">
      <c r="A51" s="44" t="s">
        <v>270</v>
      </c>
      <c r="B51" s="44" t="s">
        <v>263</v>
      </c>
      <c r="J51" s="52" t="s">
        <v>235</v>
      </c>
    </row>
    <row r="52" spans="1:16" ht="66" hidden="1" x14ac:dyDescent="0.25">
      <c r="A52" s="44" t="s">
        <v>264</v>
      </c>
      <c r="K52" s="60" t="s">
        <v>107</v>
      </c>
      <c r="L52" s="60" t="s">
        <v>239</v>
      </c>
      <c r="M52" s="104" t="s">
        <v>277</v>
      </c>
      <c r="N52" s="60" t="s">
        <v>108</v>
      </c>
      <c r="O52" s="60" t="s">
        <v>109</v>
      </c>
      <c r="P52" s="60" t="s">
        <v>110</v>
      </c>
    </row>
    <row r="53" spans="1:16" hidden="1" x14ac:dyDescent="0.25">
      <c r="A53" s="44" t="s">
        <v>265</v>
      </c>
      <c r="J53" s="45" t="s">
        <v>328</v>
      </c>
      <c r="K53" s="134">
        <f>B$71</f>
        <v>2856</v>
      </c>
      <c r="L53" s="135">
        <f>D$71</f>
        <v>1.63</v>
      </c>
      <c r="M53" s="135">
        <f>E$71</f>
        <v>6.53</v>
      </c>
      <c r="N53" s="134">
        <f>C$71</f>
        <v>979</v>
      </c>
      <c r="O53" s="102">
        <f>B126</f>
        <v>387</v>
      </c>
      <c r="P53" s="102">
        <f>C126</f>
        <v>414</v>
      </c>
    </row>
    <row r="54" spans="1:16" hidden="1" x14ac:dyDescent="0.25">
      <c r="A54" s="44" t="s">
        <v>266</v>
      </c>
      <c r="J54" s="44" t="s">
        <v>105</v>
      </c>
      <c r="K54" s="134">
        <f>B$83</f>
        <v>2142</v>
      </c>
      <c r="L54" s="135">
        <f>D$83</f>
        <v>1.23</v>
      </c>
      <c r="M54" s="135">
        <f>E$83</f>
        <v>4.9000000000000004</v>
      </c>
      <c r="N54" s="134">
        <f>C$83</f>
        <v>734</v>
      </c>
      <c r="O54" s="102">
        <f>B138</f>
        <v>331</v>
      </c>
      <c r="P54" s="102">
        <f>C138</f>
        <v>356</v>
      </c>
    </row>
    <row r="55" spans="1:16" hidden="1" x14ac:dyDescent="0.25">
      <c r="A55" s="44" t="s">
        <v>267</v>
      </c>
      <c r="J55" s="44" t="s">
        <v>104</v>
      </c>
      <c r="K55" s="134">
        <f>B$95</f>
        <v>1428</v>
      </c>
      <c r="L55" s="135">
        <f>D$95</f>
        <v>0.81</v>
      </c>
      <c r="M55" s="135">
        <f>E$95</f>
        <v>3.26</v>
      </c>
      <c r="N55" s="134">
        <f>C$95</f>
        <v>490</v>
      </c>
      <c r="O55" s="102">
        <f>B150</f>
        <v>221</v>
      </c>
      <c r="P55" s="102">
        <f>C150</f>
        <v>237</v>
      </c>
    </row>
    <row r="56" spans="1:16" hidden="1" x14ac:dyDescent="0.25">
      <c r="A56" s="44" t="s">
        <v>268</v>
      </c>
      <c r="J56" s="44" t="s">
        <v>106</v>
      </c>
      <c r="K56" s="134">
        <f>B$107</f>
        <v>1632</v>
      </c>
      <c r="L56" s="135">
        <f>D$107</f>
        <v>0.98</v>
      </c>
      <c r="M56" s="135">
        <f>E$107</f>
        <v>4.9000000000000004</v>
      </c>
      <c r="N56" s="134">
        <f>C$107</f>
        <v>530</v>
      </c>
      <c r="O56" s="102">
        <f>B162</f>
        <v>266</v>
      </c>
      <c r="P56" s="102">
        <f>C162</f>
        <v>285</v>
      </c>
    </row>
    <row r="57" spans="1:16" hidden="1" x14ac:dyDescent="0.25"/>
    <row r="58" spans="1:16" hidden="1" x14ac:dyDescent="0.25">
      <c r="A58" s="57" t="s">
        <v>272</v>
      </c>
      <c r="B58" s="44" t="s">
        <v>273</v>
      </c>
      <c r="C58" s="44" t="s">
        <v>274</v>
      </c>
      <c r="D58" s="44" t="s">
        <v>275</v>
      </c>
      <c r="E58" s="44" t="s">
        <v>276</v>
      </c>
    </row>
    <row r="59" spans="1:16" hidden="1" x14ac:dyDescent="0.25">
      <c r="A59" s="44" t="s">
        <v>269</v>
      </c>
    </row>
    <row r="60" spans="1:16" hidden="1" x14ac:dyDescent="0.25">
      <c r="A60" s="44" t="s">
        <v>328</v>
      </c>
    </row>
    <row r="61" spans="1:16" hidden="1" x14ac:dyDescent="0.25">
      <c r="A61" s="44" t="s">
        <v>251</v>
      </c>
      <c r="B61" s="110">
        <v>2856</v>
      </c>
      <c r="C61" s="44">
        <v>979</v>
      </c>
      <c r="D61" s="44">
        <v>1.63</v>
      </c>
      <c r="E61" s="44">
        <v>6.53</v>
      </c>
    </row>
    <row r="62" spans="1:16" hidden="1" x14ac:dyDescent="0.25">
      <c r="A62" s="44" t="s">
        <v>252</v>
      </c>
      <c r="B62" s="110">
        <v>2529</v>
      </c>
      <c r="C62" s="44">
        <v>857</v>
      </c>
      <c r="D62" s="44">
        <v>1.63</v>
      </c>
      <c r="E62" s="44">
        <v>6.53</v>
      </c>
    </row>
    <row r="63" spans="1:16" hidden="1" x14ac:dyDescent="0.25">
      <c r="A63" s="44" t="s">
        <v>253</v>
      </c>
      <c r="B63" s="110">
        <v>1968</v>
      </c>
      <c r="C63" s="44">
        <v>816</v>
      </c>
      <c r="D63" s="44">
        <v>1.63</v>
      </c>
      <c r="E63" s="44">
        <v>6.53</v>
      </c>
    </row>
    <row r="64" spans="1:16" hidden="1" x14ac:dyDescent="0.25">
      <c r="A64" s="44" t="s">
        <v>254</v>
      </c>
      <c r="B64" s="110">
        <v>2284</v>
      </c>
      <c r="C64" s="44">
        <v>816</v>
      </c>
      <c r="D64" s="44">
        <v>1.63</v>
      </c>
      <c r="E64" s="44">
        <v>6.53</v>
      </c>
    </row>
    <row r="65" spans="1:5" hidden="1" x14ac:dyDescent="0.25">
      <c r="A65" s="44" t="s">
        <v>255</v>
      </c>
      <c r="B65" s="110">
        <v>1514</v>
      </c>
      <c r="C65" s="44">
        <v>612</v>
      </c>
      <c r="D65" s="44">
        <v>1.63</v>
      </c>
      <c r="E65" s="44">
        <v>6.53</v>
      </c>
    </row>
    <row r="66" spans="1:5" hidden="1" x14ac:dyDescent="0.25">
      <c r="A66" s="44" t="s">
        <v>256</v>
      </c>
      <c r="B66" s="110">
        <v>1514</v>
      </c>
      <c r="C66" s="44">
        <v>612</v>
      </c>
      <c r="D66" s="44">
        <v>1.63</v>
      </c>
      <c r="E66" s="44">
        <v>6.53</v>
      </c>
    </row>
    <row r="67" spans="1:5" hidden="1" x14ac:dyDescent="0.25">
      <c r="A67" s="44" t="s">
        <v>257</v>
      </c>
      <c r="B67" s="110">
        <v>1514</v>
      </c>
      <c r="C67" s="44">
        <v>612</v>
      </c>
      <c r="D67" s="44">
        <v>1.63</v>
      </c>
      <c r="E67" s="44">
        <v>6.53</v>
      </c>
    </row>
    <row r="68" spans="1:5" hidden="1" x14ac:dyDescent="0.25">
      <c r="A68" s="44" t="s">
        <v>258</v>
      </c>
      <c r="B68" s="110">
        <v>1903</v>
      </c>
      <c r="C68" s="44">
        <v>816</v>
      </c>
      <c r="D68" s="44">
        <v>1.63</v>
      </c>
      <c r="E68" s="44">
        <v>6.53</v>
      </c>
    </row>
    <row r="69" spans="1:5" hidden="1" x14ac:dyDescent="0.25">
      <c r="A69" s="44" t="s">
        <v>259</v>
      </c>
      <c r="B69" s="110">
        <v>2122</v>
      </c>
      <c r="C69" s="44">
        <v>816</v>
      </c>
      <c r="D69" s="44">
        <v>1.63</v>
      </c>
      <c r="E69" s="44">
        <v>6.53</v>
      </c>
    </row>
    <row r="70" spans="1:5" hidden="1" x14ac:dyDescent="0.25">
      <c r="A70" s="44" t="s">
        <v>260</v>
      </c>
      <c r="B70" s="110">
        <v>2856</v>
      </c>
      <c r="C70" s="44">
        <v>979</v>
      </c>
      <c r="D70" s="44">
        <v>1.63</v>
      </c>
      <c r="E70" s="44">
        <v>6.53</v>
      </c>
    </row>
    <row r="71" spans="1:5" hidden="1" x14ac:dyDescent="0.25">
      <c r="A71" s="44" t="s">
        <v>261</v>
      </c>
      <c r="B71" s="110">
        <v>2856</v>
      </c>
      <c r="C71" s="44">
        <v>979</v>
      </c>
      <c r="D71" s="44">
        <v>1.63</v>
      </c>
      <c r="E71" s="44">
        <v>6.53</v>
      </c>
    </row>
    <row r="72" spans="1:5" hidden="1" x14ac:dyDescent="0.25">
      <c r="A72" s="44" t="s">
        <v>248</v>
      </c>
    </row>
    <row r="73" spans="1:5" hidden="1" x14ac:dyDescent="0.25">
      <c r="A73" s="44" t="s">
        <v>251</v>
      </c>
      <c r="B73" s="110">
        <v>2142</v>
      </c>
      <c r="C73" s="44">
        <v>734</v>
      </c>
      <c r="D73" s="44">
        <v>1.23</v>
      </c>
      <c r="E73" s="44">
        <v>4.9000000000000004</v>
      </c>
    </row>
    <row r="74" spans="1:5" hidden="1" x14ac:dyDescent="0.25">
      <c r="A74" s="44" t="s">
        <v>252</v>
      </c>
      <c r="B74" s="110">
        <v>1897</v>
      </c>
      <c r="C74" s="44">
        <v>643</v>
      </c>
      <c r="D74" s="44">
        <v>1.23</v>
      </c>
      <c r="E74" s="44">
        <v>4.9000000000000004</v>
      </c>
    </row>
    <row r="75" spans="1:5" hidden="1" x14ac:dyDescent="0.25">
      <c r="A75" s="44" t="s">
        <v>253</v>
      </c>
      <c r="B75" s="110">
        <v>1476</v>
      </c>
      <c r="C75" s="44">
        <v>612</v>
      </c>
      <c r="D75" s="44">
        <v>1.23</v>
      </c>
      <c r="E75" s="44">
        <v>4.9000000000000004</v>
      </c>
    </row>
    <row r="76" spans="1:5" hidden="1" x14ac:dyDescent="0.25">
      <c r="A76" s="44" t="s">
        <v>254</v>
      </c>
      <c r="B76" s="110">
        <v>1714</v>
      </c>
      <c r="C76" s="44">
        <v>612</v>
      </c>
      <c r="D76" s="44">
        <v>1.23</v>
      </c>
      <c r="E76" s="44">
        <v>4.9000000000000004</v>
      </c>
    </row>
    <row r="77" spans="1:5" hidden="1" x14ac:dyDescent="0.25">
      <c r="A77" s="44" t="s">
        <v>255</v>
      </c>
      <c r="B77" s="110">
        <v>1136</v>
      </c>
      <c r="C77" s="44">
        <v>459</v>
      </c>
      <c r="D77" s="44">
        <v>1.23</v>
      </c>
      <c r="E77" s="44">
        <v>4.9000000000000004</v>
      </c>
    </row>
    <row r="78" spans="1:5" hidden="1" x14ac:dyDescent="0.25">
      <c r="A78" s="44" t="s">
        <v>256</v>
      </c>
      <c r="B78" s="110">
        <v>1136</v>
      </c>
      <c r="C78" s="44">
        <v>459</v>
      </c>
      <c r="D78" s="44">
        <v>1.23</v>
      </c>
      <c r="E78" s="44">
        <v>4.9000000000000004</v>
      </c>
    </row>
    <row r="79" spans="1:5" hidden="1" x14ac:dyDescent="0.25">
      <c r="A79" s="44" t="s">
        <v>257</v>
      </c>
      <c r="B79" s="110">
        <v>1136</v>
      </c>
      <c r="C79" s="44">
        <v>459</v>
      </c>
      <c r="D79" s="44">
        <v>1.23</v>
      </c>
      <c r="E79" s="44">
        <v>4.9000000000000004</v>
      </c>
    </row>
    <row r="80" spans="1:5" hidden="1" x14ac:dyDescent="0.25">
      <c r="A80" s="44" t="s">
        <v>258</v>
      </c>
      <c r="B80" s="110">
        <v>1427</v>
      </c>
      <c r="C80" s="44">
        <v>612</v>
      </c>
      <c r="D80" s="44">
        <v>1.23</v>
      </c>
      <c r="E80" s="44">
        <v>4.9000000000000004</v>
      </c>
    </row>
    <row r="81" spans="1:5" hidden="1" x14ac:dyDescent="0.25">
      <c r="A81" s="44" t="s">
        <v>259</v>
      </c>
      <c r="B81" s="110">
        <v>1592</v>
      </c>
      <c r="C81" s="44">
        <v>612</v>
      </c>
      <c r="D81" s="44">
        <v>1.23</v>
      </c>
      <c r="E81" s="44">
        <v>4.9000000000000004</v>
      </c>
    </row>
    <row r="82" spans="1:5" hidden="1" x14ac:dyDescent="0.25">
      <c r="A82" s="44" t="s">
        <v>260</v>
      </c>
      <c r="B82" s="110">
        <v>2142</v>
      </c>
      <c r="C82" s="44">
        <v>734</v>
      </c>
      <c r="D82" s="44">
        <v>1.23</v>
      </c>
      <c r="E82" s="44">
        <v>4.9000000000000004</v>
      </c>
    </row>
    <row r="83" spans="1:5" hidden="1" x14ac:dyDescent="0.25">
      <c r="A83" s="44" t="s">
        <v>261</v>
      </c>
      <c r="B83" s="110">
        <v>2142</v>
      </c>
      <c r="C83" s="44">
        <v>734</v>
      </c>
      <c r="D83" s="44">
        <v>1.23</v>
      </c>
      <c r="E83" s="44">
        <v>4.9000000000000004</v>
      </c>
    </row>
    <row r="84" spans="1:5" hidden="1" x14ac:dyDescent="0.25">
      <c r="A84" s="44" t="s">
        <v>249</v>
      </c>
    </row>
    <row r="85" spans="1:5" hidden="1" x14ac:dyDescent="0.25">
      <c r="A85" s="44" t="s">
        <v>251</v>
      </c>
      <c r="B85" s="110">
        <v>1632</v>
      </c>
      <c r="C85" s="44">
        <v>490</v>
      </c>
      <c r="D85" s="44">
        <v>0.81</v>
      </c>
      <c r="E85" s="44">
        <v>3.26</v>
      </c>
    </row>
    <row r="86" spans="1:5" hidden="1" x14ac:dyDescent="0.25">
      <c r="A86" s="44" t="s">
        <v>252</v>
      </c>
      <c r="B86" s="110">
        <v>1265</v>
      </c>
      <c r="C86" s="44">
        <v>428</v>
      </c>
      <c r="D86" s="44">
        <v>0.81</v>
      </c>
      <c r="E86" s="44">
        <v>3.26</v>
      </c>
    </row>
    <row r="87" spans="1:5" hidden="1" x14ac:dyDescent="0.25">
      <c r="A87" s="44" t="s">
        <v>253</v>
      </c>
      <c r="B87" s="44">
        <v>898</v>
      </c>
      <c r="C87" s="44">
        <v>408</v>
      </c>
      <c r="D87" s="44">
        <v>0.81</v>
      </c>
      <c r="E87" s="44">
        <v>3.26</v>
      </c>
    </row>
    <row r="88" spans="1:5" hidden="1" x14ac:dyDescent="0.25">
      <c r="A88" s="44" t="s">
        <v>254</v>
      </c>
      <c r="B88" s="110">
        <v>1125</v>
      </c>
      <c r="C88" s="44">
        <v>408</v>
      </c>
      <c r="D88" s="44">
        <v>0.81</v>
      </c>
      <c r="E88" s="44">
        <v>3.26</v>
      </c>
    </row>
    <row r="89" spans="1:5" hidden="1" x14ac:dyDescent="0.25">
      <c r="A89" s="44" t="s">
        <v>255</v>
      </c>
      <c r="B89" s="44">
        <v>694</v>
      </c>
      <c r="C89" s="44">
        <v>306</v>
      </c>
      <c r="D89" s="44">
        <v>0.81</v>
      </c>
      <c r="E89" s="44">
        <v>3.26</v>
      </c>
    </row>
    <row r="90" spans="1:5" hidden="1" x14ac:dyDescent="0.25">
      <c r="A90" s="44" t="s">
        <v>256</v>
      </c>
      <c r="B90" s="44">
        <v>694</v>
      </c>
      <c r="C90" s="44">
        <v>306</v>
      </c>
      <c r="D90" s="44">
        <v>0.81</v>
      </c>
      <c r="E90" s="44">
        <v>3.26</v>
      </c>
    </row>
    <row r="91" spans="1:5" hidden="1" x14ac:dyDescent="0.25">
      <c r="A91" s="44" t="s">
        <v>257</v>
      </c>
      <c r="B91" s="44">
        <v>694</v>
      </c>
      <c r="C91" s="44">
        <v>306</v>
      </c>
      <c r="D91" s="44">
        <v>0.81</v>
      </c>
      <c r="E91" s="44">
        <v>3.26</v>
      </c>
    </row>
    <row r="92" spans="1:5" hidden="1" x14ac:dyDescent="0.25">
      <c r="A92" s="44" t="s">
        <v>258</v>
      </c>
      <c r="B92" s="44">
        <v>816</v>
      </c>
      <c r="C92" s="44">
        <v>408</v>
      </c>
      <c r="D92" s="44">
        <v>0.81</v>
      </c>
      <c r="E92" s="44">
        <v>3.26</v>
      </c>
    </row>
    <row r="93" spans="1:5" hidden="1" x14ac:dyDescent="0.25">
      <c r="A93" s="44" t="s">
        <v>259</v>
      </c>
      <c r="B93" s="44">
        <v>979</v>
      </c>
      <c r="C93" s="44">
        <v>408</v>
      </c>
      <c r="D93" s="44">
        <v>0.81</v>
      </c>
      <c r="E93" s="44">
        <v>3.26</v>
      </c>
    </row>
    <row r="94" spans="1:5" hidden="1" x14ac:dyDescent="0.25">
      <c r="A94" s="44" t="s">
        <v>260</v>
      </c>
      <c r="B94" s="110">
        <v>1632</v>
      </c>
      <c r="C94" s="44">
        <v>490</v>
      </c>
      <c r="D94" s="44">
        <v>0.81</v>
      </c>
      <c r="E94" s="44">
        <v>3.26</v>
      </c>
    </row>
    <row r="95" spans="1:5" hidden="1" x14ac:dyDescent="0.25">
      <c r="A95" s="44" t="s">
        <v>261</v>
      </c>
      <c r="B95" s="110">
        <v>1428</v>
      </c>
      <c r="C95" s="44">
        <v>490</v>
      </c>
      <c r="D95" s="44">
        <v>0.81</v>
      </c>
      <c r="E95" s="44">
        <v>3.26</v>
      </c>
    </row>
    <row r="96" spans="1:5" hidden="1" x14ac:dyDescent="0.25">
      <c r="A96" s="44" t="s">
        <v>250</v>
      </c>
    </row>
    <row r="97" spans="1:5" hidden="1" x14ac:dyDescent="0.25">
      <c r="A97" s="44" t="s">
        <v>251</v>
      </c>
      <c r="B97" s="110">
        <v>1632</v>
      </c>
      <c r="C97" s="44">
        <v>530</v>
      </c>
      <c r="D97" s="44">
        <v>0.98</v>
      </c>
      <c r="E97" s="44">
        <v>4.9000000000000004</v>
      </c>
    </row>
    <row r="98" spans="1:5" hidden="1" x14ac:dyDescent="0.25">
      <c r="A98" s="44" t="s">
        <v>252</v>
      </c>
      <c r="B98" s="110">
        <v>1305</v>
      </c>
      <c r="C98" s="44">
        <v>469</v>
      </c>
      <c r="D98" s="44">
        <v>0.98</v>
      </c>
      <c r="E98" s="44">
        <v>4.9000000000000004</v>
      </c>
    </row>
    <row r="99" spans="1:5" hidden="1" x14ac:dyDescent="0.25">
      <c r="A99" s="44" t="s">
        <v>253</v>
      </c>
      <c r="B99" s="44">
        <v>898</v>
      </c>
      <c r="C99" s="44">
        <v>408</v>
      </c>
      <c r="D99" s="44">
        <v>0.98</v>
      </c>
      <c r="E99" s="44">
        <v>4.9000000000000004</v>
      </c>
    </row>
    <row r="100" spans="1:5" hidden="1" x14ac:dyDescent="0.25">
      <c r="A100" s="44" t="s">
        <v>254</v>
      </c>
      <c r="B100" s="110">
        <v>1125</v>
      </c>
      <c r="C100" s="44">
        <v>408</v>
      </c>
      <c r="D100" s="44">
        <v>0.98</v>
      </c>
      <c r="E100" s="44">
        <v>4.9000000000000004</v>
      </c>
    </row>
    <row r="101" spans="1:5" hidden="1" x14ac:dyDescent="0.25">
      <c r="A101" s="44" t="s">
        <v>255</v>
      </c>
      <c r="B101" s="44">
        <v>653</v>
      </c>
      <c r="C101" s="44">
        <v>326</v>
      </c>
      <c r="D101" s="44">
        <v>0.98</v>
      </c>
      <c r="E101" s="44">
        <v>4.9000000000000004</v>
      </c>
    </row>
    <row r="102" spans="1:5" hidden="1" x14ac:dyDescent="0.25">
      <c r="A102" s="44" t="s">
        <v>256</v>
      </c>
      <c r="B102" s="44">
        <v>694</v>
      </c>
      <c r="C102" s="44">
        <v>326</v>
      </c>
      <c r="D102" s="44">
        <v>0.98</v>
      </c>
      <c r="E102" s="44">
        <v>4.9000000000000004</v>
      </c>
    </row>
    <row r="103" spans="1:5" hidden="1" x14ac:dyDescent="0.25">
      <c r="A103" s="44" t="s">
        <v>257</v>
      </c>
      <c r="B103" s="44">
        <v>694</v>
      </c>
      <c r="C103" s="44">
        <v>326</v>
      </c>
      <c r="D103" s="44">
        <v>0.98</v>
      </c>
      <c r="E103" s="44">
        <v>4.9000000000000004</v>
      </c>
    </row>
    <row r="104" spans="1:5" hidden="1" x14ac:dyDescent="0.25">
      <c r="A104" s="44" t="s">
        <v>258</v>
      </c>
      <c r="B104" s="44">
        <v>816</v>
      </c>
      <c r="C104" s="44">
        <v>408</v>
      </c>
      <c r="D104" s="44">
        <v>0.98</v>
      </c>
      <c r="E104" s="44">
        <v>4.9000000000000004</v>
      </c>
    </row>
    <row r="105" spans="1:5" hidden="1" x14ac:dyDescent="0.25">
      <c r="A105" s="44" t="s">
        <v>259</v>
      </c>
      <c r="B105" s="44">
        <v>979</v>
      </c>
      <c r="C105" s="44">
        <v>408</v>
      </c>
      <c r="D105" s="44">
        <v>0.98</v>
      </c>
      <c r="E105" s="44">
        <v>4.9000000000000004</v>
      </c>
    </row>
    <row r="106" spans="1:5" hidden="1" x14ac:dyDescent="0.25">
      <c r="A106" s="44" t="s">
        <v>260</v>
      </c>
      <c r="B106" s="110">
        <v>1632</v>
      </c>
      <c r="C106" s="44">
        <v>530</v>
      </c>
      <c r="D106" s="44">
        <v>0.98</v>
      </c>
      <c r="E106" s="44">
        <v>4.9000000000000004</v>
      </c>
    </row>
    <row r="107" spans="1:5" hidden="1" x14ac:dyDescent="0.25">
      <c r="A107" s="44" t="s">
        <v>261</v>
      </c>
      <c r="B107" s="110">
        <v>1632</v>
      </c>
      <c r="C107" s="44">
        <v>530</v>
      </c>
      <c r="D107" s="44">
        <v>0.98</v>
      </c>
      <c r="E107" s="44">
        <v>4.9000000000000004</v>
      </c>
    </row>
    <row r="108" spans="1:5" hidden="1" x14ac:dyDescent="0.25"/>
    <row r="109" spans="1:5" hidden="1" x14ac:dyDescent="0.25">
      <c r="A109" s="44" t="s">
        <v>262</v>
      </c>
      <c r="B109" s="44" t="s">
        <v>263</v>
      </c>
    </row>
    <row r="110" spans="1:5" hidden="1" x14ac:dyDescent="0.25">
      <c r="A110" s="44" t="s">
        <v>243</v>
      </c>
    </row>
    <row r="111" spans="1:5" hidden="1" x14ac:dyDescent="0.25">
      <c r="A111" s="44" t="s">
        <v>244</v>
      </c>
    </row>
    <row r="112" spans="1:5" hidden="1" x14ac:dyDescent="0.25">
      <c r="A112" s="44" t="s">
        <v>245</v>
      </c>
    </row>
    <row r="113" spans="1:3" hidden="1" x14ac:dyDescent="0.25">
      <c r="A113" s="44" t="s">
        <v>246</v>
      </c>
    </row>
    <row r="114" spans="1:3" hidden="1" x14ac:dyDescent="0.25">
      <c r="A114" s="44" t="s">
        <v>247</v>
      </c>
    </row>
    <row r="115" spans="1:3" hidden="1" x14ac:dyDescent="0.25">
      <c r="A115" s="44" t="s">
        <v>328</v>
      </c>
    </row>
    <row r="116" spans="1:3" hidden="1" x14ac:dyDescent="0.25">
      <c r="A116" s="44" t="s">
        <v>251</v>
      </c>
      <c r="B116" s="44">
        <v>387</v>
      </c>
      <c r="C116" s="44">
        <v>414</v>
      </c>
    </row>
    <row r="117" spans="1:3" hidden="1" x14ac:dyDescent="0.25">
      <c r="A117" s="44" t="s">
        <v>252</v>
      </c>
      <c r="B117" s="44">
        <v>387</v>
      </c>
      <c r="C117" s="44">
        <v>414</v>
      </c>
    </row>
    <row r="118" spans="1:3" hidden="1" x14ac:dyDescent="0.25">
      <c r="A118" s="44" t="s">
        <v>253</v>
      </c>
      <c r="B118" s="44">
        <v>387</v>
      </c>
      <c r="C118" s="44">
        <v>414</v>
      </c>
    </row>
    <row r="119" spans="1:3" hidden="1" x14ac:dyDescent="0.25">
      <c r="A119" s="44" t="s">
        <v>254</v>
      </c>
      <c r="B119" s="44">
        <v>387</v>
      </c>
      <c r="C119" s="44">
        <v>414</v>
      </c>
    </row>
    <row r="120" spans="1:3" hidden="1" x14ac:dyDescent="0.25">
      <c r="A120" s="44" t="s">
        <v>255</v>
      </c>
      <c r="B120" s="44">
        <v>387</v>
      </c>
      <c r="C120" s="44">
        <v>414</v>
      </c>
    </row>
    <row r="121" spans="1:3" hidden="1" x14ac:dyDescent="0.25">
      <c r="A121" s="44" t="s">
        <v>256</v>
      </c>
      <c r="B121" s="44">
        <v>387</v>
      </c>
      <c r="C121" s="44">
        <v>414</v>
      </c>
    </row>
    <row r="122" spans="1:3" hidden="1" x14ac:dyDescent="0.25">
      <c r="A122" s="44" t="s">
        <v>257</v>
      </c>
      <c r="B122" s="44">
        <v>387</v>
      </c>
      <c r="C122" s="44">
        <v>414</v>
      </c>
    </row>
    <row r="123" spans="1:3" hidden="1" x14ac:dyDescent="0.25">
      <c r="A123" s="44" t="s">
        <v>258</v>
      </c>
      <c r="B123" s="44">
        <v>387</v>
      </c>
      <c r="C123" s="44">
        <v>414</v>
      </c>
    </row>
    <row r="124" spans="1:3" hidden="1" x14ac:dyDescent="0.25">
      <c r="A124" s="44" t="s">
        <v>259</v>
      </c>
      <c r="B124" s="44">
        <v>387</v>
      </c>
      <c r="C124" s="44">
        <v>414</v>
      </c>
    </row>
    <row r="125" spans="1:3" hidden="1" x14ac:dyDescent="0.25">
      <c r="A125" s="44" t="s">
        <v>260</v>
      </c>
      <c r="B125" s="44">
        <v>387</v>
      </c>
      <c r="C125" s="44">
        <v>414</v>
      </c>
    </row>
    <row r="126" spans="1:3" hidden="1" x14ac:dyDescent="0.25">
      <c r="A126" s="44" t="s">
        <v>261</v>
      </c>
      <c r="B126" s="44">
        <v>387</v>
      </c>
      <c r="C126" s="44">
        <v>414</v>
      </c>
    </row>
    <row r="127" spans="1:3" hidden="1" x14ac:dyDescent="0.25">
      <c r="A127" s="44" t="s">
        <v>248</v>
      </c>
    </row>
    <row r="128" spans="1:3" hidden="1" x14ac:dyDescent="0.25">
      <c r="A128" s="44" t="s">
        <v>251</v>
      </c>
      <c r="B128" s="44">
        <v>331</v>
      </c>
      <c r="C128" s="44">
        <v>356</v>
      </c>
    </row>
    <row r="129" spans="1:3" hidden="1" x14ac:dyDescent="0.25">
      <c r="A129" s="44" t="s">
        <v>252</v>
      </c>
      <c r="B129" s="44">
        <v>331</v>
      </c>
      <c r="C129" s="44">
        <v>356</v>
      </c>
    </row>
    <row r="130" spans="1:3" hidden="1" x14ac:dyDescent="0.25">
      <c r="A130" s="44" t="s">
        <v>253</v>
      </c>
      <c r="B130" s="44">
        <v>331</v>
      </c>
      <c r="C130" s="44">
        <v>356</v>
      </c>
    </row>
    <row r="131" spans="1:3" hidden="1" x14ac:dyDescent="0.25">
      <c r="A131" s="44" t="s">
        <v>254</v>
      </c>
      <c r="B131" s="44">
        <v>331</v>
      </c>
      <c r="C131" s="44">
        <v>356</v>
      </c>
    </row>
    <row r="132" spans="1:3" hidden="1" x14ac:dyDescent="0.25">
      <c r="A132" s="44" t="s">
        <v>255</v>
      </c>
      <c r="B132" s="44">
        <v>331</v>
      </c>
      <c r="C132" s="44">
        <v>356</v>
      </c>
    </row>
    <row r="133" spans="1:3" hidden="1" x14ac:dyDescent="0.25">
      <c r="A133" s="44" t="s">
        <v>256</v>
      </c>
      <c r="B133" s="44">
        <v>331</v>
      </c>
      <c r="C133" s="44">
        <v>356</v>
      </c>
    </row>
    <row r="134" spans="1:3" hidden="1" x14ac:dyDescent="0.25">
      <c r="A134" s="44" t="s">
        <v>257</v>
      </c>
      <c r="B134" s="44">
        <v>331</v>
      </c>
      <c r="C134" s="44">
        <v>356</v>
      </c>
    </row>
    <row r="135" spans="1:3" hidden="1" x14ac:dyDescent="0.25">
      <c r="A135" s="44" t="s">
        <v>258</v>
      </c>
      <c r="B135" s="44">
        <v>331</v>
      </c>
      <c r="C135" s="44">
        <v>356</v>
      </c>
    </row>
    <row r="136" spans="1:3" hidden="1" x14ac:dyDescent="0.25">
      <c r="A136" s="44" t="s">
        <v>259</v>
      </c>
      <c r="B136" s="44">
        <v>331</v>
      </c>
      <c r="C136" s="44">
        <v>356</v>
      </c>
    </row>
    <row r="137" spans="1:3" hidden="1" x14ac:dyDescent="0.25">
      <c r="A137" s="44" t="s">
        <v>260</v>
      </c>
      <c r="B137" s="44">
        <v>331</v>
      </c>
      <c r="C137" s="44">
        <v>356</v>
      </c>
    </row>
    <row r="138" spans="1:3" hidden="1" x14ac:dyDescent="0.25">
      <c r="A138" s="44" t="s">
        <v>261</v>
      </c>
      <c r="B138" s="44">
        <v>331</v>
      </c>
      <c r="C138" s="44">
        <v>356</v>
      </c>
    </row>
    <row r="139" spans="1:3" hidden="1" x14ac:dyDescent="0.25">
      <c r="A139" s="44" t="s">
        <v>249</v>
      </c>
    </row>
    <row r="140" spans="1:3" hidden="1" x14ac:dyDescent="0.25">
      <c r="A140" s="44" t="s">
        <v>251</v>
      </c>
      <c r="B140" s="44">
        <v>221</v>
      </c>
      <c r="C140" s="44">
        <v>237</v>
      </c>
    </row>
    <row r="141" spans="1:3" hidden="1" x14ac:dyDescent="0.25">
      <c r="A141" s="44" t="s">
        <v>252</v>
      </c>
      <c r="B141" s="44">
        <v>221</v>
      </c>
      <c r="C141" s="44">
        <v>237</v>
      </c>
    </row>
    <row r="142" spans="1:3" hidden="1" x14ac:dyDescent="0.25">
      <c r="A142" s="44" t="s">
        <v>253</v>
      </c>
      <c r="B142" s="44">
        <v>221</v>
      </c>
      <c r="C142" s="44">
        <v>237</v>
      </c>
    </row>
    <row r="143" spans="1:3" hidden="1" x14ac:dyDescent="0.25">
      <c r="A143" s="44" t="s">
        <v>254</v>
      </c>
      <c r="B143" s="44">
        <v>221</v>
      </c>
      <c r="C143" s="44">
        <v>237</v>
      </c>
    </row>
    <row r="144" spans="1:3" hidden="1" x14ac:dyDescent="0.25">
      <c r="A144" s="44" t="s">
        <v>255</v>
      </c>
      <c r="B144" s="44">
        <v>221</v>
      </c>
      <c r="C144" s="44">
        <v>237</v>
      </c>
    </row>
    <row r="145" spans="1:3" hidden="1" x14ac:dyDescent="0.25">
      <c r="A145" s="44" t="s">
        <v>256</v>
      </c>
      <c r="B145" s="44">
        <v>221</v>
      </c>
      <c r="C145" s="44">
        <v>237</v>
      </c>
    </row>
    <row r="146" spans="1:3" hidden="1" x14ac:dyDescent="0.25">
      <c r="A146" s="44" t="s">
        <v>257</v>
      </c>
      <c r="B146" s="44">
        <v>221</v>
      </c>
      <c r="C146" s="44">
        <v>237</v>
      </c>
    </row>
    <row r="147" spans="1:3" hidden="1" x14ac:dyDescent="0.25">
      <c r="A147" s="44" t="s">
        <v>258</v>
      </c>
      <c r="B147" s="44">
        <v>221</v>
      </c>
      <c r="C147" s="44">
        <v>237</v>
      </c>
    </row>
    <row r="148" spans="1:3" hidden="1" x14ac:dyDescent="0.25">
      <c r="A148" s="44" t="s">
        <v>259</v>
      </c>
      <c r="B148" s="44">
        <v>221</v>
      </c>
      <c r="C148" s="44">
        <v>237</v>
      </c>
    </row>
    <row r="149" spans="1:3" hidden="1" x14ac:dyDescent="0.25">
      <c r="A149" s="44" t="s">
        <v>260</v>
      </c>
      <c r="B149" s="44">
        <v>221</v>
      </c>
      <c r="C149" s="44">
        <v>237</v>
      </c>
    </row>
    <row r="150" spans="1:3" hidden="1" x14ac:dyDescent="0.25">
      <c r="A150" s="44" t="s">
        <v>261</v>
      </c>
      <c r="B150" s="44">
        <v>221</v>
      </c>
      <c r="C150" s="44">
        <v>237</v>
      </c>
    </row>
    <row r="151" spans="1:3" hidden="1" x14ac:dyDescent="0.25">
      <c r="A151" s="44" t="s">
        <v>250</v>
      </c>
    </row>
    <row r="152" spans="1:3" hidden="1" x14ac:dyDescent="0.25">
      <c r="A152" s="44" t="s">
        <v>251</v>
      </c>
      <c r="B152" s="44">
        <v>266</v>
      </c>
      <c r="C152" s="44">
        <v>285</v>
      </c>
    </row>
    <row r="153" spans="1:3" hidden="1" x14ac:dyDescent="0.25">
      <c r="A153" s="44" t="s">
        <v>252</v>
      </c>
      <c r="B153" s="44">
        <v>247</v>
      </c>
      <c r="C153" s="44">
        <v>265</v>
      </c>
    </row>
    <row r="154" spans="1:3" hidden="1" x14ac:dyDescent="0.25">
      <c r="A154" s="44" t="s">
        <v>253</v>
      </c>
      <c r="B154" s="44">
        <v>247</v>
      </c>
      <c r="C154" s="44">
        <v>265</v>
      </c>
    </row>
    <row r="155" spans="1:3" hidden="1" x14ac:dyDescent="0.25">
      <c r="A155" s="44" t="s">
        <v>254</v>
      </c>
      <c r="B155" s="44">
        <v>266</v>
      </c>
      <c r="C155" s="44">
        <v>285</v>
      </c>
    </row>
    <row r="156" spans="1:3" hidden="1" x14ac:dyDescent="0.25">
      <c r="A156" s="44" t="s">
        <v>255</v>
      </c>
      <c r="B156" s="44">
        <v>225</v>
      </c>
      <c r="C156" s="44">
        <v>241</v>
      </c>
    </row>
    <row r="157" spans="1:3" hidden="1" x14ac:dyDescent="0.25">
      <c r="A157" s="44" t="s">
        <v>256</v>
      </c>
      <c r="B157" s="44">
        <v>225</v>
      </c>
      <c r="C157" s="44">
        <v>241</v>
      </c>
    </row>
    <row r="158" spans="1:3" hidden="1" x14ac:dyDescent="0.25">
      <c r="A158" s="44" t="s">
        <v>257</v>
      </c>
      <c r="B158" s="44">
        <v>225</v>
      </c>
      <c r="C158" s="44">
        <v>241</v>
      </c>
    </row>
    <row r="159" spans="1:3" hidden="1" x14ac:dyDescent="0.25">
      <c r="A159" s="44" t="s">
        <v>258</v>
      </c>
      <c r="B159" s="44">
        <v>247</v>
      </c>
      <c r="C159" s="44">
        <v>265</v>
      </c>
    </row>
    <row r="160" spans="1:3" hidden="1" x14ac:dyDescent="0.25">
      <c r="A160" s="44" t="s">
        <v>259</v>
      </c>
      <c r="B160" s="44">
        <v>247</v>
      </c>
      <c r="C160" s="44">
        <v>265</v>
      </c>
    </row>
    <row r="161" spans="1:3" hidden="1" x14ac:dyDescent="0.25">
      <c r="A161" s="44" t="s">
        <v>260</v>
      </c>
      <c r="B161" s="44">
        <v>266</v>
      </c>
      <c r="C161" s="44">
        <v>285</v>
      </c>
    </row>
    <row r="162" spans="1:3" hidden="1" x14ac:dyDescent="0.25">
      <c r="A162" s="44" t="s">
        <v>261</v>
      </c>
      <c r="B162" s="44">
        <v>266</v>
      </c>
      <c r="C162" s="44">
        <v>285</v>
      </c>
    </row>
  </sheetData>
  <sheetProtection algorithmName="SHA-512" hashValue="HwtosTkoUx9Lj5uSbnQtuL6IpWiHoU59x/B+VGaozNOgIv5HBRvbXU3T7F4PenP9sTHfaa85oV8Hfx7bkvynPA==" saltValue="N90bah7gwmd0Cso0JN/VDQ==" spinCount="100000" sheet="1" objects="1" scenarios="1"/>
  <pageMargins left="0.7" right="0.7" top="0.75" bottom="0.75" header="0.3" footer="0.3"/>
  <headerFooter>
    <oddHeader>&amp;C&amp;"Calibri"&amp;12&amp;K000000 OFFICIAL&amp;1#_x000D_</oddHeader>
    <oddFooter>&amp;C_x000D_&amp;1#&amp;"Calibri"&amp;12&amp;K000000 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91</vt:i4>
      </vt:variant>
    </vt:vector>
  </HeadingPairs>
  <TitlesOfParts>
    <vt:vector size="97" baseType="lpstr">
      <vt:lpstr>Controls &amp; AQA Log</vt:lpstr>
      <vt:lpstr>Inputs</vt:lpstr>
      <vt:lpstr>Summary</vt:lpstr>
      <vt:lpstr>Model</vt:lpstr>
      <vt:lpstr>Data &amp; Assumptions</vt:lpstr>
      <vt:lpstr>Regs</vt:lpstr>
      <vt:lpstr>AddTrialHrs_Fraud</vt:lpstr>
      <vt:lpstr>AddTrialHrs_Murder</vt:lpstr>
      <vt:lpstr>Category</vt:lpstr>
      <vt:lpstr>JnrAlone</vt:lpstr>
      <vt:lpstr>JrAloneBasic</vt:lpstr>
      <vt:lpstr>JrAloneDAF40</vt:lpstr>
      <vt:lpstr>JrAloneDAF50</vt:lpstr>
      <vt:lpstr>JrAloneDAF51</vt:lpstr>
      <vt:lpstr>JrAloneDaily_Cat1</vt:lpstr>
      <vt:lpstr>JrAloneDaily_Cat2</vt:lpstr>
      <vt:lpstr>JrAloneDaily_Cat3</vt:lpstr>
      <vt:lpstr>JrAloneDaily_final</vt:lpstr>
      <vt:lpstr>JrAloneEvi</vt:lpstr>
      <vt:lpstr>JrAlonePrep_Cat1</vt:lpstr>
      <vt:lpstr>JrAlonePrep_Cat2</vt:lpstr>
      <vt:lpstr>JrAlonePrep_Cat3</vt:lpstr>
      <vt:lpstr>JrAloneprep_final</vt:lpstr>
      <vt:lpstr>JrAlonePrepCat1</vt:lpstr>
      <vt:lpstr>JrAloneWit</vt:lpstr>
      <vt:lpstr>LeadBasic</vt:lpstr>
      <vt:lpstr>LeadDAF40</vt:lpstr>
      <vt:lpstr>LeadDAF50</vt:lpstr>
      <vt:lpstr>LeadDAF51</vt:lpstr>
      <vt:lpstr>LeadEvi</vt:lpstr>
      <vt:lpstr>LeadJnr</vt:lpstr>
      <vt:lpstr>LeadJrDaily_Cat1</vt:lpstr>
      <vt:lpstr>LeadJrDaily_Cat2</vt:lpstr>
      <vt:lpstr>LeadJrDaily_Cat3</vt:lpstr>
      <vt:lpstr>LeadJrDaily_final</vt:lpstr>
      <vt:lpstr>LeadJrPrep_Cat1</vt:lpstr>
      <vt:lpstr>LeadJrPrep_Cat2</vt:lpstr>
      <vt:lpstr>LeadJrPrep_Cat3</vt:lpstr>
      <vt:lpstr>LeadJrPrep_final</vt:lpstr>
      <vt:lpstr>LeadJrWit</vt:lpstr>
      <vt:lpstr>LedBasic</vt:lpstr>
      <vt:lpstr>LedDAF40</vt:lpstr>
      <vt:lpstr>LedDAF50</vt:lpstr>
      <vt:lpstr>LedDAF51</vt:lpstr>
      <vt:lpstr>LedEvi</vt:lpstr>
      <vt:lpstr>LedJnr</vt:lpstr>
      <vt:lpstr>LedJrDaily_Cat1</vt:lpstr>
      <vt:lpstr>LedJrDaily_Cat2</vt:lpstr>
      <vt:lpstr>LedJrDaily_Cat3</vt:lpstr>
      <vt:lpstr>LedJrDaily_Final</vt:lpstr>
      <vt:lpstr>LedJrPrep_Cat1</vt:lpstr>
      <vt:lpstr>LedJrPrep_Cat2</vt:lpstr>
      <vt:lpstr>LedJrPrep_Cat3</vt:lpstr>
      <vt:lpstr>LedJrPrep_final</vt:lpstr>
      <vt:lpstr>LedJrWit</vt:lpstr>
      <vt:lpstr>MinsPerUnused_Fraud</vt:lpstr>
      <vt:lpstr>MinsPerUnused_Murder</vt:lpstr>
      <vt:lpstr>MinsPerUsed_Fraud</vt:lpstr>
      <vt:lpstr>MinsPerUsed_Murder</vt:lpstr>
      <vt:lpstr>Offence</vt:lpstr>
      <vt:lpstr>OtherPrep</vt:lpstr>
      <vt:lpstr>OtherPrep_Fraud</vt:lpstr>
      <vt:lpstr>OtherPrep_Murder</vt:lpstr>
      <vt:lpstr>QCBasic</vt:lpstr>
      <vt:lpstr>QCDAF40</vt:lpstr>
      <vt:lpstr>QCDAF50</vt:lpstr>
      <vt:lpstr>QCDAF51</vt:lpstr>
      <vt:lpstr>QCDaily_Cat1</vt:lpstr>
      <vt:lpstr>QCDaily_Cat2</vt:lpstr>
      <vt:lpstr>QCDaily_Cat3</vt:lpstr>
      <vt:lpstr>QCDaily_final</vt:lpstr>
      <vt:lpstr>QCevi</vt:lpstr>
      <vt:lpstr>QCPrep_Cat1</vt:lpstr>
      <vt:lpstr>QCPrep_Cat2</vt:lpstr>
      <vt:lpstr>QCPrep_Cat3</vt:lpstr>
      <vt:lpstr>QCPrep_final</vt:lpstr>
      <vt:lpstr>QCs</vt:lpstr>
      <vt:lpstr>QCWit</vt:lpstr>
      <vt:lpstr>TrialDays</vt:lpstr>
      <vt:lpstr>TrialDaysExp_Fraud</vt:lpstr>
      <vt:lpstr>TrialDaysExp_Murder</vt:lpstr>
      <vt:lpstr>TrialDaysRatio</vt:lpstr>
      <vt:lpstr>TrialPrep</vt:lpstr>
      <vt:lpstr>Unused_mins</vt:lpstr>
      <vt:lpstr>UnusedEvi_Fraud</vt:lpstr>
      <vt:lpstr>UnusedEvi_Murder</vt:lpstr>
      <vt:lpstr>UnusedMat</vt:lpstr>
      <vt:lpstr>UnusedRatio</vt:lpstr>
      <vt:lpstr>UsedEvi</vt:lpstr>
      <vt:lpstr>UsedEvi_Fraud</vt:lpstr>
      <vt:lpstr>UsedEvi_min</vt:lpstr>
      <vt:lpstr>UsedEvi_Murder</vt:lpstr>
      <vt:lpstr>UsedEviRatio</vt:lpstr>
      <vt:lpstr>WitExpert</vt:lpstr>
      <vt:lpstr>WitExpertHrs</vt:lpstr>
      <vt:lpstr>WitNonExpert</vt:lpstr>
      <vt:lpstr>WitNonExpertHrs</vt:lpstr>
    </vt:vector>
  </TitlesOfParts>
  <Company>Ministry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Wilks</dc:creator>
  <cp:lastModifiedBy>Furness, Christopher (LAA)</cp:lastModifiedBy>
  <cp:lastPrinted>2015-11-26T13:11:45Z</cp:lastPrinted>
  <dcterms:created xsi:type="dcterms:W3CDTF">2014-06-03T08:57:48Z</dcterms:created>
  <dcterms:modified xsi:type="dcterms:W3CDTF">2024-07-19T05:43:39Z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d1d2f5-2977-4ce1-839d-57a403841e1f_Enabled">
    <vt:lpwstr>true</vt:lpwstr>
  </property>
  <property fmtid="{D5CDD505-2E9C-101B-9397-08002B2CF9AE}" pid="3" name="MSIP_Label_eed1d2f5-2977-4ce1-839d-57a403841e1f_SetDate">
    <vt:lpwstr>2024-07-19T05:43:34Z</vt:lpwstr>
  </property>
  <property fmtid="{D5CDD505-2E9C-101B-9397-08002B2CF9AE}" pid="4" name="MSIP_Label_eed1d2f5-2977-4ce1-839d-57a403841e1f_Method">
    <vt:lpwstr>Privileged</vt:lpwstr>
  </property>
  <property fmtid="{D5CDD505-2E9C-101B-9397-08002B2CF9AE}" pid="5" name="MSIP_Label_eed1d2f5-2977-4ce1-839d-57a403841e1f_Name">
    <vt:lpwstr>OFFICIAL</vt:lpwstr>
  </property>
  <property fmtid="{D5CDD505-2E9C-101B-9397-08002B2CF9AE}" pid="6" name="MSIP_Label_eed1d2f5-2977-4ce1-839d-57a403841e1f_SiteId">
    <vt:lpwstr>c6874728-71e6-41fe-a9e1-2e8c36776ad8</vt:lpwstr>
  </property>
  <property fmtid="{D5CDD505-2E9C-101B-9397-08002B2CF9AE}" pid="7" name="MSIP_Label_eed1d2f5-2977-4ce1-839d-57a403841e1f_ActionId">
    <vt:lpwstr>78984187-8c28-4aa2-b24c-bf0a6fef09af</vt:lpwstr>
  </property>
  <property fmtid="{D5CDD505-2E9C-101B-9397-08002B2CF9AE}" pid="8" name="MSIP_Label_eed1d2f5-2977-4ce1-839d-57a403841e1f_ContentBits">
    <vt:lpwstr>3</vt:lpwstr>
  </property>
</Properties>
</file>