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glyn_edwards_justice_gov_uk/Documents/"/>
    </mc:Choice>
  </mc:AlternateContent>
  <xr:revisionPtr revIDLastSave="0" documentId="8_{2D09A990-C03D-43C8-B6B5-5C8D961F4A04}" xr6:coauthVersionLast="45" xr6:coauthVersionMax="45" xr10:uidLastSave="{00000000-0000-0000-0000-000000000000}"/>
  <bookViews>
    <workbookView xWindow="-110" yWindow="-110" windowWidth="19420" windowHeight="10420" xr2:uid="{DCFCAD7C-32D1-49E7-8898-8A99C2D492CB}"/>
  </bookViews>
  <sheets>
    <sheet name="Cross Examination" sheetId="1" r:id="rId1"/>
    <sheet name="LAA office use only" sheetId="3" r:id="rId2"/>
    <sheet name="Contro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O29" i="2" l="1"/>
  <c r="K5" i="2" l="1"/>
  <c r="H31" i="1" l="1"/>
  <c r="B3" i="3" l="1"/>
  <c r="B2" i="3"/>
  <c r="K29" i="2"/>
  <c r="U3" i="3" l="1"/>
  <c r="U2" i="3"/>
  <c r="E29" i="1"/>
  <c r="E28" i="1"/>
  <c r="S3" i="3"/>
  <c r="S2" i="3"/>
  <c r="AD3" i="3" l="1"/>
  <c r="AD2" i="3"/>
  <c r="P3" i="3"/>
  <c r="P2" i="3"/>
  <c r="E6" i="1"/>
  <c r="AC3" i="3" l="1"/>
  <c r="AB3" i="3"/>
  <c r="AA3" i="3"/>
  <c r="Z3" i="3"/>
  <c r="Y3" i="3"/>
  <c r="X3" i="3"/>
  <c r="W3" i="3"/>
  <c r="V3" i="3"/>
  <c r="T3" i="3"/>
  <c r="AC2" i="3"/>
  <c r="AB2" i="3"/>
  <c r="AA2" i="3"/>
  <c r="Z2" i="3"/>
  <c r="Y2" i="3"/>
  <c r="X2" i="3"/>
  <c r="W2" i="3"/>
  <c r="V2" i="3"/>
  <c r="T2" i="3"/>
  <c r="R3" i="3" l="1"/>
  <c r="R2" i="3"/>
  <c r="A27" i="2" l="1"/>
  <c r="A25" i="2"/>
  <c r="C26" i="2" l="1"/>
  <c r="D26" i="2" s="1"/>
  <c r="H1" i="1" s="1"/>
  <c r="D19" i="2"/>
  <c r="E14" i="2" l="1"/>
  <c r="E27" i="1" l="1"/>
  <c r="H27" i="1" s="1"/>
  <c r="C23" i="2" l="1"/>
  <c r="C24" i="2" l="1"/>
  <c r="F26" i="1" s="1"/>
  <c r="C29" i="2"/>
  <c r="F19" i="2"/>
  <c r="F17" i="2"/>
  <c r="D17" i="2"/>
  <c r="F14" i="2"/>
  <c r="E29" i="2"/>
  <c r="D29" i="2"/>
  <c r="F29" i="2" l="1"/>
  <c r="C31" i="2" s="1"/>
  <c r="F27" i="1"/>
  <c r="D20" i="2"/>
  <c r="C20" i="2" s="1"/>
  <c r="C30" i="2"/>
  <c r="F35" i="1" l="1"/>
  <c r="E35" i="1"/>
  <c r="H35" i="1" s="1"/>
  <c r="C16" i="2"/>
  <c r="F32" i="1" s="1"/>
  <c r="C18" i="2" l="1"/>
  <c r="F33" i="1" s="1"/>
  <c r="E32" i="1"/>
  <c r="H32" i="1" s="1"/>
  <c r="E33" i="1"/>
  <c r="H33" i="1" l="1"/>
  <c r="G40" i="1"/>
  <c r="I14" i="1"/>
  <c r="H23" i="1" l="1"/>
  <c r="H18" i="1" l="1"/>
  <c r="E22" i="1"/>
  <c r="E18" i="1"/>
  <c r="P47" i="2" l="1"/>
  <c r="P49" i="2"/>
  <c r="P46" i="2"/>
  <c r="P48" i="2" s="1"/>
  <c r="C2" i="1" s="1"/>
  <c r="E14" i="1" l="1"/>
  <c r="O3" i="3" l="1"/>
  <c r="O2" i="3"/>
  <c r="E20" i="1" l="1"/>
  <c r="H6" i="2"/>
  <c r="AG2" i="3" l="1"/>
  <c r="Q3" i="3"/>
  <c r="N3" i="3"/>
  <c r="M3" i="3"/>
  <c r="L3" i="3"/>
  <c r="Q2" i="3"/>
  <c r="N2" i="3"/>
  <c r="M2" i="3"/>
  <c r="L2" i="3"/>
  <c r="K3" i="3"/>
  <c r="K2" i="3"/>
  <c r="H17" i="1"/>
  <c r="H22" i="1"/>
  <c r="H19" i="1"/>
  <c r="H5" i="2"/>
  <c r="E39" i="1" l="1"/>
  <c r="E19" i="1" l="1"/>
  <c r="E17" i="1"/>
  <c r="G19" i="1"/>
  <c r="W21" i="2"/>
  <c r="X21" i="2" s="1"/>
  <c r="Y21" i="2" s="1"/>
  <c r="E23" i="1"/>
  <c r="P42" i="2" l="1"/>
  <c r="P41" i="2"/>
  <c r="P40" i="2"/>
  <c r="O41" i="2"/>
  <c r="O42" i="2"/>
  <c r="O40" i="2"/>
  <c r="R32" i="2"/>
  <c r="R34" i="2"/>
  <c r="R35" i="2"/>
  <c r="Y31" i="2"/>
  <c r="Z31" i="2"/>
  <c r="AA31" i="2"/>
  <c r="Y32" i="2"/>
  <c r="Z32" i="2"/>
  <c r="AA32" i="2"/>
  <c r="Y33" i="2"/>
  <c r="Z33" i="2"/>
  <c r="AA33" i="2"/>
  <c r="Y34" i="2"/>
  <c r="Z34" i="2"/>
  <c r="AA34" i="2"/>
  <c r="Y35" i="2"/>
  <c r="Z35" i="2"/>
  <c r="AA35" i="2"/>
  <c r="Z30" i="2"/>
  <c r="AA30" i="2"/>
  <c r="Y30" i="2"/>
  <c r="V30" i="2"/>
  <c r="W30" i="2"/>
  <c r="X30" i="2"/>
  <c r="V31" i="2"/>
  <c r="W31" i="2"/>
  <c r="X31" i="2"/>
  <c r="V32" i="2"/>
  <c r="W32" i="2"/>
  <c r="X32" i="2"/>
  <c r="V33" i="2"/>
  <c r="W33" i="2"/>
  <c r="X33" i="2"/>
  <c r="V34" i="2"/>
  <c r="W34" i="2"/>
  <c r="X34" i="2"/>
  <c r="V35" i="2"/>
  <c r="W35" i="2"/>
  <c r="X35" i="2"/>
  <c r="Z29" i="2"/>
  <c r="AA29" i="2"/>
  <c r="Y29" i="2"/>
  <c r="W29" i="2"/>
  <c r="X29" i="2"/>
  <c r="V29" i="2"/>
  <c r="U31" i="2"/>
  <c r="U32" i="2"/>
  <c r="U33" i="2"/>
  <c r="U34" i="2"/>
  <c r="U35" i="2"/>
  <c r="U30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S18" i="2"/>
  <c r="S17" i="2"/>
  <c r="S16" i="2"/>
  <c r="S15" i="2"/>
  <c r="S12" i="2"/>
  <c r="S11" i="2"/>
  <c r="S14" i="2"/>
  <c r="S13" i="2"/>
  <c r="S10" i="2"/>
  <c r="S9" i="2"/>
  <c r="R18" i="2"/>
  <c r="R17" i="2"/>
  <c r="R16" i="2"/>
  <c r="R15" i="2"/>
  <c r="R14" i="2"/>
  <c r="R13" i="2"/>
  <c r="R12" i="2"/>
  <c r="R11" i="2"/>
  <c r="R10" i="2"/>
  <c r="R9" i="2"/>
  <c r="R8" i="2"/>
  <c r="R7" i="2"/>
  <c r="T7" i="2"/>
  <c r="U7" i="2"/>
  <c r="V7" i="2"/>
  <c r="T8" i="2"/>
  <c r="U8" i="2"/>
  <c r="V8" i="2"/>
  <c r="U6" i="2"/>
  <c r="V6" i="2"/>
  <c r="T6" i="2"/>
  <c r="S8" i="2"/>
  <c r="S7" i="2"/>
  <c r="J25" i="2"/>
  <c r="T33" i="2" s="1"/>
  <c r="J1" i="2"/>
  <c r="Q8" i="2" s="1"/>
  <c r="H7" i="2"/>
  <c r="H2" i="2"/>
  <c r="H3" i="2"/>
  <c r="H4" i="2"/>
  <c r="P21" i="2" s="1"/>
  <c r="T39" i="2" l="1"/>
  <c r="U39" i="2" s="1"/>
  <c r="R42" i="2"/>
  <c r="Q42" i="2" s="1"/>
  <c r="R31" i="2"/>
  <c r="R30" i="2"/>
  <c r="R33" i="2"/>
  <c r="P20" i="2"/>
  <c r="Q40" i="2"/>
  <c r="Q41" i="2"/>
  <c r="T40" i="2"/>
  <c r="T38" i="2"/>
  <c r="T37" i="2"/>
  <c r="P8" i="2"/>
  <c r="S33" i="2"/>
  <c r="Q15" i="2"/>
  <c r="P15" i="2" s="1"/>
  <c r="T32" i="2"/>
  <c r="S32" i="2" s="1"/>
  <c r="Q14" i="2"/>
  <c r="P14" i="2" s="1"/>
  <c r="T31" i="2"/>
  <c r="S31" i="2" s="1"/>
  <c r="Q13" i="2"/>
  <c r="P13" i="2" s="1"/>
  <c r="Q12" i="2"/>
  <c r="P12" i="2" s="1"/>
  <c r="Q7" i="2"/>
  <c r="P7" i="2" s="1"/>
  <c r="Q11" i="2"/>
  <c r="P11" i="2" s="1"/>
  <c r="T30" i="2"/>
  <c r="S30" i="2" s="1"/>
  <c r="Q18" i="2"/>
  <c r="P18" i="2" s="1"/>
  <c r="Q10" i="2"/>
  <c r="P10" i="2" s="1"/>
  <c r="T35" i="2"/>
  <c r="S35" i="2" s="1"/>
  <c r="Q17" i="2"/>
  <c r="P17" i="2" s="1"/>
  <c r="Q9" i="2"/>
  <c r="P9" i="2" s="1"/>
  <c r="T34" i="2"/>
  <c r="S34" i="2" s="1"/>
  <c r="Q16" i="2"/>
  <c r="P16" i="2" s="1"/>
  <c r="Y38" i="2" l="1"/>
  <c r="Y39" i="2" s="1"/>
  <c r="Y40" i="2" s="1"/>
  <c r="Q39" i="2"/>
  <c r="AA38" i="2"/>
  <c r="AA39" i="2" s="1"/>
  <c r="AA40" i="2" s="1"/>
  <c r="Z38" i="2"/>
  <c r="Z39" i="2" s="1"/>
  <c r="Z40" i="2" s="1"/>
  <c r="X37" i="2"/>
  <c r="X39" i="2" s="1"/>
  <c r="X40" i="2" s="1"/>
  <c r="X41" i="2" s="1"/>
  <c r="V37" i="2"/>
  <c r="V39" i="2" s="1"/>
  <c r="W37" i="2"/>
  <c r="W39" i="2" s="1"/>
  <c r="W40" i="2" s="1"/>
  <c r="W41" i="2" s="1"/>
  <c r="V20" i="2"/>
  <c r="U20" i="2"/>
  <c r="U21" i="2" s="1"/>
  <c r="T20" i="2"/>
  <c r="T21" i="2" s="1"/>
  <c r="I7" i="2" l="1"/>
  <c r="G18" i="1"/>
  <c r="V40" i="2"/>
  <c r="V41" i="2" s="1"/>
  <c r="V21" i="2"/>
  <c r="Q21" i="2" s="1"/>
  <c r="G23" i="1" l="1"/>
  <c r="F23" i="1" s="1"/>
  <c r="U40" i="2"/>
  <c r="I2" i="2" s="1"/>
  <c r="G16" i="1" s="1"/>
  <c r="E46" i="1"/>
  <c r="E45" i="1"/>
  <c r="E16" i="1"/>
  <c r="E15" i="1"/>
  <c r="E13" i="1"/>
  <c r="E12" i="1"/>
  <c r="E8" i="1"/>
  <c r="E9" i="1"/>
  <c r="E10" i="1"/>
  <c r="E7" i="1"/>
  <c r="G38" i="1" l="1"/>
  <c r="C38" i="1" s="1"/>
  <c r="C40" i="1" s="1"/>
  <c r="F16" i="1"/>
  <c r="AG3" i="3" l="1"/>
  <c r="E38" i="1"/>
  <c r="AI3" i="3"/>
  <c r="AH3" i="3"/>
  <c r="AF3" i="3"/>
  <c r="AE3" i="3"/>
  <c r="J3" i="3"/>
  <c r="I3" i="3"/>
  <c r="H3" i="3"/>
  <c r="G3" i="3"/>
  <c r="F3" i="3"/>
  <c r="E3" i="3"/>
  <c r="D3" i="3"/>
  <c r="C3" i="3"/>
  <c r="AI2" i="3"/>
  <c r="AH2" i="3"/>
  <c r="AF2" i="3" l="1"/>
  <c r="AE2" i="3"/>
  <c r="J2" i="3"/>
  <c r="I2" i="3"/>
  <c r="H2" i="3"/>
  <c r="G2" i="3"/>
  <c r="F2" i="3"/>
  <c r="E2" i="3"/>
  <c r="D2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Edwards, Glyn (LAA)</author>
  </authors>
  <commentList>
    <comment ref="P50" authorId="0" shapeId="0" xr:uid="{06319F85-3203-43C9-B4FB-0AAA684D28E4}">
      <text>
        <r>
          <rPr>
            <b/>
            <sz val="9"/>
            <color indexed="81"/>
            <rFont val="Tahoma"/>
            <family val="2"/>
          </rPr>
          <t>Edwards, Glyn (LAA):</t>
        </r>
        <r>
          <rPr>
            <sz val="9"/>
            <color indexed="81"/>
            <rFont val="Tahoma"/>
            <family val="2"/>
          </rPr>
          <t xml:space="preserve">
grace is to account for bank holidays, easter/may bank hols could account for 4 days withing a quarter claimed</t>
        </r>
      </text>
    </comment>
  </commentList>
</comments>
</file>

<file path=xl/sharedStrings.xml><?xml version="1.0" encoding="utf-8"?>
<sst xmlns="http://schemas.openxmlformats.org/spreadsheetml/2006/main" count="149" uniqueCount="112">
  <si>
    <t>Client Name</t>
  </si>
  <si>
    <t>Court Case Number</t>
  </si>
  <si>
    <t>Date of Hearing</t>
  </si>
  <si>
    <t xml:space="preserve">Advocates Bundle </t>
  </si>
  <si>
    <t>Total Claim (Net)</t>
  </si>
  <si>
    <t>VAT</t>
  </si>
  <si>
    <t>Judge Level</t>
  </si>
  <si>
    <t>Proceedings type</t>
  </si>
  <si>
    <t>Type of Hearing</t>
  </si>
  <si>
    <t>Length of Hearing</t>
  </si>
  <si>
    <t>Financial Remedy</t>
  </si>
  <si>
    <t>Public Family (Care)</t>
  </si>
  <si>
    <t>Public Family (Other)</t>
  </si>
  <si>
    <t>Preliminary hearing</t>
  </si>
  <si>
    <t>Hearing with Cross Examination</t>
  </si>
  <si>
    <t>ABP1</t>
  </si>
  <si>
    <t>ABP2</t>
  </si>
  <si>
    <t>ABP3</t>
  </si>
  <si>
    <t>Provider Certification</t>
  </si>
  <si>
    <t>I certify that the information provided is correct</t>
  </si>
  <si>
    <t>Signed</t>
  </si>
  <si>
    <t>Dated</t>
  </si>
  <si>
    <t>Cross Examination</t>
  </si>
  <si>
    <t>Total</t>
  </si>
  <si>
    <t>Higher courts</t>
  </si>
  <si>
    <t>Table A1: Proposed preliminary hearing fees</t>
  </si>
  <si>
    <t>Paid for the all preliminary hearings, exclusive of VAT</t>
  </si>
  <si>
    <t>Case type</t>
  </si>
  <si>
    <t>Level of judge</t>
  </si>
  <si>
    <t>Private family (children)</t>
  </si>
  <si>
    <t>HU1 (Under one hour)</t>
  </si>
  <si>
    <t>Financial remedy</t>
  </si>
  <si>
    <t>Public family (care)</t>
  </si>
  <si>
    <t>Public family (other)</t>
  </si>
  <si>
    <t>Civil Cases</t>
  </si>
  <si>
    <t>Table A2: Proposed fees for attendance at cross-examination hearing</t>
  </si>
  <si>
    <t>Paid per day at the hearing with cross-examination, exclusive of VAT</t>
  </si>
  <si>
    <t>Day 1</t>
  </si>
  <si>
    <t>Further days</t>
  </si>
  <si>
    <t>Table A3: Advocates’ bundle bolt-on</t>
  </si>
  <si>
    <t>Additional fee to be paid once per hearing</t>
  </si>
  <si>
    <t>Number of bundle pages</t>
  </si>
  <si>
    <t>351-700</t>
  </si>
  <si>
    <t>701-1,400</t>
  </si>
  <si>
    <t>over 1,400</t>
  </si>
  <si>
    <t>Private Family (Children)</t>
  </si>
  <si>
    <t>Circuit or district</t>
  </si>
  <si>
    <t>minutes</t>
  </si>
  <si>
    <t>Yes</t>
  </si>
  <si>
    <t>No</t>
  </si>
  <si>
    <t>Notification</t>
  </si>
  <si>
    <t>Comments</t>
  </si>
  <si>
    <t>Testing calc</t>
  </si>
  <si>
    <t>multiples for every 2.5 hours</t>
  </si>
  <si>
    <t>HU2 (Greater than 1 hour)</t>
  </si>
  <si>
    <t>none</t>
  </si>
  <si>
    <t>Dates</t>
  </si>
  <si>
    <t>hearing</t>
  </si>
  <si>
    <t>3 months</t>
  </si>
  <si>
    <t>elapsed</t>
  </si>
  <si>
    <t>grace</t>
  </si>
  <si>
    <t>Rates Applied</t>
  </si>
  <si>
    <t>hearing prior to 21 July 2022 as pre-existing the scheme</t>
  </si>
  <si>
    <t>Drop down controls</t>
  </si>
  <si>
    <t>form data pull forward</t>
  </si>
  <si>
    <t>Concatenate of data to a string used to look up which hearing rate is applicable</t>
  </si>
  <si>
    <t>Specific work undertaken on this submission</t>
  </si>
  <si>
    <t>Advoocates bundle bolt on calculations</t>
  </si>
  <si>
    <t>Submission calculation table</t>
  </si>
  <si>
    <t>Cross examination calculation table</t>
  </si>
  <si>
    <t>Preliminary hearing calculations table</t>
  </si>
  <si>
    <t>Date of instruction</t>
  </si>
  <si>
    <t>Public transport (amount paid £)</t>
  </si>
  <si>
    <t>Accommodation (approx number of miles from base office)</t>
  </si>
  <si>
    <t>Accommodation (number of nights)</t>
  </si>
  <si>
    <t>Accommodation (amount paid £)</t>
  </si>
  <si>
    <t>Out of pocket expenses (amount paid £)</t>
  </si>
  <si>
    <t>Public transport</t>
  </si>
  <si>
    <t>Milage cost</t>
  </si>
  <si>
    <t>days</t>
  </si>
  <si>
    <t>millage</t>
  </si>
  <si>
    <t>claim</t>
  </si>
  <si>
    <t>Accommodation</t>
  </si>
  <si>
    <t>subsistance</t>
  </si>
  <si>
    <t>Date of hearing</t>
  </si>
  <si>
    <t>acc</t>
  </si>
  <si>
    <t>max</t>
  </si>
  <si>
    <t>day</t>
  </si>
  <si>
    <t>milage</t>
  </si>
  <si>
    <t>multiple</t>
  </si>
  <si>
    <t>Subsistence (amount paid £)</t>
  </si>
  <si>
    <t>Number of hearing days</t>
  </si>
  <si>
    <t>Driving mileage (number of miles travelled)</t>
  </si>
  <si>
    <t>Starting postcode</t>
  </si>
  <si>
    <t>Destination postcode</t>
  </si>
  <si>
    <t>QLR Name</t>
  </si>
  <si>
    <t>QLR Account Name</t>
  </si>
  <si>
    <t>QLR Account Number</t>
  </si>
  <si>
    <t>QLR Reference</t>
  </si>
  <si>
    <t>Has the Cross examination Hearing been Cancelled and you spent at least 30 minutes on the matter?</t>
  </si>
  <si>
    <t>Advocates Bundle</t>
  </si>
  <si>
    <t>If your QLR appointment has been terminated have you attempted to recover costs within 24 hours?</t>
  </si>
  <si>
    <t>Version 1.3 April 2024</t>
  </si>
  <si>
    <t>Version 1.3</t>
  </si>
  <si>
    <t>Preliminary Hearing: hearing length (minutes)(Enter “1” for terminated appointment/cancelled preliminary hearing)</t>
  </si>
  <si>
    <t>Preliminary Hearing: unit length (select HU1 for terminated appointment/cancelled preliminary hearing)</t>
  </si>
  <si>
    <t xml:space="preserve">Did you conduct Cross examination? (Hearings without Cross examination are preliminary hearings) </t>
  </si>
  <si>
    <t>Was your QLR appointment terminated by the court before the Cross examination hearing (30 minutes preparation)?</t>
  </si>
  <si>
    <t>Private Law (Domestic Abuse)</t>
  </si>
  <si>
    <t>Justices’ Legal Advisor/Lay Justice</t>
  </si>
  <si>
    <t>If Cross examination occurred, how many days was the Hearing (whole numbers only)?</t>
  </si>
  <si>
    <t>Is the court 10 miles or more from the QLR’s usual office/chambers?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</si>
</sst>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dd/mm/yyyy;@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8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8" fontId="0" fillId="4" borderId="0" xfId="0" applyNumberFormat="1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1" fontId="0" fillId="0" borderId="0" xfId="0" applyNumberFormat="1"/>
    <xf numFmtId="164" fontId="0" fillId="3" borderId="2" xfId="0" applyNumberFormat="1" applyFill="1" applyBorder="1" applyAlignment="1" applyProtection="1">
      <alignment horizontal="center"/>
    </xf>
    <xf numFmtId="9" fontId="0" fillId="2" borderId="4" xfId="0" applyNumberFormat="1" applyFill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8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/>
    <xf numFmtId="9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0" fontId="0" fillId="9" borderId="4" xfId="0" applyFill="1" applyBorder="1" applyAlignment="1" applyProtection="1">
      <alignment horizontal="left"/>
      <protection locked="0"/>
    </xf>
    <xf numFmtId="1" fontId="0" fillId="9" borderId="4" xfId="0" applyNumberFormat="1" applyFill="1" applyBorder="1" applyAlignment="1" applyProtection="1">
      <alignment horizontal="left"/>
      <protection locked="0"/>
    </xf>
    <xf numFmtId="164" fontId="0" fillId="8" borderId="6" xfId="0" applyNumberFormat="1" applyFill="1" applyBorder="1" applyAlignment="1" applyProtection="1">
      <alignment horizontal="center"/>
    </xf>
    <xf numFmtId="0" fontId="0" fillId="0" borderId="3" xfId="0" applyBorder="1" applyAlignment="1">
      <alignment wrapText="1"/>
    </xf>
    <xf numFmtId="0" fontId="0" fillId="9" borderId="4" xfId="0" applyFill="1" applyBorder="1" applyAlignment="1" applyProtection="1">
      <alignment horizontal="left" vertical="center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/>
    <xf numFmtId="9" fontId="0" fillId="2" borderId="0" xfId="0" applyNumberFormat="1" applyFill="1"/>
    <xf numFmtId="1" fontId="0" fillId="4" borderId="0" xfId="0" applyNumberForma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7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7" borderId="8" xfId="0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" fontId="0" fillId="0" borderId="8" xfId="0" applyNumberFormat="1" applyBorder="1"/>
    <xf numFmtId="0" fontId="0" fillId="0" borderId="6" xfId="0" applyBorder="1"/>
    <xf numFmtId="0" fontId="6" fillId="0" borderId="7" xfId="0" applyFont="1" applyBorder="1"/>
    <xf numFmtId="0" fontId="0" fillId="0" borderId="3" xfId="0" applyFill="1" applyBorder="1" applyAlignment="1">
      <alignment horizontal="center" wrapText="1"/>
    </xf>
    <xf numFmtId="0" fontId="0" fillId="6" borderId="0" xfId="0" applyFill="1" applyBorder="1"/>
    <xf numFmtId="0" fontId="0" fillId="6" borderId="4" xfId="0" applyFill="1" applyBorder="1"/>
    <xf numFmtId="8" fontId="0" fillId="0" borderId="3" xfId="0" applyNumberFormat="1" applyFill="1" applyBorder="1" applyAlignment="1">
      <alignment horizontal="center"/>
    </xf>
    <xf numFmtId="8" fontId="0" fillId="6" borderId="0" xfId="0" applyNumberFormat="1" applyFill="1" applyBorder="1"/>
    <xf numFmtId="8" fontId="0" fillId="6" borderId="4" xfId="0" applyNumberFormat="1" applyFill="1" applyBorder="1"/>
    <xf numFmtId="8" fontId="0" fillId="0" borderId="5" xfId="0" applyNumberFormat="1" applyFill="1" applyBorder="1" applyAlignment="1">
      <alignment horizontal="center"/>
    </xf>
    <xf numFmtId="8" fontId="0" fillId="6" borderId="8" xfId="0" applyNumberFormat="1" applyFill="1" applyBorder="1"/>
    <xf numFmtId="8" fontId="0" fillId="6" borderId="6" xfId="0" applyNumberFormat="1" applyFill="1" applyBorder="1"/>
    <xf numFmtId="0" fontId="0" fillId="0" borderId="1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8" fontId="0" fillId="10" borderId="0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11" borderId="1" xfId="0" applyFill="1" applyBorder="1"/>
    <xf numFmtId="0" fontId="0" fillId="11" borderId="7" xfId="0" applyFill="1" applyBorder="1"/>
    <xf numFmtId="164" fontId="0" fillId="11" borderId="7" xfId="0" applyNumberForma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/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4" xfId="0" applyFill="1" applyBorder="1" applyAlignment="1">
      <alignment horizontal="center"/>
    </xf>
    <xf numFmtId="6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0" fontId="0" fillId="11" borderId="5" xfId="0" applyFill="1" applyBorder="1"/>
    <xf numFmtId="164" fontId="0" fillId="11" borderId="8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4" fontId="0" fillId="11" borderId="3" xfId="0" applyNumberFormat="1" applyFill="1" applyBorder="1"/>
    <xf numFmtId="14" fontId="0" fillId="11" borderId="0" xfId="0" applyNumberFormat="1" applyFill="1" applyAlignment="1">
      <alignment horizontal="center"/>
    </xf>
    <xf numFmtId="0" fontId="0" fillId="11" borderId="8" xfId="0" applyFill="1" applyBorder="1"/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3" fontId="0" fillId="0" borderId="0" xfId="0" applyNumberFormat="1" applyAlignment="1">
      <alignment wrapText="1"/>
    </xf>
    <xf numFmtId="1" fontId="0" fillId="2" borderId="2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wrapText="1"/>
    </xf>
    <xf numFmtId="0" fontId="0" fillId="2" borderId="2" xfId="0" applyFill="1" applyBorder="1" applyAlignment="1" applyProtection="1">
      <alignment horizontal="center"/>
      <protection locked="0"/>
    </xf>
    <xf numFmtId="1" fontId="0" fillId="9" borderId="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1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9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E180-8743-4D75-891E-74E68D7FC805}">
  <dimension ref="B1:J48"/>
  <sheetViews>
    <sheetView showGridLines="0" tabSelected="1" zoomScale="78" zoomScaleNormal="7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RowHeight="14.5" x14ac:dyDescent="0.35"/>
  <cols>
    <col min="1" max="1" width="1" customWidth="1"/>
    <col min="2" max="2" width="95.7265625" customWidth="1"/>
    <col min="3" max="3" width="43.453125" style="8" customWidth="1"/>
    <col min="4" max="4" width="1.26953125" customWidth="1"/>
    <col min="5" max="5" width="13" style="8" bestFit="1" customWidth="1"/>
    <col min="6" max="6" width="12.81640625" style="44" customWidth="1"/>
    <col min="7" max="7" width="12.81640625" style="8" hidden="1" customWidth="1"/>
    <col min="8" max="8" width="48.26953125" customWidth="1"/>
    <col min="9" max="9" width="10.453125" bestFit="1" customWidth="1"/>
    <col min="10" max="10" width="10.81640625" bestFit="1" customWidth="1"/>
  </cols>
  <sheetData>
    <row r="1" spans="2:10" ht="45" customHeight="1" x14ac:dyDescent="0.35">
      <c r="H1" s="42" t="str">
        <f>Control!D26</f>
        <v/>
      </c>
    </row>
    <row r="2" spans="2:10" ht="26" x14ac:dyDescent="0.6">
      <c r="B2" s="4" t="s">
        <v>22</v>
      </c>
      <c r="C2" s="42" t="str">
        <f>IF(Control!P48&gt;Control!P49,"Your submission may be older than 3 months after the hearing date","")</f>
        <v/>
      </c>
      <c r="E2" s="8" t="s">
        <v>50</v>
      </c>
      <c r="F2" s="44" t="s">
        <v>61</v>
      </c>
      <c r="G2" s="8" t="s">
        <v>52</v>
      </c>
      <c r="H2" s="8" t="s">
        <v>51</v>
      </c>
    </row>
    <row r="5" spans="2:10" ht="15" thickBot="1" x14ac:dyDescent="0.4"/>
    <row r="6" spans="2:10" x14ac:dyDescent="0.35">
      <c r="B6" s="5" t="s">
        <v>95</v>
      </c>
      <c r="C6" s="124"/>
      <c r="E6" s="8" t="str">
        <f>IF(C6="","Input required","")</f>
        <v>Input required</v>
      </c>
    </row>
    <row r="7" spans="2:10" x14ac:dyDescent="0.35">
      <c r="B7" s="6" t="s">
        <v>96</v>
      </c>
      <c r="C7" s="12"/>
      <c r="E7" s="8" t="str">
        <f>IF(C7="","Input required","")</f>
        <v>Input required</v>
      </c>
    </row>
    <row r="8" spans="2:10" x14ac:dyDescent="0.35">
      <c r="B8" s="6" t="s">
        <v>97</v>
      </c>
      <c r="C8" s="12"/>
      <c r="E8" s="8" t="str">
        <f t="shared" ref="E8:E39" si="0">IF(C8="","Input required","")</f>
        <v>Input required</v>
      </c>
    </row>
    <row r="9" spans="2:10" x14ac:dyDescent="0.35">
      <c r="B9" s="6" t="s">
        <v>98</v>
      </c>
      <c r="C9" s="12"/>
      <c r="E9" s="8" t="str">
        <f t="shared" si="0"/>
        <v>Input required</v>
      </c>
    </row>
    <row r="10" spans="2:10" ht="15" thickBot="1" x14ac:dyDescent="0.4">
      <c r="B10" s="7" t="s">
        <v>0</v>
      </c>
      <c r="C10" s="117"/>
      <c r="E10" s="8" t="str">
        <f t="shared" si="0"/>
        <v>Input required</v>
      </c>
    </row>
    <row r="11" spans="2:10" s="1" customFormat="1" ht="15" thickBot="1" x14ac:dyDescent="0.4">
      <c r="C11" s="9"/>
      <c r="E11" s="9"/>
      <c r="F11" s="45"/>
      <c r="G11" s="9"/>
    </row>
    <row r="12" spans="2:10" ht="15.65" customHeight="1" x14ac:dyDescent="0.35">
      <c r="B12" s="5" t="s">
        <v>1</v>
      </c>
      <c r="C12" s="119"/>
      <c r="E12" s="8" t="str">
        <f t="shared" si="0"/>
        <v>Input required</v>
      </c>
    </row>
    <row r="13" spans="2:10" ht="15.65" customHeight="1" x14ac:dyDescent="0.35">
      <c r="B13" s="6" t="s">
        <v>6</v>
      </c>
      <c r="C13" s="36"/>
      <c r="E13" s="8" t="str">
        <f t="shared" si="0"/>
        <v>Input required</v>
      </c>
    </row>
    <row r="14" spans="2:10" ht="15.65" customHeight="1" x14ac:dyDescent="0.35">
      <c r="B14" s="6" t="s">
        <v>2</v>
      </c>
      <c r="C14" s="41"/>
      <c r="E14" s="8" t="str">
        <f>IF(C14="","Input required","")</f>
        <v>Input required</v>
      </c>
      <c r="G14" s="31"/>
      <c r="H14" s="43" t="s">
        <v>62</v>
      </c>
      <c r="I14" s="25" t="str">
        <f>IF(C14="","",44763)</f>
        <v/>
      </c>
      <c r="J14" s="46"/>
    </row>
    <row r="15" spans="2:10" ht="15.65" customHeight="1" x14ac:dyDescent="0.35">
      <c r="B15" s="6" t="s">
        <v>7</v>
      </c>
      <c r="C15" s="36"/>
      <c r="E15" s="8" t="str">
        <f t="shared" si="0"/>
        <v>Input required</v>
      </c>
    </row>
    <row r="16" spans="2:10" ht="15.65" customHeight="1" x14ac:dyDescent="0.35">
      <c r="B16" s="6" t="s">
        <v>8</v>
      </c>
      <c r="C16" s="36"/>
      <c r="E16" s="8" t="str">
        <f t="shared" si="0"/>
        <v>Input required</v>
      </c>
      <c r="F16" s="44">
        <f>G16</f>
        <v>0</v>
      </c>
      <c r="G16" s="17">
        <f>Control!I2*G19</f>
        <v>0</v>
      </c>
    </row>
    <row r="17" spans="2:8" ht="15.65" customHeight="1" x14ac:dyDescent="0.35">
      <c r="B17" s="32" t="s">
        <v>104</v>
      </c>
      <c r="C17" s="37"/>
      <c r="E17" s="8" t="str">
        <f>IF(AND(C17="",C16=Control!D3),"Input required","")</f>
        <v/>
      </c>
      <c r="H17" t="str">
        <f>IF(AND(C17&gt;"",C$16=Control!D$4),"This is a Hearing with Cross Examination","")</f>
        <v/>
      </c>
    </row>
    <row r="18" spans="2:8" ht="15.65" customHeight="1" x14ac:dyDescent="0.35">
      <c r="B18" s="32" t="s">
        <v>105</v>
      </c>
      <c r="C18" s="37"/>
      <c r="E18" s="8" t="str">
        <f>IF(AND(C16=Control!D3,C18=""),"Input required","")</f>
        <v/>
      </c>
      <c r="G18" s="8">
        <f>Control!Q39</f>
        <v>0</v>
      </c>
      <c r="H18" t="str">
        <f>IF(AND(C18&gt;"",C$16=Control!D$4),"This is a Hearing with Cross Examination","please use HU2 for any hearing longer than HU1.")</f>
        <v>please use HU2 for any hearing longer than HU1.</v>
      </c>
    </row>
    <row r="19" spans="2:8" ht="15.65" customHeight="1" x14ac:dyDescent="0.35">
      <c r="B19" s="6" t="s">
        <v>106</v>
      </c>
      <c r="C19" s="36"/>
      <c r="E19" s="8" t="str">
        <f>IF(AND(C19="",C16=Control!D4),"Input required","")</f>
        <v/>
      </c>
      <c r="G19" s="33">
        <f>IF(AND(C16=Control!D4,'Cross Examination'!C19="No"),50%,100%)</f>
        <v>1</v>
      </c>
      <c r="H19" t="str">
        <f>IF(AND(C19&gt;"",C$16=Control!D$3),"This is a Preliminary Hearing","")</f>
        <v/>
      </c>
    </row>
    <row r="20" spans="2:8" ht="15.65" customHeight="1" x14ac:dyDescent="0.35">
      <c r="B20" s="39" t="s">
        <v>99</v>
      </c>
      <c r="C20" s="40"/>
      <c r="E20" s="8" t="str">
        <f>IF(AND(C20="",C19="No"),"Input required","")</f>
        <v/>
      </c>
      <c r="G20" s="33"/>
    </row>
    <row r="21" spans="2:8" ht="15.65" customHeight="1" x14ac:dyDescent="0.35">
      <c r="B21" s="39" t="s">
        <v>107</v>
      </c>
      <c r="C21" s="40"/>
      <c r="G21" s="33"/>
    </row>
    <row r="22" spans="2:8" ht="15.65" customHeight="1" x14ac:dyDescent="0.35">
      <c r="B22" s="6" t="s">
        <v>110</v>
      </c>
      <c r="C22" s="37"/>
      <c r="E22" s="8" t="str">
        <f>IF(AND(C19="Yes",C22="",C16=Control!D4),"Input required","")</f>
        <v/>
      </c>
      <c r="G22" s="33"/>
      <c r="H22" t="str">
        <f>IF(AND(C22&gt;"",C$16=Control!D$3),"This is a Preliminary Hearing","")</f>
        <v/>
      </c>
    </row>
    <row r="23" spans="2:8" ht="15.65" customHeight="1" thickBot="1" x14ac:dyDescent="0.4">
      <c r="B23" s="7" t="s">
        <v>100</v>
      </c>
      <c r="C23" s="123"/>
      <c r="E23" s="8" t="str">
        <f t="shared" si="0"/>
        <v>Input required</v>
      </c>
      <c r="F23" s="44">
        <f>G23</f>
        <v>0</v>
      </c>
      <c r="G23" s="17">
        <f>IF(C15=Control!D4,0,IF(AND(C19="No",C16=Control!D4),0,Control!I7))</f>
        <v>0</v>
      </c>
      <c r="H23" t="str">
        <f>IF(AND(C16=Control!D3,'Cross Examination'!C23=Control!E5),"ABP2 applied as ABP3 is not permitted in Preliminary Hearing cases","")</f>
        <v/>
      </c>
    </row>
    <row r="24" spans="2:8" ht="15" thickBot="1" x14ac:dyDescent="0.4">
      <c r="C24" s="9"/>
    </row>
    <row r="25" spans="2:8" x14ac:dyDescent="0.35">
      <c r="B25" s="5" t="s">
        <v>111</v>
      </c>
      <c r="C25" s="122"/>
    </row>
    <row r="26" spans="2:8" x14ac:dyDescent="0.35">
      <c r="B26" s="6" t="s">
        <v>92</v>
      </c>
      <c r="C26" s="120"/>
      <c r="F26" s="44">
        <f>IF(Control!C24="new rules",SUM(C26*Control!C12),0)</f>
        <v>0</v>
      </c>
    </row>
    <row r="27" spans="2:8" x14ac:dyDescent="0.35">
      <c r="B27" s="6" t="s">
        <v>72</v>
      </c>
      <c r="C27" s="92"/>
      <c r="E27" s="8" t="str">
        <f>IF(C27&gt;Control!C11,"Error","")</f>
        <v/>
      </c>
      <c r="F27" s="44">
        <f>IF(Control!C24="new rules",IF(C27&gt;180,180,C27),0)</f>
        <v>0</v>
      </c>
      <c r="H27" t="str">
        <f>IF(E27="Error","Maximum value of Public transport is £180.00","")</f>
        <v/>
      </c>
    </row>
    <row r="28" spans="2:8" x14ac:dyDescent="0.35">
      <c r="B28" s="6" t="s">
        <v>93</v>
      </c>
      <c r="C28" s="91"/>
      <c r="E28" s="8" t="str">
        <f>IF(OR(C$27&lt;"",C$26&lt;""),"Input required","")</f>
        <v/>
      </c>
    </row>
    <row r="29" spans="2:8" x14ac:dyDescent="0.35">
      <c r="B29" s="6" t="s">
        <v>94</v>
      </c>
      <c r="C29" s="91"/>
      <c r="E29" s="8" t="str">
        <f>IF(OR(C$27&lt;"",C$26&lt;""),"Input required","")</f>
        <v/>
      </c>
    </row>
    <row r="30" spans="2:8" x14ac:dyDescent="0.35">
      <c r="B30" s="6" t="s">
        <v>73</v>
      </c>
      <c r="C30" s="93"/>
    </row>
    <row r="31" spans="2:8" x14ac:dyDescent="0.35">
      <c r="B31" s="6" t="s">
        <v>74</v>
      </c>
      <c r="C31" s="93"/>
      <c r="H31" t="str">
        <f>IF(AND(C32&gt;0,C31=""),"Error, please enter number of nights","")</f>
        <v/>
      </c>
    </row>
    <row r="32" spans="2:8" x14ac:dyDescent="0.35">
      <c r="B32" s="6" t="s">
        <v>75</v>
      </c>
      <c r="C32" s="92"/>
      <c r="E32" s="8" t="str">
        <f>IF(C32&gt;Control!C16,"Error","")</f>
        <v/>
      </c>
      <c r="F32" s="44">
        <f>IF(AND(C31&gt;0,Control!C24="new rules"),Control!C16,0)</f>
        <v>0</v>
      </c>
      <c r="H32" t="str">
        <f>IF(E32="Error","Claim limited based on the number of miles and/or nights entered.","")</f>
        <v/>
      </c>
    </row>
    <row r="33" spans="2:8" x14ac:dyDescent="0.35">
      <c r="B33" s="6" t="s">
        <v>90</v>
      </c>
      <c r="C33" s="92"/>
      <c r="E33" s="8" t="str">
        <f>IF(C33="","",IF(OR(F32=0,C33&gt;SUM(Control!D17*Control!C17)),"Error",""))</f>
        <v/>
      </c>
      <c r="F33" s="44">
        <f>IF(Control!C24="new rules",Control!C18,0)</f>
        <v>0</v>
      </c>
      <c r="H33" t="str">
        <f>IF(E33="Error","Maximum subsistence is £21 per night linked to accommodation","")</f>
        <v/>
      </c>
    </row>
    <row r="34" spans="2:8" x14ac:dyDescent="0.35">
      <c r="B34" s="6" t="s">
        <v>91</v>
      </c>
      <c r="C34" s="93"/>
    </row>
    <row r="35" spans="2:8" x14ac:dyDescent="0.35">
      <c r="B35" s="6" t="s">
        <v>76</v>
      </c>
      <c r="C35" s="92"/>
      <c r="E35" s="8" t="str">
        <f>IF(C35&gt;Control!C20,"Error","")</f>
        <v/>
      </c>
      <c r="F35" s="44">
        <f>IF(Control!C24="new rules",Control!C20,0)</f>
        <v>0</v>
      </c>
      <c r="H35" t="str">
        <f>IF(E35="Error","Maximum allowance is £40 per hearing day","")</f>
        <v/>
      </c>
    </row>
    <row r="36" spans="2:8" ht="15" thickBot="1" x14ac:dyDescent="0.4">
      <c r="B36" s="7" t="s">
        <v>101</v>
      </c>
      <c r="C36" s="94"/>
    </row>
    <row r="37" spans="2:8" ht="15" thickBot="1" x14ac:dyDescent="0.4">
      <c r="C37" s="9"/>
    </row>
    <row r="38" spans="2:8" x14ac:dyDescent="0.35">
      <c r="B38" s="5" t="s">
        <v>4</v>
      </c>
      <c r="C38" s="26">
        <f>IF(C20="No",0,SUM(G38+G40))</f>
        <v>0</v>
      </c>
      <c r="E38" s="8" t="str">
        <f t="shared" si="0"/>
        <v/>
      </c>
      <c r="G38" s="34">
        <f>SUM(G16+G23+G22)</f>
        <v>0</v>
      </c>
    </row>
    <row r="39" spans="2:8" x14ac:dyDescent="0.35">
      <c r="B39" s="6" t="s">
        <v>5</v>
      </c>
      <c r="C39" s="27"/>
      <c r="E39" s="8" t="str">
        <f t="shared" si="0"/>
        <v>Input required</v>
      </c>
    </row>
    <row r="40" spans="2:8" ht="15" thickBot="1" x14ac:dyDescent="0.4">
      <c r="B40" s="7" t="s">
        <v>23</v>
      </c>
      <c r="C40" s="38">
        <f>SUM(C39*C38)+C38</f>
        <v>0</v>
      </c>
      <c r="G40" s="44">
        <f>SUM(F26+F27+F32+F33+F35)</f>
        <v>0</v>
      </c>
    </row>
    <row r="41" spans="2:8" ht="15" thickBot="1" x14ac:dyDescent="0.4"/>
    <row r="42" spans="2:8" x14ac:dyDescent="0.35">
      <c r="B42" s="5" t="s">
        <v>18</v>
      </c>
      <c r="C42" s="10"/>
    </row>
    <row r="43" spans="2:8" x14ac:dyDescent="0.35">
      <c r="B43" s="6" t="s">
        <v>19</v>
      </c>
      <c r="C43" s="11"/>
    </row>
    <row r="44" spans="2:8" x14ac:dyDescent="0.35">
      <c r="B44" s="6"/>
      <c r="C44" s="11"/>
    </row>
    <row r="45" spans="2:8" x14ac:dyDescent="0.35">
      <c r="B45" s="6" t="s">
        <v>20</v>
      </c>
      <c r="C45" s="12"/>
      <c r="E45" s="8" t="str">
        <f t="shared" ref="E45:E46" si="1">IF(C45="","Input required","")</f>
        <v>Input required</v>
      </c>
    </row>
    <row r="46" spans="2:8" ht="15" thickBot="1" x14ac:dyDescent="0.4">
      <c r="B46" s="7" t="s">
        <v>21</v>
      </c>
      <c r="C46" s="13"/>
      <c r="E46" s="8" t="str">
        <f t="shared" si="1"/>
        <v>Input required</v>
      </c>
      <c r="G46" s="34"/>
    </row>
    <row r="48" spans="2:8" x14ac:dyDescent="0.35">
      <c r="B48" t="s">
        <v>102</v>
      </c>
    </row>
  </sheetData>
  <sheetProtection algorithmName="SHA-512" hashValue="8+12bQ5IxlKV9GGQTxGM4HKN1jcc6x4n9EWMzhNzEBd5EkWntT1+2N1f3AHHFhresU5P0Zij7AvaemiPzLphmQ==" saltValue="9oj3Cx8Bor8v0qYE6/dUNQ==" spinCount="100000" sheet="1" objects="1" scenarios="1"/>
  <conditionalFormatting sqref="E12:F23 E7:F10 E6">
    <cfRule type="cellIs" dxfId="20" priority="26" operator="equal">
      <formula>"input Required"</formula>
    </cfRule>
  </conditionalFormatting>
  <conditionalFormatting sqref="E38:F38">
    <cfRule type="cellIs" dxfId="19" priority="25" operator="equal">
      <formula>"input Required"</formula>
    </cfRule>
  </conditionalFormatting>
  <conditionalFormatting sqref="E45:F46">
    <cfRule type="cellIs" dxfId="18" priority="23" operator="equal">
      <formula>"input Required"</formula>
    </cfRule>
  </conditionalFormatting>
  <conditionalFormatting sqref="E39:F39">
    <cfRule type="cellIs" dxfId="17" priority="19" operator="equal">
      <formula>"input Required"</formula>
    </cfRule>
  </conditionalFormatting>
  <conditionalFormatting sqref="H17:H18">
    <cfRule type="cellIs" dxfId="16" priority="17" operator="greaterThan">
      <formula>""""""</formula>
    </cfRule>
  </conditionalFormatting>
  <conditionalFormatting sqref="H19:H22">
    <cfRule type="cellIs" dxfId="15" priority="16" operator="greaterThan">
      <formula>""""""</formula>
    </cfRule>
  </conditionalFormatting>
  <conditionalFormatting sqref="C22">
    <cfRule type="expression" dxfId="14" priority="15">
      <formula>$C$19="No"</formula>
    </cfRule>
  </conditionalFormatting>
  <conditionalFormatting sqref="C20:C21">
    <cfRule type="expression" dxfId="13" priority="14">
      <formula>$C$19="Yes"</formula>
    </cfRule>
  </conditionalFormatting>
  <conditionalFormatting sqref="H14">
    <cfRule type="expression" dxfId="12" priority="10">
      <formula>$C$14&lt;$I$14</formula>
    </cfRule>
    <cfRule type="expression" dxfId="11" priority="11">
      <formula>$C$14=""</formula>
    </cfRule>
  </conditionalFormatting>
  <conditionalFormatting sqref="C2">
    <cfRule type="cellIs" dxfId="10" priority="12" operator="greaterThan">
      <formula>""""""</formula>
    </cfRule>
  </conditionalFormatting>
  <conditionalFormatting sqref="H18">
    <cfRule type="expression" dxfId="9" priority="9">
      <formula>$C$18=""</formula>
    </cfRule>
  </conditionalFormatting>
  <conditionalFormatting sqref="E26:E27 E30:E36">
    <cfRule type="cellIs" dxfId="8" priority="7" operator="equal">
      <formula>"Error"</formula>
    </cfRule>
  </conditionalFormatting>
  <conditionalFormatting sqref="H1">
    <cfRule type="cellIs" dxfId="7" priority="5" operator="greaterThan">
      <formula>""""""</formula>
    </cfRule>
    <cfRule type="cellIs" dxfId="6" priority="6" operator="greaterThan">
      <formula>""""""</formula>
    </cfRule>
  </conditionalFormatting>
  <conditionalFormatting sqref="C26:C33">
    <cfRule type="expression" dxfId="5" priority="4">
      <formula>$C$25="No"</formula>
    </cfRule>
  </conditionalFormatting>
  <conditionalFormatting sqref="E28:E29">
    <cfRule type="cellIs" dxfId="4" priority="3" operator="equal">
      <formula>"input Required"</formula>
    </cfRule>
  </conditionalFormatting>
  <conditionalFormatting sqref="C23">
    <cfRule type="expression" dxfId="3" priority="1">
      <formula>$C$19="No"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C853F508-2515-4CFE-B9B9-9E44F8A949CE}">
            <xm:f>$C$16=Control!$D$4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C17:C18</xm:sqref>
        </x14:conditionalFormatting>
        <x14:conditionalFormatting xmlns:xm="http://schemas.microsoft.com/office/excel/2006/main">
          <x14:cfRule type="expression" priority="20" id="{1A6A70C3-6FF2-4ABE-BBA6-35DD2802A96A}">
            <xm:f>$C$16=Control!$D$3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C19:C22</xm:sqref>
        </x14:conditionalFormatting>
        <x14:conditionalFormatting xmlns:xm="http://schemas.microsoft.com/office/excel/2006/main">
          <x14:cfRule type="expression" priority="2" id="{ADE74251-D448-4C1B-ADD4-B9773F078F73}">
            <xm:f>$C$16=Control!$D$3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80F46BE-69C6-4561-91DC-4A00DC09F8AA}">
          <x14:formula1>
            <xm:f>Control!$B$3:$B$5</xm:f>
          </x14:formula1>
          <xm:sqref>C13</xm:sqref>
        </x14:dataValidation>
        <x14:dataValidation type="list" allowBlank="1" showInputMessage="1" showErrorMessage="1" xr:uid="{2C5298A5-A2C8-453B-91E3-78D94218F8E0}">
          <x14:formula1>
            <xm:f>Control!$C$3:$C$8</xm:f>
          </x14:formula1>
          <xm:sqref>C15</xm:sqref>
        </x14:dataValidation>
        <x14:dataValidation type="list" allowBlank="1" showInputMessage="1" showErrorMessage="1" xr:uid="{EB324764-76EB-4CD3-B0FD-CE705FFA0F8A}">
          <x14:formula1>
            <xm:f>Control!$D$3:$D$4</xm:f>
          </x14:formula1>
          <xm:sqref>C16</xm:sqref>
        </x14:dataValidation>
        <x14:dataValidation type="list" allowBlank="1" showInputMessage="1" showErrorMessage="1" xr:uid="{917AB7DB-F042-42BC-9729-94FFC8CABF1D}">
          <x14:formula1>
            <xm:f>Control!$E$3:$E$5</xm:f>
          </x14:formula1>
          <xm:sqref>C37 C24</xm:sqref>
        </x14:dataValidation>
        <x14:dataValidation type="list" allowBlank="1" showInputMessage="1" showErrorMessage="1" xr:uid="{987BAAA4-3026-4919-8B6E-F80F291253DB}">
          <x14:formula1>
            <xm:f>Control!$F$8:$F$9</xm:f>
          </x14:formula1>
          <xm:sqref>C19:C21 C36 C25</xm:sqref>
        </x14:dataValidation>
        <x14:dataValidation type="list" allowBlank="1" showInputMessage="1" showErrorMessage="1" xr:uid="{C8986B01-044A-4BEA-AAF5-EC0FE79C1326}">
          <x14:formula1>
            <xm:f>Control!$G$3:$G$4</xm:f>
          </x14:formula1>
          <xm:sqref>C39</xm:sqref>
        </x14:dataValidation>
        <x14:dataValidation type="list" allowBlank="1" showInputMessage="1" showErrorMessage="1" xr:uid="{33B03C8D-6C7A-4BDF-AE54-78891B7FA864}">
          <x14:formula1>
            <xm:f>Control!$F$3:$F$4</xm:f>
          </x14:formula1>
          <xm:sqref>C18</xm:sqref>
        </x14:dataValidation>
        <x14:dataValidation type="list" allowBlank="1" showInputMessage="1" showErrorMessage="1" xr:uid="{D2A0DD76-7F76-48C8-8AC4-EB7EB5DAB619}">
          <x14:formula1>
            <xm:f>Control!$E$3:$E$6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D294-A196-4608-BDA3-1E5AA6629B84}">
  <dimension ref="B1:AI3"/>
  <sheetViews>
    <sheetView zoomScale="80" zoomScaleNormal="80" workbookViewId="0">
      <selection activeCell="B3" sqref="B3:AI3"/>
    </sheetView>
  </sheetViews>
  <sheetFormatPr defaultRowHeight="14.5" x14ac:dyDescent="0.35"/>
  <cols>
    <col min="1" max="2" width="4.453125" customWidth="1"/>
    <col min="3" max="8" width="5.453125" customWidth="1"/>
    <col min="9" max="9" width="10.81640625" bestFit="1" customWidth="1"/>
    <col min="10" max="10" width="8.26953125" bestFit="1" customWidth="1"/>
    <col min="11" max="34" width="5.453125" customWidth="1"/>
    <col min="35" max="35" width="10.81640625" bestFit="1" customWidth="1"/>
  </cols>
  <sheetData>
    <row r="1" spans="2:35" ht="40" customHeight="1" x14ac:dyDescent="0.35">
      <c r="T1" s="1"/>
      <c r="U1" s="1"/>
      <c r="V1" s="1"/>
    </row>
    <row r="2" spans="2:35" s="2" customFormat="1" ht="40" customHeight="1" x14ac:dyDescent="0.35">
      <c r="B2" s="2" t="str">
        <f>'Cross Examination'!B6</f>
        <v>QLR Name</v>
      </c>
      <c r="C2" s="2" t="str">
        <f>'Cross Examination'!B7</f>
        <v>QLR Account Name</v>
      </c>
      <c r="D2" s="2" t="str">
        <f>'Cross Examination'!B8</f>
        <v>QLR Account Number</v>
      </c>
      <c r="E2" s="2" t="str">
        <f>'Cross Examination'!B9</f>
        <v>QLR Reference</v>
      </c>
      <c r="F2" s="2" t="str">
        <f>'Cross Examination'!B10</f>
        <v>Client Name</v>
      </c>
      <c r="G2" s="2" t="str">
        <f>'Cross Examination'!B12</f>
        <v>Court Case Number</v>
      </c>
      <c r="H2" s="2" t="str">
        <f>'Cross Examination'!B13</f>
        <v>Judge Level</v>
      </c>
      <c r="I2" s="2" t="str">
        <f>'Cross Examination'!B14</f>
        <v>Date of Hearing</v>
      </c>
      <c r="J2" s="2" t="str">
        <f>'Cross Examination'!B15</f>
        <v>Proceedings type</v>
      </c>
      <c r="K2" s="2" t="str">
        <f>'Cross Examination'!$B16</f>
        <v>Type of Hearing</v>
      </c>
      <c r="L2" s="2" t="str">
        <f>'Cross Examination'!$B17</f>
        <v>Preliminary Hearing: hearing length (minutes)(Enter “1” for terminated appointment/cancelled preliminary hearing)</v>
      </c>
      <c r="M2" s="2" t="str">
        <f>'Cross Examination'!$B18</f>
        <v>Preliminary Hearing: unit length (select HU1 for terminated appointment/cancelled preliminary hearing)</v>
      </c>
      <c r="N2" s="2" t="str">
        <f>'Cross Examination'!$B19</f>
        <v xml:space="preserve">Did you conduct Cross examination? (Hearings without Cross examination are preliminary hearings) </v>
      </c>
      <c r="O2" s="2" t="str">
        <f>'Cross Examination'!$B20</f>
        <v>Has the Cross examination Hearing been Cancelled and you spent at least 30 minutes on the matter?</v>
      </c>
      <c r="P2" s="2" t="str">
        <f>'Cross Examination'!$B21</f>
        <v>Was your QLR appointment terminated by the court before the Cross examination hearing (30 minutes preparation)?</v>
      </c>
      <c r="Q2" s="2" t="str">
        <f>'Cross Examination'!$B22</f>
        <v>If Cross examination occurred, how many days was the Hearing (whole numbers only)?</v>
      </c>
      <c r="R2" s="2" t="str">
        <f>'Cross Examination'!$B23</f>
        <v>Advocates Bundle</v>
      </c>
      <c r="S2" s="2" t="str">
        <f>'Cross Examination'!$B25</f>
        <v>Is the court 10 miles or more from the QLR’s usual office/chambers?</v>
      </c>
      <c r="T2" s="2" t="str">
        <f>'Cross Examination'!$B26</f>
        <v>Driving mileage (number of miles travelled)</v>
      </c>
      <c r="U2" s="2" t="str">
        <f>'Cross Examination'!$B27</f>
        <v>Public transport (amount paid £)</v>
      </c>
      <c r="V2" s="2" t="str">
        <f>'Cross Examination'!$B28</f>
        <v>Starting postcode</v>
      </c>
      <c r="W2" s="2" t="str">
        <f>'Cross Examination'!$B29</f>
        <v>Destination postcode</v>
      </c>
      <c r="X2" s="2" t="str">
        <f>'Cross Examination'!$B30</f>
        <v>Accommodation (approx number of miles from base office)</v>
      </c>
      <c r="Y2" s="2" t="str">
        <f>'Cross Examination'!$B31</f>
        <v>Accommodation (number of nights)</v>
      </c>
      <c r="Z2" s="2" t="str">
        <f>'Cross Examination'!$B32</f>
        <v>Accommodation (amount paid £)</v>
      </c>
      <c r="AA2" s="2" t="str">
        <f>'Cross Examination'!$B33</f>
        <v>Subsistence (amount paid £)</v>
      </c>
      <c r="AB2" s="2" t="str">
        <f>'Cross Examination'!$B34</f>
        <v>Number of hearing days</v>
      </c>
      <c r="AC2" s="2" t="str">
        <f>'Cross Examination'!$B35</f>
        <v>Out of pocket expenses (amount paid £)</v>
      </c>
      <c r="AD2" s="2" t="str">
        <f>'Cross Examination'!$B36</f>
        <v>If your QLR appointment has been terminated have you attempted to recover costs within 24 hours?</v>
      </c>
      <c r="AE2" s="2" t="str">
        <f>'Cross Examination'!B38</f>
        <v>Total Claim (Net)</v>
      </c>
      <c r="AF2" s="2" t="str">
        <f>'Cross Examination'!B39</f>
        <v>VAT</v>
      </c>
      <c r="AG2" s="2" t="str">
        <f>'Cross Examination'!B40</f>
        <v>Total</v>
      </c>
      <c r="AH2" s="2" t="str">
        <f>'Cross Examination'!B45</f>
        <v>Signed</v>
      </c>
      <c r="AI2" s="2" t="str">
        <f>'Cross Examination'!B46</f>
        <v>Dated</v>
      </c>
    </row>
    <row r="3" spans="2:35" s="2" customFormat="1" x14ac:dyDescent="0.35">
      <c r="B3" s="2">
        <f>'Cross Examination'!C6</f>
        <v>0</v>
      </c>
      <c r="C3" s="2">
        <f>'Cross Examination'!C7</f>
        <v>0</v>
      </c>
      <c r="D3" s="2">
        <f>'Cross Examination'!C8</f>
        <v>0</v>
      </c>
      <c r="E3" s="2">
        <f>'Cross Examination'!C9</f>
        <v>0</v>
      </c>
      <c r="F3" s="2">
        <f>'Cross Examination'!C10</f>
        <v>0</v>
      </c>
      <c r="G3" s="2">
        <f>'Cross Examination'!C12</f>
        <v>0</v>
      </c>
      <c r="H3" s="2">
        <f>'Cross Examination'!C13</f>
        <v>0</v>
      </c>
      <c r="I3" s="3">
        <f>'Cross Examination'!C14</f>
        <v>0</v>
      </c>
      <c r="J3" s="2">
        <f>'Cross Examination'!C15</f>
        <v>0</v>
      </c>
      <c r="K3" s="2">
        <f>'Cross Examination'!$C16</f>
        <v>0</v>
      </c>
      <c r="L3" s="35">
        <f>'Cross Examination'!$C17</f>
        <v>0</v>
      </c>
      <c r="M3" s="35">
        <f>'Cross Examination'!$C18</f>
        <v>0</v>
      </c>
      <c r="N3" s="2">
        <f>'Cross Examination'!$C19</f>
        <v>0</v>
      </c>
      <c r="O3" s="35">
        <f>'Cross Examination'!$C20</f>
        <v>0</v>
      </c>
      <c r="P3" s="35">
        <f>'Cross Examination'!$C21</f>
        <v>0</v>
      </c>
      <c r="Q3" s="35">
        <f>'Cross Examination'!$C22</f>
        <v>0</v>
      </c>
      <c r="R3" s="2">
        <f>'Cross Examination'!$C23</f>
        <v>0</v>
      </c>
      <c r="S3" s="35">
        <f>'Cross Examination'!$C25</f>
        <v>0</v>
      </c>
      <c r="T3" s="35">
        <f>'Cross Examination'!$C26</f>
        <v>0</v>
      </c>
      <c r="U3" s="2">
        <f>'Cross Examination'!$C27</f>
        <v>0</v>
      </c>
      <c r="V3" s="2">
        <f>'Cross Examination'!$C28</f>
        <v>0</v>
      </c>
      <c r="W3" s="2">
        <f>'Cross Examination'!$C29</f>
        <v>0</v>
      </c>
      <c r="X3" s="118">
        <f>'Cross Examination'!$C30</f>
        <v>0</v>
      </c>
      <c r="Y3" s="118">
        <f>'Cross Examination'!$C31</f>
        <v>0</v>
      </c>
      <c r="Z3" s="121">
        <f>'Cross Examination'!$C32</f>
        <v>0</v>
      </c>
      <c r="AA3" s="121">
        <f>'Cross Examination'!$C33</f>
        <v>0</v>
      </c>
      <c r="AB3" s="118">
        <f>'Cross Examination'!$C34</f>
        <v>0</v>
      </c>
      <c r="AC3" s="2">
        <f>'Cross Examination'!$C35</f>
        <v>0</v>
      </c>
      <c r="AD3" s="2">
        <f>'Cross Examination'!$C36</f>
        <v>0</v>
      </c>
      <c r="AE3" s="121">
        <f>'Cross Examination'!C38</f>
        <v>0</v>
      </c>
      <c r="AF3" s="121">
        <f>'Cross Examination'!C39</f>
        <v>0</v>
      </c>
      <c r="AG3" s="121">
        <f>'Cross Examination'!C40</f>
        <v>0</v>
      </c>
      <c r="AH3" s="2">
        <f>'Cross Examination'!C45</f>
        <v>0</v>
      </c>
      <c r="AI3" s="3">
        <f>'Cross Examination'!C46</f>
        <v>0</v>
      </c>
    </row>
  </sheetData>
  <sheetProtection algorithmName="SHA-512" hashValue="QbigbnodBws7IwlqdJ8wDvcacx2gbQX/r46Ps2vYLZToKiQRJGzGe3nIH6+j0S02cTDiL8oDGF4yWBc6oTvl2Q==" saltValue="jJ+DFoBKl8Fzw4E1FrQ3a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5020-9CA0-478E-A8EC-F6092B182591}">
  <dimension ref="A1:AA50"/>
  <sheetViews>
    <sheetView workbookViewId="0">
      <selection activeCell="P40" sqref="P40"/>
    </sheetView>
  </sheetViews>
  <sheetFormatPr defaultRowHeight="14.5" x14ac:dyDescent="0.35"/>
  <cols>
    <col min="1" max="1" width="10.453125" bestFit="1" customWidth="1"/>
    <col min="2" max="2" width="13" customWidth="1"/>
    <col min="3" max="3" width="18.81640625" bestFit="1" customWidth="1"/>
    <col min="4" max="4" width="27.54296875" bestFit="1" customWidth="1"/>
    <col min="6" max="6" width="22.81640625" bestFit="1" customWidth="1"/>
    <col min="8" max="8" width="17.81640625" bestFit="1" customWidth="1"/>
    <col min="10" max="10" width="24.7265625" customWidth="1"/>
    <col min="11" max="11" width="12.1796875" style="8" bestFit="1" customWidth="1"/>
    <col min="12" max="12" width="19.54296875" style="8" bestFit="1" customWidth="1"/>
    <col min="13" max="13" width="14.453125" style="8" bestFit="1" customWidth="1"/>
    <col min="14" max="14" width="3.1796875" style="8" customWidth="1"/>
    <col min="15" max="15" width="11.453125" style="8" customWidth="1"/>
    <col min="16" max="16" width="60.1796875" style="8" customWidth="1"/>
    <col min="17" max="17" width="17.1796875" style="8" bestFit="1" customWidth="1"/>
    <col min="18" max="19" width="21.54296875" customWidth="1"/>
    <col min="20" max="20" width="21.54296875" style="8" customWidth="1"/>
    <col min="21" max="21" width="15.453125" style="8" bestFit="1" customWidth="1"/>
    <col min="22" max="22" width="11.81640625" style="8" bestFit="1" customWidth="1"/>
    <col min="27" max="27" width="12.54296875" customWidth="1"/>
  </cols>
  <sheetData>
    <row r="1" spans="1:25" x14ac:dyDescent="0.35">
      <c r="A1" t="s">
        <v>103</v>
      </c>
      <c r="B1" s="14" t="s">
        <v>63</v>
      </c>
      <c r="C1" s="14"/>
      <c r="D1" s="14"/>
      <c r="E1" s="14"/>
      <c r="F1" s="14"/>
      <c r="G1" s="14"/>
      <c r="H1" s="15" t="s">
        <v>64</v>
      </c>
      <c r="I1" s="15"/>
      <c r="J1" s="16" t="str">
        <f>D3</f>
        <v>Preliminary hearing</v>
      </c>
      <c r="K1" s="17"/>
      <c r="L1" s="17"/>
      <c r="M1" s="17"/>
    </row>
    <row r="2" spans="1:25" x14ac:dyDescent="0.35">
      <c r="B2" s="14" t="s">
        <v>6</v>
      </c>
      <c r="C2" s="14" t="s">
        <v>7</v>
      </c>
      <c r="D2" s="14" t="s">
        <v>8</v>
      </c>
      <c r="E2" s="14" t="s">
        <v>3</v>
      </c>
      <c r="F2" s="14" t="s">
        <v>9</v>
      </c>
      <c r="G2" s="14" t="s">
        <v>5</v>
      </c>
      <c r="H2" s="21">
        <f>'Cross Examination'!C16</f>
        <v>0</v>
      </c>
      <c r="I2" s="21">
        <f>Q21+U40</f>
        <v>0</v>
      </c>
      <c r="J2" s="16" t="s">
        <v>25</v>
      </c>
      <c r="K2" s="17"/>
      <c r="L2" s="17"/>
      <c r="M2" s="17"/>
    </row>
    <row r="3" spans="1:25" x14ac:dyDescent="0.35">
      <c r="B3" s="14" t="s">
        <v>109</v>
      </c>
      <c r="C3" s="14" t="s">
        <v>45</v>
      </c>
      <c r="D3" s="14" t="s">
        <v>13</v>
      </c>
      <c r="E3" s="14" t="s">
        <v>15</v>
      </c>
      <c r="F3" s="14" t="s">
        <v>30</v>
      </c>
      <c r="G3" s="47">
        <v>0</v>
      </c>
      <c r="H3" s="21">
        <f>'Cross Examination'!C15</f>
        <v>0</v>
      </c>
      <c r="I3" s="21"/>
      <c r="J3" s="16" t="s">
        <v>26</v>
      </c>
      <c r="K3" s="17"/>
      <c r="L3" s="17"/>
      <c r="M3" s="17"/>
    </row>
    <row r="4" spans="1:25" ht="15" thickBot="1" x14ac:dyDescent="0.4">
      <c r="B4" s="14" t="s">
        <v>46</v>
      </c>
      <c r="C4" s="14" t="s">
        <v>108</v>
      </c>
      <c r="D4" s="14" t="s">
        <v>14</v>
      </c>
      <c r="E4" s="14" t="s">
        <v>16</v>
      </c>
      <c r="F4" s="14" t="s">
        <v>54</v>
      </c>
      <c r="G4" s="47">
        <v>0.2</v>
      </c>
      <c r="H4" s="21">
        <f>'Cross Examination'!C13</f>
        <v>0</v>
      </c>
      <c r="I4" s="21"/>
      <c r="J4" s="16" t="s">
        <v>27</v>
      </c>
      <c r="K4" s="17" t="s">
        <v>28</v>
      </c>
      <c r="L4" s="17"/>
      <c r="M4" s="17"/>
    </row>
    <row r="5" spans="1:25" x14ac:dyDescent="0.35">
      <c r="B5" s="14" t="s">
        <v>24</v>
      </c>
      <c r="C5" s="14" t="s">
        <v>10</v>
      </c>
      <c r="D5" s="14"/>
      <c r="E5" s="14" t="s">
        <v>17</v>
      </c>
      <c r="F5" s="14"/>
      <c r="G5" s="14"/>
      <c r="H5" s="48">
        <f>'Cross Examination'!C18</f>
        <v>0</v>
      </c>
      <c r="I5" s="21"/>
      <c r="J5" s="16"/>
      <c r="K5" s="17" t="str">
        <f>B3</f>
        <v>Justices’ Legal Advisor/Lay Justice</v>
      </c>
      <c r="L5" s="17" t="s">
        <v>46</v>
      </c>
      <c r="M5" s="17" t="s">
        <v>24</v>
      </c>
      <c r="P5" s="76"/>
      <c r="Q5" s="83" t="s">
        <v>70</v>
      </c>
      <c r="R5" s="57"/>
      <c r="S5" s="57"/>
      <c r="T5" s="56"/>
      <c r="U5" s="56"/>
      <c r="V5" s="56"/>
      <c r="W5" s="57"/>
      <c r="X5" s="57"/>
      <c r="Y5" s="59"/>
    </row>
    <row r="6" spans="1:25" x14ac:dyDescent="0.35">
      <c r="B6" s="14"/>
      <c r="C6" s="14" t="s">
        <v>11</v>
      </c>
      <c r="D6" s="14"/>
      <c r="E6" s="14" t="s">
        <v>55</v>
      </c>
      <c r="F6" s="14" t="s">
        <v>37</v>
      </c>
      <c r="G6" s="14"/>
      <c r="H6" s="21" t="str">
        <f>IF('Cross Examination'!C19="Yes","Further Days","")</f>
        <v/>
      </c>
      <c r="I6" s="21"/>
      <c r="J6" s="16" t="s">
        <v>29</v>
      </c>
      <c r="K6" s="17"/>
      <c r="L6" s="17"/>
      <c r="M6" s="17"/>
      <c r="P6" s="86"/>
      <c r="Q6" s="87" t="s">
        <v>65</v>
      </c>
      <c r="R6" s="87"/>
      <c r="S6" s="87"/>
      <c r="T6" s="87" t="str">
        <f>K5</f>
        <v>Justices’ Legal Advisor/Lay Justice</v>
      </c>
      <c r="U6" s="87" t="str">
        <f t="shared" ref="U6:V6" si="0">L5</f>
        <v>Circuit or district</v>
      </c>
      <c r="V6" s="87" t="str">
        <f t="shared" si="0"/>
        <v>Higher courts</v>
      </c>
      <c r="W6" s="54"/>
      <c r="X6" s="54"/>
      <c r="Y6" s="60"/>
    </row>
    <row r="7" spans="1:25" x14ac:dyDescent="0.35">
      <c r="B7" s="14"/>
      <c r="C7" s="14" t="s">
        <v>12</v>
      </c>
      <c r="D7" s="14"/>
      <c r="E7" s="14"/>
      <c r="F7" s="14" t="s">
        <v>38</v>
      </c>
      <c r="G7" s="14"/>
      <c r="H7" s="21">
        <f>'Cross Examination'!C23</f>
        <v>0</v>
      </c>
      <c r="I7" s="21">
        <f>Q39</f>
        <v>0</v>
      </c>
      <c r="J7" s="16" t="s">
        <v>30</v>
      </c>
      <c r="K7" s="18">
        <v>68.959999999999994</v>
      </c>
      <c r="L7" s="18">
        <v>75.83</v>
      </c>
      <c r="M7" s="18">
        <v>91.04</v>
      </c>
      <c r="P7" s="88" t="str">
        <f>CONCATENATE(Q7,R7,S7)</f>
        <v>Preliminary hearingPrivate family (children)HU1 (Under one hour)</v>
      </c>
      <c r="Q7" s="89" t="str">
        <f>J$1</f>
        <v>Preliminary hearing</v>
      </c>
      <c r="R7" s="89" t="str">
        <f>J$6</f>
        <v>Private family (children)</v>
      </c>
      <c r="S7" s="89" t="str">
        <f>J7</f>
        <v>HU1 (Under one hour)</v>
      </c>
      <c r="T7" s="89">
        <f t="shared" ref="T7:V8" si="1">K7</f>
        <v>68.959999999999994</v>
      </c>
      <c r="U7" s="89">
        <f t="shared" si="1"/>
        <v>75.83</v>
      </c>
      <c r="V7" s="89">
        <f t="shared" si="1"/>
        <v>91.04</v>
      </c>
      <c r="W7" s="54"/>
      <c r="X7" s="54"/>
      <c r="Y7" s="60"/>
    </row>
    <row r="8" spans="1:25" x14ac:dyDescent="0.35">
      <c r="B8" s="14"/>
      <c r="C8" s="14" t="s">
        <v>34</v>
      </c>
      <c r="D8" s="14"/>
      <c r="E8" s="14"/>
      <c r="F8" s="14" t="s">
        <v>48</v>
      </c>
      <c r="G8" s="14"/>
      <c r="J8" s="16" t="s">
        <v>54</v>
      </c>
      <c r="K8" s="18">
        <v>172.41</v>
      </c>
      <c r="L8" s="18">
        <v>189.64000000000001</v>
      </c>
      <c r="M8" s="18">
        <v>227.56</v>
      </c>
      <c r="P8" s="88" t="str">
        <f t="shared" ref="P8:P18" si="2">CONCATENATE(Q8,R8,S8)</f>
        <v>Preliminary hearingPrivate family (children)HU2 (Greater than 1 hour)</v>
      </c>
      <c r="Q8" s="89" t="str">
        <f t="shared" ref="Q8:Q18" si="3">J$1</f>
        <v>Preliminary hearing</v>
      </c>
      <c r="R8" s="89" t="str">
        <f>J$6</f>
        <v>Private family (children)</v>
      </c>
      <c r="S8" s="89" t="str">
        <f>J8</f>
        <v>HU2 (Greater than 1 hour)</v>
      </c>
      <c r="T8" s="89">
        <f t="shared" si="1"/>
        <v>172.41</v>
      </c>
      <c r="U8" s="89">
        <f t="shared" si="1"/>
        <v>189.64000000000001</v>
      </c>
      <c r="V8" s="89">
        <f t="shared" si="1"/>
        <v>227.56</v>
      </c>
      <c r="W8" s="54"/>
      <c r="X8" s="54"/>
      <c r="Y8" s="60"/>
    </row>
    <row r="9" spans="1:25" x14ac:dyDescent="0.35">
      <c r="B9" s="14"/>
      <c r="C9" s="14"/>
      <c r="D9" s="14"/>
      <c r="E9" s="14"/>
      <c r="F9" s="14" t="s">
        <v>49</v>
      </c>
      <c r="G9" s="14"/>
      <c r="J9" s="16" t="s">
        <v>108</v>
      </c>
      <c r="K9" s="17"/>
      <c r="L9" s="17"/>
      <c r="M9" s="17"/>
      <c r="P9" s="88" t="str">
        <f t="shared" si="2"/>
        <v>Preliminary hearingPrivate Law (Domestic Abuse)HU1 (Under one hour)</v>
      </c>
      <c r="Q9" s="89" t="str">
        <f t="shared" si="3"/>
        <v>Preliminary hearing</v>
      </c>
      <c r="R9" s="89" t="str">
        <f>J9</f>
        <v>Private Law (Domestic Abuse)</v>
      </c>
      <c r="S9" s="89" t="str">
        <f>J10</f>
        <v>HU1 (Under one hour)</v>
      </c>
      <c r="T9" s="89">
        <f t="shared" ref="T9:V10" si="4">K10</f>
        <v>89.65</v>
      </c>
      <c r="U9" s="89">
        <f t="shared" si="4"/>
        <v>89.65</v>
      </c>
      <c r="V9" s="89">
        <f t="shared" si="4"/>
        <v>89.65</v>
      </c>
      <c r="W9" s="54"/>
      <c r="X9" s="54"/>
      <c r="Y9" s="60"/>
    </row>
    <row r="10" spans="1:25" ht="15" thickBot="1" x14ac:dyDescent="0.4">
      <c r="J10" s="16" t="s">
        <v>30</v>
      </c>
      <c r="K10" s="18">
        <v>89.65</v>
      </c>
      <c r="L10" s="18">
        <v>89.65</v>
      </c>
      <c r="M10" s="18">
        <v>89.65</v>
      </c>
      <c r="P10" s="88" t="str">
        <f t="shared" si="2"/>
        <v>Preliminary hearingPrivate Law (Domestic Abuse)HU2 (Greater than 1 hour)</v>
      </c>
      <c r="Q10" s="89" t="str">
        <f t="shared" si="3"/>
        <v>Preliminary hearing</v>
      </c>
      <c r="R10" s="89" t="str">
        <f>J9</f>
        <v>Private Law (Domestic Abuse)</v>
      </c>
      <c r="S10" s="89" t="str">
        <f>J11</f>
        <v>HU2 (Greater than 1 hour)</v>
      </c>
      <c r="T10" s="89">
        <f t="shared" si="4"/>
        <v>224.14</v>
      </c>
      <c r="U10" s="89">
        <f t="shared" si="4"/>
        <v>224.14</v>
      </c>
      <c r="V10" s="89">
        <f t="shared" si="4"/>
        <v>224.14</v>
      </c>
      <c r="W10" s="54"/>
      <c r="X10" s="54"/>
      <c r="Y10" s="60"/>
    </row>
    <row r="11" spans="1:25" x14ac:dyDescent="0.35">
      <c r="A11" s="95"/>
      <c r="B11" s="96" t="s">
        <v>77</v>
      </c>
      <c r="C11" s="97">
        <v>180</v>
      </c>
      <c r="D11" s="98"/>
      <c r="E11" s="98"/>
      <c r="F11" s="99"/>
      <c r="J11" s="16" t="s">
        <v>54</v>
      </c>
      <c r="K11" s="18">
        <v>224.14</v>
      </c>
      <c r="L11" s="18">
        <v>224.14</v>
      </c>
      <c r="M11" s="18">
        <v>224.14</v>
      </c>
      <c r="P11" s="88" t="str">
        <f t="shared" si="2"/>
        <v>Preliminary hearingFinancial remedyHU1 (Under one hour)</v>
      </c>
      <c r="Q11" s="89" t="str">
        <f t="shared" si="3"/>
        <v>Preliminary hearing</v>
      </c>
      <c r="R11" s="89" t="str">
        <f>J12</f>
        <v>Financial remedy</v>
      </c>
      <c r="S11" s="90" t="str">
        <f>J13</f>
        <v>HU1 (Under one hour)</v>
      </c>
      <c r="T11" s="90">
        <f t="shared" ref="T11:V11" si="5">K13</f>
        <v>69.5</v>
      </c>
      <c r="U11" s="90">
        <f t="shared" si="5"/>
        <v>69.5</v>
      </c>
      <c r="V11" s="90">
        <f t="shared" si="5"/>
        <v>83.41</v>
      </c>
      <c r="W11" s="54"/>
      <c r="X11" s="54"/>
      <c r="Y11" s="60"/>
    </row>
    <row r="12" spans="1:25" ht="15" thickBot="1" x14ac:dyDescent="0.4">
      <c r="A12" s="100"/>
      <c r="B12" s="101" t="s">
        <v>78</v>
      </c>
      <c r="C12" s="102">
        <v>0.45</v>
      </c>
      <c r="D12" s="102"/>
      <c r="E12" s="102"/>
      <c r="F12" s="103"/>
      <c r="J12" s="16" t="s">
        <v>31</v>
      </c>
      <c r="K12" s="17"/>
      <c r="L12" s="17"/>
      <c r="M12" s="17"/>
      <c r="P12" s="88" t="str">
        <f t="shared" si="2"/>
        <v>Preliminary hearingFinancial remedyHU2 (Greater than 1 hour)</v>
      </c>
      <c r="Q12" s="89" t="str">
        <f t="shared" si="3"/>
        <v>Preliminary hearing</v>
      </c>
      <c r="R12" s="89" t="str">
        <f>J12</f>
        <v>Financial remedy</v>
      </c>
      <c r="S12" s="90" t="str">
        <f>J14</f>
        <v>HU2 (Greater than 1 hour)</v>
      </c>
      <c r="T12" s="90">
        <f t="shared" ref="T12:V12" si="6">K14</f>
        <v>173.75</v>
      </c>
      <c r="U12" s="90">
        <f t="shared" si="6"/>
        <v>173.75</v>
      </c>
      <c r="V12" s="90">
        <f t="shared" si="6"/>
        <v>208.49</v>
      </c>
      <c r="W12" s="54"/>
      <c r="X12" s="54"/>
      <c r="Y12" s="60"/>
    </row>
    <row r="13" spans="1:25" x14ac:dyDescent="0.35">
      <c r="A13" s="100"/>
      <c r="B13" s="95"/>
      <c r="C13" s="98"/>
      <c r="D13" s="98" t="s">
        <v>79</v>
      </c>
      <c r="E13" s="98" t="s">
        <v>80</v>
      </c>
      <c r="F13" s="99" t="s">
        <v>81</v>
      </c>
      <c r="J13" s="16" t="s">
        <v>30</v>
      </c>
      <c r="K13" s="18">
        <v>69.5</v>
      </c>
      <c r="L13" s="18">
        <v>69.5</v>
      </c>
      <c r="M13" s="18">
        <v>83.41</v>
      </c>
      <c r="P13" s="88" t="str">
        <f t="shared" si="2"/>
        <v>Preliminary hearingPublic family (care)HU1 (Under one hour)</v>
      </c>
      <c r="Q13" s="89" t="str">
        <f t="shared" si="3"/>
        <v>Preliminary hearing</v>
      </c>
      <c r="R13" s="89" t="str">
        <f>J15</f>
        <v>Public family (care)</v>
      </c>
      <c r="S13" s="89" t="str">
        <f>J16</f>
        <v>HU1 (Under one hour)</v>
      </c>
      <c r="T13" s="89">
        <f t="shared" ref="T13:V13" si="7">K16</f>
        <v>95.39</v>
      </c>
      <c r="U13" s="89">
        <f t="shared" si="7"/>
        <v>104.94000000000001</v>
      </c>
      <c r="V13" s="89">
        <f t="shared" si="7"/>
        <v>125.93</v>
      </c>
      <c r="W13" s="54"/>
      <c r="X13" s="54"/>
      <c r="Y13" s="60"/>
    </row>
    <row r="14" spans="1:25" x14ac:dyDescent="0.35">
      <c r="A14" s="100"/>
      <c r="B14" s="100" t="s">
        <v>82</v>
      </c>
      <c r="C14" s="104">
        <v>100</v>
      </c>
      <c r="D14" s="105">
        <f>'Cross Examination'!C34</f>
        <v>0</v>
      </c>
      <c r="E14" s="106">
        <f>'Cross Examination'!C30</f>
        <v>0</v>
      </c>
      <c r="F14" s="103">
        <f>'Cross Examination'!C32</f>
        <v>0</v>
      </c>
      <c r="J14" s="16" t="s">
        <v>54</v>
      </c>
      <c r="K14" s="18">
        <v>173.75</v>
      </c>
      <c r="L14" s="18">
        <v>173.75</v>
      </c>
      <c r="M14" s="18">
        <v>208.49</v>
      </c>
      <c r="P14" s="88" t="str">
        <f t="shared" si="2"/>
        <v>Preliminary hearingPublic family (care)HU2 (Greater than 1 hour)</v>
      </c>
      <c r="Q14" s="89" t="str">
        <f t="shared" si="3"/>
        <v>Preliminary hearing</v>
      </c>
      <c r="R14" s="89" t="str">
        <f>J15</f>
        <v>Public family (care)</v>
      </c>
      <c r="S14" s="89" t="str">
        <f>J17</f>
        <v>HU2 (Greater than 1 hour)</v>
      </c>
      <c r="T14" s="89">
        <f t="shared" ref="T14:V14" si="8">K17</f>
        <v>238.49</v>
      </c>
      <c r="U14" s="89">
        <f t="shared" si="8"/>
        <v>262.31</v>
      </c>
      <c r="V14" s="89">
        <f t="shared" si="8"/>
        <v>314.77999999999997</v>
      </c>
      <c r="W14" s="54"/>
      <c r="X14" s="54"/>
      <c r="Y14" s="60"/>
    </row>
    <row r="15" spans="1:25" x14ac:dyDescent="0.35">
      <c r="A15" s="100"/>
      <c r="B15" s="100"/>
      <c r="C15" s="107"/>
      <c r="D15" s="107"/>
      <c r="E15" s="102"/>
      <c r="F15" s="103"/>
      <c r="J15" s="16" t="s">
        <v>32</v>
      </c>
      <c r="K15" s="17"/>
      <c r="L15" s="17"/>
      <c r="M15" s="17"/>
      <c r="P15" s="88" t="str">
        <f t="shared" si="2"/>
        <v>Preliminary hearingPublic family (other)HU1 (Under one hour)</v>
      </c>
      <c r="Q15" s="89" t="str">
        <f t="shared" si="3"/>
        <v>Preliminary hearing</v>
      </c>
      <c r="R15" s="89" t="str">
        <f>J18</f>
        <v>Public family (other)</v>
      </c>
      <c r="S15" s="89" t="str">
        <f>J19</f>
        <v>HU1 (Under one hour)</v>
      </c>
      <c r="T15" s="89">
        <f t="shared" ref="T15:V15" si="9">K19</f>
        <v>83.41</v>
      </c>
      <c r="U15" s="89">
        <f t="shared" si="9"/>
        <v>91.73</v>
      </c>
      <c r="V15" s="89">
        <f t="shared" si="9"/>
        <v>110.09</v>
      </c>
      <c r="W15" s="54"/>
      <c r="X15" s="54"/>
      <c r="Y15" s="60"/>
    </row>
    <row r="16" spans="1:25" ht="15" thickBot="1" x14ac:dyDescent="0.4">
      <c r="A16" s="100"/>
      <c r="B16" s="108"/>
      <c r="C16" s="109">
        <f>MAX(C30:C31)</f>
        <v>0</v>
      </c>
      <c r="D16" s="110"/>
      <c r="E16" s="110"/>
      <c r="F16" s="111"/>
      <c r="J16" s="16" t="s">
        <v>30</v>
      </c>
      <c r="K16" s="18">
        <v>95.39</v>
      </c>
      <c r="L16" s="18">
        <v>104.94000000000001</v>
      </c>
      <c r="M16" s="18">
        <v>125.93</v>
      </c>
      <c r="P16" s="88" t="str">
        <f t="shared" si="2"/>
        <v>Preliminary hearingPublic family (other)HU2 (Greater than 1 hour)</v>
      </c>
      <c r="Q16" s="89" t="str">
        <f t="shared" si="3"/>
        <v>Preliminary hearing</v>
      </c>
      <c r="R16" s="89" t="str">
        <f>J18</f>
        <v>Public family (other)</v>
      </c>
      <c r="S16" s="89" t="str">
        <f>J20</f>
        <v>HU2 (Greater than 1 hour)</v>
      </c>
      <c r="T16" s="89">
        <f t="shared" ref="T16:V16" si="10">K20</f>
        <v>208.55</v>
      </c>
      <c r="U16" s="89">
        <f t="shared" si="10"/>
        <v>229.38</v>
      </c>
      <c r="V16" s="89">
        <f t="shared" si="10"/>
        <v>275.21999999999997</v>
      </c>
      <c r="W16" s="54"/>
      <c r="X16" s="54"/>
      <c r="Y16" s="60"/>
    </row>
    <row r="17" spans="1:27" x14ac:dyDescent="0.35">
      <c r="A17" s="100"/>
      <c r="B17" s="101" t="s">
        <v>83</v>
      </c>
      <c r="C17" s="107">
        <v>21</v>
      </c>
      <c r="D17" s="106">
        <f>'Cross Examination'!C31</f>
        <v>0</v>
      </c>
      <c r="E17" s="102"/>
      <c r="F17" s="103">
        <f>'Cross Examination'!C33</f>
        <v>0</v>
      </c>
      <c r="J17" s="16" t="s">
        <v>54</v>
      </c>
      <c r="K17" s="18">
        <v>238.49</v>
      </c>
      <c r="L17" s="18">
        <v>262.31</v>
      </c>
      <c r="M17" s="18">
        <v>314.77999999999997</v>
      </c>
      <c r="P17" s="88" t="str">
        <f t="shared" si="2"/>
        <v>Preliminary hearingCivil CasesHU1 (Under one hour)</v>
      </c>
      <c r="Q17" s="89" t="str">
        <f t="shared" si="3"/>
        <v>Preliminary hearing</v>
      </c>
      <c r="R17" s="89" t="str">
        <f>J21</f>
        <v>Civil Cases</v>
      </c>
      <c r="S17" s="89" t="str">
        <f>J22</f>
        <v>HU1 (Under one hour)</v>
      </c>
      <c r="T17" s="89">
        <f t="shared" ref="T17:V17" si="11">K22</f>
        <v>69.5</v>
      </c>
      <c r="U17" s="89">
        <f t="shared" si="11"/>
        <v>69.5</v>
      </c>
      <c r="V17" s="89">
        <f t="shared" si="11"/>
        <v>83.41</v>
      </c>
      <c r="W17" s="54"/>
      <c r="X17" s="54"/>
      <c r="Y17" s="60"/>
    </row>
    <row r="18" spans="1:27" ht="15" thickBot="1" x14ac:dyDescent="0.4">
      <c r="A18" s="100"/>
      <c r="B18" s="101"/>
      <c r="C18" s="102">
        <f>IF(C16=0,0,IF(F17&lt;SUM(D17*C17),F17,SUM(D17*C17)))</f>
        <v>0</v>
      </c>
      <c r="D18" s="102"/>
      <c r="E18" s="102"/>
      <c r="F18" s="103"/>
      <c r="J18" s="16" t="s">
        <v>33</v>
      </c>
      <c r="K18" s="17"/>
      <c r="L18" s="17"/>
      <c r="M18" s="17"/>
      <c r="P18" s="88" t="str">
        <f t="shared" si="2"/>
        <v>Preliminary hearingCivil CasesHU2 (Greater than 1 hour)</v>
      </c>
      <c r="Q18" s="89" t="str">
        <f t="shared" si="3"/>
        <v>Preliminary hearing</v>
      </c>
      <c r="R18" s="89" t="str">
        <f>J21</f>
        <v>Civil Cases</v>
      </c>
      <c r="S18" s="89" t="str">
        <f>J23</f>
        <v>HU2 (Greater than 1 hour)</v>
      </c>
      <c r="T18" s="89">
        <f t="shared" ref="T18:V18" si="12">K23</f>
        <v>173.75</v>
      </c>
      <c r="U18" s="89">
        <f t="shared" si="12"/>
        <v>173.75</v>
      </c>
      <c r="V18" s="89">
        <f t="shared" si="12"/>
        <v>208.49</v>
      </c>
      <c r="W18" s="54"/>
      <c r="X18" s="54"/>
      <c r="Y18" s="60"/>
    </row>
    <row r="19" spans="1:27" ht="43.5" x14ac:dyDescent="0.35">
      <c r="A19" s="100"/>
      <c r="B19" s="101" t="s">
        <v>76</v>
      </c>
      <c r="C19" s="107">
        <v>40</v>
      </c>
      <c r="D19" s="105">
        <f>'Cross Examination'!C34</f>
        <v>0</v>
      </c>
      <c r="E19" s="102"/>
      <c r="F19" s="103">
        <f>'Cross Examination'!C35</f>
        <v>0</v>
      </c>
      <c r="J19" s="16" t="s">
        <v>30</v>
      </c>
      <c r="K19" s="18">
        <v>83.41</v>
      </c>
      <c r="L19" s="18">
        <v>91.73</v>
      </c>
      <c r="M19" s="18">
        <v>110.09</v>
      </c>
      <c r="P19" s="49" t="s">
        <v>66</v>
      </c>
      <c r="Q19" s="56"/>
      <c r="R19" s="57"/>
      <c r="S19" s="57"/>
      <c r="T19" s="56"/>
      <c r="U19" s="56"/>
      <c r="V19" s="56"/>
      <c r="W19" s="57" t="s">
        <v>47</v>
      </c>
      <c r="X19" s="58" t="s">
        <v>53</v>
      </c>
      <c r="Y19" s="59"/>
    </row>
    <row r="20" spans="1:27" x14ac:dyDescent="0.35">
      <c r="A20" s="100"/>
      <c r="B20" s="101"/>
      <c r="C20" s="102">
        <f>D20</f>
        <v>0</v>
      </c>
      <c r="D20" s="102">
        <f>IF(F19&lt;SUM(C19*D19),F19,SUM(C19*D19))</f>
        <v>0</v>
      </c>
      <c r="E20" s="102"/>
      <c r="F20" s="103"/>
      <c r="J20" s="16" t="s">
        <v>54</v>
      </c>
      <c r="K20" s="18">
        <v>208.55</v>
      </c>
      <c r="L20" s="18">
        <v>229.38</v>
      </c>
      <c r="M20" s="18">
        <v>275.21999999999997</v>
      </c>
      <c r="P20" s="50" t="str">
        <f>CONCATENATE(H2,H3,H5)</f>
        <v>000</v>
      </c>
      <c r="Q20" s="53"/>
      <c r="R20" s="54"/>
      <c r="S20" s="54"/>
      <c r="T20" s="53">
        <f>IFERROR(VLOOKUP($P20,$P$7:$V$18,5,FALSE),0)</f>
        <v>0</v>
      </c>
      <c r="U20" s="53">
        <f>IFERROR(VLOOKUP($P20,$P$7:$V$18,6,FALSE),0)</f>
        <v>0</v>
      </c>
      <c r="V20" s="53">
        <f>IFERROR(VLOOKUP($P20,$P$7:$V$18,7,FALSE),0)</f>
        <v>0</v>
      </c>
      <c r="W20" s="54"/>
      <c r="X20" s="54"/>
      <c r="Y20" s="60"/>
    </row>
    <row r="21" spans="1:27" ht="15" thickBot="1" x14ac:dyDescent="0.4">
      <c r="A21" s="100"/>
      <c r="B21" s="101"/>
      <c r="C21" s="102"/>
      <c r="D21" s="102"/>
      <c r="E21" s="102"/>
      <c r="F21" s="103"/>
      <c r="J21" s="16" t="s">
        <v>34</v>
      </c>
      <c r="K21" s="17"/>
      <c r="L21" s="17"/>
      <c r="M21" s="17"/>
      <c r="P21" s="52">
        <f>H4</f>
        <v>0</v>
      </c>
      <c r="Q21" s="61">
        <f>SUM(T21:V21)</f>
        <v>0</v>
      </c>
      <c r="R21" s="62"/>
      <c r="S21" s="62"/>
      <c r="T21" s="63">
        <f>IF($P21=T6,T20,0)*Y21</f>
        <v>0</v>
      </c>
      <c r="U21" s="63">
        <f>IF($P21=U6,U20,0)*Y21</f>
        <v>0</v>
      </c>
      <c r="V21" s="63">
        <f>IF($P21=V6,V20,0)*Y21</f>
        <v>0</v>
      </c>
      <c r="W21" s="64">
        <f>IF('Cross Examination'!C16=Control!D4,0,'Cross Examination'!C17)</f>
        <v>0</v>
      </c>
      <c r="X21" s="62">
        <f>W21/150</f>
        <v>0</v>
      </c>
      <c r="Y21" s="65">
        <f>ROUNDUP(X21,0)</f>
        <v>0</v>
      </c>
    </row>
    <row r="22" spans="1:27" x14ac:dyDescent="0.35">
      <c r="A22" s="112">
        <v>45293</v>
      </c>
      <c r="B22" s="101" t="s">
        <v>71</v>
      </c>
      <c r="C22" s="113">
        <v>0</v>
      </c>
      <c r="D22" s="102"/>
      <c r="E22" s="102"/>
      <c r="F22" s="103"/>
      <c r="J22" s="16" t="s">
        <v>30</v>
      </c>
      <c r="K22" s="18">
        <v>69.5</v>
      </c>
      <c r="L22" s="18">
        <v>69.5</v>
      </c>
      <c r="M22" s="18">
        <v>83.41</v>
      </c>
    </row>
    <row r="23" spans="1:27" x14ac:dyDescent="0.35">
      <c r="A23" s="112">
        <v>45293</v>
      </c>
      <c r="B23" s="101" t="s">
        <v>84</v>
      </c>
      <c r="C23" s="113">
        <f>'Cross Examination'!C14</f>
        <v>0</v>
      </c>
      <c r="D23" s="102"/>
      <c r="E23" s="102"/>
      <c r="F23" s="103"/>
      <c r="J23" s="16" t="s">
        <v>54</v>
      </c>
      <c r="K23" s="18">
        <v>173.75</v>
      </c>
      <c r="L23" s="18">
        <v>173.75</v>
      </c>
      <c r="M23" s="18">
        <v>208.49</v>
      </c>
    </row>
    <row r="24" spans="1:27" ht="15" thickBot="1" x14ac:dyDescent="0.4">
      <c r="A24" s="108"/>
      <c r="B24" s="114"/>
      <c r="C24" s="110" t="str">
        <f>IF(OR(C22&gt;SUM(A22-1),C23&gt;SUM(A23-1)),"new rules","Old rules")</f>
        <v>Old rules</v>
      </c>
      <c r="D24" s="110"/>
      <c r="E24" s="110"/>
      <c r="F24" s="111"/>
    </row>
    <row r="25" spans="1:27" x14ac:dyDescent="0.35">
      <c r="A25">
        <f>A23</f>
        <v>45293</v>
      </c>
      <c r="J25" s="15" t="str">
        <f>D4</f>
        <v>Hearing with Cross Examination</v>
      </c>
    </row>
    <row r="26" spans="1:27" x14ac:dyDescent="0.35">
      <c r="A26" s="25"/>
      <c r="B26">
        <v>0</v>
      </c>
      <c r="C26" t="str">
        <f>IF(AND('Cross Examination'!C14&gt;0,Control!A27&lt;Control!A25),"Error","")</f>
        <v/>
      </c>
      <c r="D26" t="str">
        <f>IF(OR(B26="Error",C26="Error"),"This submission pre dates the change of rules governing the claiming of travelling expenses","")</f>
        <v/>
      </c>
      <c r="J26" s="15" t="s">
        <v>35</v>
      </c>
      <c r="K26" s="21"/>
      <c r="L26" s="21"/>
      <c r="M26" s="21"/>
      <c r="N26" s="21"/>
      <c r="O26" s="28"/>
      <c r="P26" s="28"/>
      <c r="Q26" s="28"/>
    </row>
    <row r="27" spans="1:27" ht="15" thickBot="1" x14ac:dyDescent="0.4">
      <c r="A27">
        <f>'Cross Examination'!C14</f>
        <v>0</v>
      </c>
      <c r="J27" s="15" t="s">
        <v>36</v>
      </c>
      <c r="K27" s="21"/>
      <c r="L27" s="21"/>
      <c r="M27" s="21"/>
      <c r="N27" s="21"/>
      <c r="O27" s="28"/>
      <c r="P27" s="28"/>
      <c r="Q27" s="28"/>
    </row>
    <row r="28" spans="1:27" x14ac:dyDescent="0.35">
      <c r="B28" s="8" t="s">
        <v>85</v>
      </c>
      <c r="C28" s="8" t="s">
        <v>86</v>
      </c>
      <c r="D28" s="8" t="s">
        <v>87</v>
      </c>
      <c r="E28" s="8" t="s">
        <v>88</v>
      </c>
      <c r="F28" s="8" t="s">
        <v>81</v>
      </c>
      <c r="I28" s="2"/>
      <c r="J28" s="23" t="s">
        <v>27</v>
      </c>
      <c r="K28" s="24" t="s">
        <v>37</v>
      </c>
      <c r="L28" s="24"/>
      <c r="M28" s="24"/>
      <c r="N28" s="24"/>
      <c r="O28" s="29" t="s">
        <v>38</v>
      </c>
      <c r="P28" s="29"/>
      <c r="Q28" s="29"/>
      <c r="R28" s="5"/>
      <c r="S28" s="66" t="s">
        <v>65</v>
      </c>
      <c r="T28" s="56"/>
      <c r="U28" s="56"/>
      <c r="V28" s="56"/>
      <c r="W28" s="57"/>
      <c r="X28" s="57"/>
      <c r="Y28" s="57"/>
      <c r="Z28" s="57"/>
      <c r="AA28" s="59"/>
    </row>
    <row r="29" spans="1:27" ht="25" customHeight="1" x14ac:dyDescent="0.35">
      <c r="B29" s="8"/>
      <c r="C29" s="115">
        <f>C14</f>
        <v>100</v>
      </c>
      <c r="D29" s="116">
        <f t="shared" ref="D29:E29" si="13">D14</f>
        <v>0</v>
      </c>
      <c r="E29" s="116">
        <f t="shared" si="13"/>
        <v>0</v>
      </c>
      <c r="F29" s="115">
        <f>IF(F14&gt;SUM(C14*D17),SUM(C14*D17),F14)</f>
        <v>0</v>
      </c>
      <c r="I29" s="2"/>
      <c r="J29" s="23"/>
      <c r="K29" s="24" t="str">
        <f>B3</f>
        <v>Justices’ Legal Advisor/Lay Justice</v>
      </c>
      <c r="L29" s="24" t="s">
        <v>46</v>
      </c>
      <c r="M29" s="24" t="s">
        <v>24</v>
      </c>
      <c r="N29" s="24"/>
      <c r="O29" s="29" t="str">
        <f>K29</f>
        <v>Justices’ Legal Advisor/Lay Justice</v>
      </c>
      <c r="P29" s="29" t="s">
        <v>46</v>
      </c>
      <c r="Q29" s="29" t="s">
        <v>24</v>
      </c>
      <c r="R29" s="67"/>
      <c r="S29" s="54"/>
      <c r="T29" s="54"/>
      <c r="U29" s="53"/>
      <c r="V29" s="53" t="str">
        <f>K29</f>
        <v>Justices’ Legal Advisor/Lay Justice</v>
      </c>
      <c r="W29" s="53" t="str">
        <f t="shared" ref="W29:X35" si="14">L29</f>
        <v>Circuit or district</v>
      </c>
      <c r="X29" s="53" t="str">
        <f t="shared" si="14"/>
        <v>Higher courts</v>
      </c>
      <c r="Y29" s="68" t="str">
        <f>O29</f>
        <v>Justices’ Legal Advisor/Lay Justice</v>
      </c>
      <c r="Z29" s="68" t="str">
        <f t="shared" ref="Z29:AA30" si="15">P29</f>
        <v>Circuit or district</v>
      </c>
      <c r="AA29" s="69" t="str">
        <f t="shared" si="15"/>
        <v>Higher courts</v>
      </c>
    </row>
    <row r="30" spans="1:27" x14ac:dyDescent="0.35">
      <c r="B30" s="8">
        <v>1</v>
      </c>
      <c r="C30" s="8">
        <f>IF(E29&lt;100,0,IF(D29&gt;1,0,IF(AND(D29=1,E29&gt;99.99,F29&lt;SUM(C29-0.01)),F29,C29)))</f>
        <v>0</v>
      </c>
      <c r="D30" s="8"/>
      <c r="E30" s="8"/>
      <c r="F30" s="8"/>
      <c r="J30" s="15" t="s">
        <v>29</v>
      </c>
      <c r="K30" s="22">
        <v>545.93000000000006</v>
      </c>
      <c r="L30" s="22">
        <v>600.5</v>
      </c>
      <c r="M30" s="22">
        <v>720.6</v>
      </c>
      <c r="N30" s="21"/>
      <c r="O30" s="30">
        <v>436.74</v>
      </c>
      <c r="P30" s="30">
        <v>480.4</v>
      </c>
      <c r="Q30" s="30">
        <v>576.48</v>
      </c>
      <c r="R30" s="70" t="str">
        <f>CONCATENATE(J$25,J30,$O$28)</f>
        <v>Hearing with Cross ExaminationPrivate family (children)Further days</v>
      </c>
      <c r="S30" s="54" t="str">
        <f>CONCATENATE(T30,U30)</f>
        <v>Hearing with Cross ExaminationPrivate family (children)</v>
      </c>
      <c r="T30" s="54" t="str">
        <f>J$25</f>
        <v>Hearing with Cross Examination</v>
      </c>
      <c r="U30" s="53" t="str">
        <f>J30</f>
        <v>Private family (children)</v>
      </c>
      <c r="V30" s="53">
        <f t="shared" ref="V30:V35" si="16">K30</f>
        <v>545.93000000000006</v>
      </c>
      <c r="W30" s="53">
        <f t="shared" si="14"/>
        <v>600.5</v>
      </c>
      <c r="X30" s="53">
        <f t="shared" si="14"/>
        <v>720.6</v>
      </c>
      <c r="Y30" s="71">
        <f>O30</f>
        <v>436.74</v>
      </c>
      <c r="Z30" s="71">
        <f t="shared" si="15"/>
        <v>480.4</v>
      </c>
      <c r="AA30" s="72">
        <f t="shared" si="15"/>
        <v>576.48</v>
      </c>
    </row>
    <row r="31" spans="1:27" x14ac:dyDescent="0.35">
      <c r="B31" s="8" t="s">
        <v>89</v>
      </c>
      <c r="C31" s="8">
        <f>IF(E29&lt;50,0,IF(D29=1,0,IF(AND(D29&gt;1,E29&gt;49.99,F29&gt;SUM(C29*D29)),SUM(C29*D29),SUM(F29))))</f>
        <v>0</v>
      </c>
      <c r="D31" s="8"/>
      <c r="E31" s="8"/>
      <c r="F31" s="8"/>
      <c r="J31" s="15" t="s">
        <v>108</v>
      </c>
      <c r="K31" s="22">
        <v>496.61</v>
      </c>
      <c r="L31" s="22">
        <v>496.61</v>
      </c>
      <c r="M31" s="22">
        <v>496.61</v>
      </c>
      <c r="N31" s="21"/>
      <c r="O31" s="30">
        <v>397.29</v>
      </c>
      <c r="P31" s="30">
        <v>397.29</v>
      </c>
      <c r="Q31" s="30">
        <v>397.29</v>
      </c>
      <c r="R31" s="70" t="str">
        <f t="shared" ref="R31:R35" si="17">CONCATENATE(J$25,J31,$O$28)</f>
        <v>Hearing with Cross ExaminationPrivate Law (Domestic Abuse)Further days</v>
      </c>
      <c r="S31" s="54" t="str">
        <f t="shared" ref="S31:S35" si="18">CONCATENATE(T31,U31)</f>
        <v>Hearing with Cross ExaminationPrivate Law (Domestic Abuse)</v>
      </c>
      <c r="T31" s="54" t="str">
        <f t="shared" ref="T31:T35" si="19">J$25</f>
        <v>Hearing with Cross Examination</v>
      </c>
      <c r="U31" s="53" t="str">
        <f t="shared" ref="U31:U35" si="20">J31</f>
        <v>Private Law (Domestic Abuse)</v>
      </c>
      <c r="V31" s="53">
        <f t="shared" si="16"/>
        <v>496.61</v>
      </c>
      <c r="W31" s="53">
        <f t="shared" si="14"/>
        <v>496.61</v>
      </c>
      <c r="X31" s="53">
        <f t="shared" si="14"/>
        <v>496.61</v>
      </c>
      <c r="Y31" s="71">
        <f t="shared" ref="Y31:Y35" si="21">O31</f>
        <v>397.29</v>
      </c>
      <c r="Z31" s="71">
        <f t="shared" ref="Z31:Z35" si="22">P31</f>
        <v>397.29</v>
      </c>
      <c r="AA31" s="72">
        <f t="shared" ref="AA31:AA35" si="23">Q31</f>
        <v>397.29</v>
      </c>
    </row>
    <row r="32" spans="1:27" x14ac:dyDescent="0.35">
      <c r="J32" s="15" t="s">
        <v>31</v>
      </c>
      <c r="K32" s="22">
        <v>610.09</v>
      </c>
      <c r="L32" s="22">
        <v>610.09</v>
      </c>
      <c r="M32" s="22">
        <v>732.11</v>
      </c>
      <c r="N32" s="21"/>
      <c r="O32" s="30">
        <v>488.07</v>
      </c>
      <c r="P32" s="30">
        <v>488.07</v>
      </c>
      <c r="Q32" s="30">
        <v>585.67999999999995</v>
      </c>
      <c r="R32" s="70" t="str">
        <f t="shared" si="17"/>
        <v>Hearing with Cross ExaminationFinancial remedyFurther days</v>
      </c>
      <c r="S32" s="54" t="str">
        <f t="shared" si="18"/>
        <v>Hearing with Cross ExaminationFinancial remedy</v>
      </c>
      <c r="T32" s="54" t="str">
        <f t="shared" si="19"/>
        <v>Hearing with Cross Examination</v>
      </c>
      <c r="U32" s="53" t="str">
        <f t="shared" si="20"/>
        <v>Financial remedy</v>
      </c>
      <c r="V32" s="53">
        <f t="shared" si="16"/>
        <v>610.09</v>
      </c>
      <c r="W32" s="53">
        <f t="shared" si="14"/>
        <v>610.09</v>
      </c>
      <c r="X32" s="53">
        <f t="shared" si="14"/>
        <v>732.11</v>
      </c>
      <c r="Y32" s="71">
        <f t="shared" si="21"/>
        <v>488.07</v>
      </c>
      <c r="Z32" s="71">
        <f t="shared" si="22"/>
        <v>488.07</v>
      </c>
      <c r="AA32" s="72">
        <f t="shared" si="23"/>
        <v>585.67999999999995</v>
      </c>
    </row>
    <row r="33" spans="10:27" x14ac:dyDescent="0.35">
      <c r="J33" s="15" t="s">
        <v>32</v>
      </c>
      <c r="K33" s="22">
        <v>696.09</v>
      </c>
      <c r="L33" s="22">
        <v>765.71</v>
      </c>
      <c r="M33" s="22">
        <v>918.84</v>
      </c>
      <c r="N33" s="21"/>
      <c r="O33" s="30">
        <v>556.88</v>
      </c>
      <c r="P33" s="30">
        <v>612.57000000000005</v>
      </c>
      <c r="Q33" s="30">
        <v>735.08</v>
      </c>
      <c r="R33" s="70" t="str">
        <f t="shared" si="17"/>
        <v>Hearing with Cross ExaminationPublic family (care)Further days</v>
      </c>
      <c r="S33" s="54" t="str">
        <f t="shared" si="18"/>
        <v>Hearing with Cross ExaminationPublic family (care)</v>
      </c>
      <c r="T33" s="54" t="str">
        <f t="shared" si="19"/>
        <v>Hearing with Cross Examination</v>
      </c>
      <c r="U33" s="53" t="str">
        <f t="shared" si="20"/>
        <v>Public family (care)</v>
      </c>
      <c r="V33" s="53">
        <f t="shared" si="16"/>
        <v>696.09</v>
      </c>
      <c r="W33" s="53">
        <f t="shared" si="14"/>
        <v>765.71</v>
      </c>
      <c r="X33" s="53">
        <f t="shared" si="14"/>
        <v>918.84</v>
      </c>
      <c r="Y33" s="71">
        <f t="shared" si="21"/>
        <v>556.88</v>
      </c>
      <c r="Z33" s="71">
        <f t="shared" si="22"/>
        <v>612.57000000000005</v>
      </c>
      <c r="AA33" s="72">
        <f t="shared" si="23"/>
        <v>735.08</v>
      </c>
    </row>
    <row r="34" spans="10:27" x14ac:dyDescent="0.35">
      <c r="J34" s="15" t="s">
        <v>33</v>
      </c>
      <c r="K34" s="22">
        <v>638.42999999999995</v>
      </c>
      <c r="L34" s="22">
        <v>702.28</v>
      </c>
      <c r="M34" s="22">
        <v>842.74</v>
      </c>
      <c r="N34" s="21"/>
      <c r="O34" s="30">
        <v>510.74</v>
      </c>
      <c r="P34" s="30">
        <v>561.83000000000004</v>
      </c>
      <c r="Q34" s="30">
        <v>674.18999999999994</v>
      </c>
      <c r="R34" s="70" t="str">
        <f t="shared" si="17"/>
        <v>Hearing with Cross ExaminationPublic family (other)Further days</v>
      </c>
      <c r="S34" s="54" t="str">
        <f t="shared" si="18"/>
        <v>Hearing with Cross ExaminationPublic family (other)</v>
      </c>
      <c r="T34" s="54" t="str">
        <f t="shared" si="19"/>
        <v>Hearing with Cross Examination</v>
      </c>
      <c r="U34" s="53" t="str">
        <f t="shared" si="20"/>
        <v>Public family (other)</v>
      </c>
      <c r="V34" s="53">
        <f t="shared" si="16"/>
        <v>638.42999999999995</v>
      </c>
      <c r="W34" s="53">
        <f t="shared" si="14"/>
        <v>702.28</v>
      </c>
      <c r="X34" s="53">
        <f t="shared" si="14"/>
        <v>842.74</v>
      </c>
      <c r="Y34" s="71">
        <f t="shared" si="21"/>
        <v>510.74</v>
      </c>
      <c r="Z34" s="71">
        <f t="shared" si="22"/>
        <v>561.83000000000004</v>
      </c>
      <c r="AA34" s="72">
        <f t="shared" si="23"/>
        <v>674.18999999999994</v>
      </c>
    </row>
    <row r="35" spans="10:27" ht="15" thickBot="1" x14ac:dyDescent="0.4">
      <c r="J35" s="15" t="s">
        <v>34</v>
      </c>
      <c r="K35" s="22">
        <v>610.09</v>
      </c>
      <c r="L35" s="22">
        <v>610.09</v>
      </c>
      <c r="M35" s="22">
        <v>732.11</v>
      </c>
      <c r="N35" s="21"/>
      <c r="O35" s="30">
        <v>488.07</v>
      </c>
      <c r="P35" s="30">
        <v>488.07</v>
      </c>
      <c r="Q35" s="30">
        <v>585.67999999999995</v>
      </c>
      <c r="R35" s="73" t="str">
        <f t="shared" si="17"/>
        <v>Hearing with Cross ExaminationCivil CasesFurther days</v>
      </c>
      <c r="S35" s="62" t="str">
        <f t="shared" si="18"/>
        <v>Hearing with Cross ExaminationCivil Cases</v>
      </c>
      <c r="T35" s="62" t="str">
        <f t="shared" si="19"/>
        <v>Hearing with Cross Examination</v>
      </c>
      <c r="U35" s="63" t="str">
        <f t="shared" si="20"/>
        <v>Civil Cases</v>
      </c>
      <c r="V35" s="63">
        <f t="shared" si="16"/>
        <v>610.09</v>
      </c>
      <c r="W35" s="63">
        <f t="shared" si="14"/>
        <v>610.09</v>
      </c>
      <c r="X35" s="63">
        <f t="shared" si="14"/>
        <v>732.11</v>
      </c>
      <c r="Y35" s="74">
        <f t="shared" si="21"/>
        <v>488.07</v>
      </c>
      <c r="Z35" s="74">
        <f t="shared" si="22"/>
        <v>488.07</v>
      </c>
      <c r="AA35" s="75">
        <f t="shared" si="23"/>
        <v>585.67999999999995</v>
      </c>
    </row>
    <row r="36" spans="10:27" x14ac:dyDescent="0.35">
      <c r="R36" s="9"/>
      <c r="T36" s="5"/>
      <c r="U36" s="83" t="s">
        <v>69</v>
      </c>
      <c r="V36" s="56"/>
      <c r="W36" s="56"/>
      <c r="X36" s="57"/>
      <c r="Y36" s="57"/>
      <c r="Z36" s="57"/>
      <c r="AA36" s="59"/>
    </row>
    <row r="37" spans="10:27" ht="15" thickBot="1" x14ac:dyDescent="0.4">
      <c r="J37" s="14" t="s">
        <v>39</v>
      </c>
      <c r="K37" s="19"/>
      <c r="L37" s="19"/>
      <c r="R37" s="9"/>
      <c r="T37" s="6" t="str">
        <f>CONCATENATE(H2,H3)</f>
        <v>00</v>
      </c>
      <c r="U37" s="53"/>
      <c r="V37" s="53">
        <f>IFERROR(VLOOKUP($T37,$S$30:$X$35,4,FALSE),0)</f>
        <v>0</v>
      </c>
      <c r="W37" s="53">
        <f>IFERROR(VLOOKUP($T37,$S$30:$X$35,5,FALSE),0)</f>
        <v>0</v>
      </c>
      <c r="X37" s="53">
        <f>IFERROR(VLOOKUP($T37,$S$30:$X$35,6,FALSE),0)</f>
        <v>0</v>
      </c>
      <c r="Y37" s="54"/>
      <c r="Z37" s="54"/>
      <c r="AA37" s="60"/>
    </row>
    <row r="38" spans="10:27" x14ac:dyDescent="0.35">
      <c r="J38" s="14" t="s">
        <v>40</v>
      </c>
      <c r="K38" s="19"/>
      <c r="L38" s="19"/>
      <c r="O38" s="76"/>
      <c r="P38" s="83" t="s">
        <v>67</v>
      </c>
      <c r="Q38" s="56"/>
      <c r="R38" s="59"/>
      <c r="T38" s="50" t="str">
        <f>CONCATENATE(H2,H3,H6)</f>
        <v>00</v>
      </c>
      <c r="U38" s="53"/>
      <c r="V38" s="53"/>
      <c r="W38" s="54"/>
      <c r="X38" s="54"/>
      <c r="Y38" s="53">
        <f>IFERROR(VLOOKUP($T38,$R$30:$AA$35,8,FALSE),0)</f>
        <v>0</v>
      </c>
      <c r="Z38" s="53">
        <f>IFERROR(VLOOKUP($T38,$R$30:$AA$35,9,FALSE),0)</f>
        <v>0</v>
      </c>
      <c r="AA38" s="51">
        <f>IFERROR(VLOOKUP($T38,$R$30:$AA$35,10,FALSE),0)</f>
        <v>0</v>
      </c>
    </row>
    <row r="39" spans="10:27" x14ac:dyDescent="0.35">
      <c r="J39" s="14" t="s">
        <v>41</v>
      </c>
      <c r="K39" s="19"/>
      <c r="L39" s="19"/>
      <c r="O39" s="50"/>
      <c r="P39" s="53"/>
      <c r="Q39" s="55">
        <f>SUM(Q40:Q42)</f>
        <v>0</v>
      </c>
      <c r="R39" s="60"/>
      <c r="T39" s="84" t="str">
        <f>H6</f>
        <v/>
      </c>
      <c r="U39" s="85">
        <f>IF(T39="Further Days",SUM('Cross Examination'!C22-1),1)</f>
        <v>1</v>
      </c>
      <c r="V39" s="53">
        <f>IF($T39="further days",0,V37)</f>
        <v>0</v>
      </c>
      <c r="W39" s="53">
        <f t="shared" ref="W39:X39" si="24">IF($T39="further days",0,W37)</f>
        <v>0</v>
      </c>
      <c r="X39" s="53">
        <f t="shared" si="24"/>
        <v>0</v>
      </c>
      <c r="Y39" s="53">
        <f>IF($T39="further days",Y38,0)</f>
        <v>0</v>
      </c>
      <c r="Z39" s="53">
        <f t="shared" ref="Z39:AA39" si="25">IF($T39="further days",Z38,0)</f>
        <v>0</v>
      </c>
      <c r="AA39" s="51">
        <f t="shared" si="25"/>
        <v>0</v>
      </c>
    </row>
    <row r="40" spans="10:27" x14ac:dyDescent="0.35">
      <c r="J40" s="19" t="s">
        <v>42</v>
      </c>
      <c r="K40" s="19" t="s">
        <v>43</v>
      </c>
      <c r="L40" s="19" t="s">
        <v>44</v>
      </c>
      <c r="O40" s="50" t="str">
        <f>E3</f>
        <v>ABP1</v>
      </c>
      <c r="P40" s="77">
        <f>J41</f>
        <v>175.23000000000002</v>
      </c>
      <c r="Q40" s="53">
        <f>IF(H$7=O40,P40,0)</f>
        <v>0</v>
      </c>
      <c r="R40" s="60"/>
      <c r="T40" s="50">
        <f>H4</f>
        <v>0</v>
      </c>
      <c r="U40" s="55">
        <f>SUM(SUM(V40:AA40)*U39)+SUM(V41:X41)</f>
        <v>0</v>
      </c>
      <c r="V40" s="53">
        <f>IF($T$40=V$29,V$39,0)</f>
        <v>0</v>
      </c>
      <c r="W40" s="53">
        <f t="shared" ref="W40:AA40" si="26">IF($T40=W29,W39,0)</f>
        <v>0</v>
      </c>
      <c r="X40" s="53">
        <f t="shared" si="26"/>
        <v>0</v>
      </c>
      <c r="Y40" s="53">
        <f t="shared" si="26"/>
        <v>0</v>
      </c>
      <c r="Z40" s="53">
        <f t="shared" si="26"/>
        <v>0</v>
      </c>
      <c r="AA40" s="51">
        <f t="shared" si="26"/>
        <v>0</v>
      </c>
    </row>
    <row r="41" spans="10:27" ht="15" thickBot="1" x14ac:dyDescent="0.4">
      <c r="J41" s="20">
        <v>175.23000000000002</v>
      </c>
      <c r="K41" s="20">
        <v>263.34000000000003</v>
      </c>
      <c r="L41" s="20">
        <v>350.46000000000004</v>
      </c>
      <c r="O41" s="50" t="str">
        <f t="shared" ref="O41:O42" si="27">E4</f>
        <v>ABP2</v>
      </c>
      <c r="P41" s="77">
        <f>K41</f>
        <v>263.34000000000003</v>
      </c>
      <c r="Q41" s="53">
        <f t="shared" ref="Q41" si="28">IF(H$7=O41,P41,0)</f>
        <v>0</v>
      </c>
      <c r="R41" s="60"/>
      <c r="T41" s="52"/>
      <c r="U41" s="63"/>
      <c r="V41" s="63">
        <f>IF(AND('Cross Examination'!$C19="Yes",$T$40=V$29,V40=0),V$37,0)</f>
        <v>0</v>
      </c>
      <c r="W41" s="63">
        <f>IF(AND('Cross Examination'!$C19="Yes",$T$40=W$29,W40=0),W$37,0)</f>
        <v>0</v>
      </c>
      <c r="X41" s="63">
        <f>IF(AND('Cross Examination'!$C19="Yes",$T$40=X$29,X40=0),X$37,0)</f>
        <v>0</v>
      </c>
      <c r="Y41" s="62"/>
      <c r="Z41" s="62"/>
      <c r="AA41" s="65"/>
    </row>
    <row r="42" spans="10:27" ht="15" thickBot="1" x14ac:dyDescent="0.4">
      <c r="O42" s="52" t="str">
        <f t="shared" si="27"/>
        <v>ABP3</v>
      </c>
      <c r="P42" s="78">
        <f>L41</f>
        <v>350.46000000000004</v>
      </c>
      <c r="Q42" s="63">
        <f>R42</f>
        <v>0</v>
      </c>
      <c r="R42" s="65">
        <f>IF(AND(H2=D3,H7=O42),P41,IF(H7=O42,P42,0))</f>
        <v>0</v>
      </c>
    </row>
    <row r="43" spans="10:27" ht="15" thickBot="1" x14ac:dyDescent="0.4"/>
    <row r="44" spans="10:27" x14ac:dyDescent="0.35">
      <c r="O44" s="76"/>
      <c r="P44" s="82" t="s">
        <v>68</v>
      </c>
    </row>
    <row r="45" spans="10:27" x14ac:dyDescent="0.35">
      <c r="O45" s="50" t="s">
        <v>56</v>
      </c>
      <c r="P45" s="51"/>
    </row>
    <row r="46" spans="10:27" x14ac:dyDescent="0.35">
      <c r="O46" s="50" t="s">
        <v>57</v>
      </c>
      <c r="P46" s="79">
        <f>'Cross Examination'!C14</f>
        <v>0</v>
      </c>
    </row>
    <row r="47" spans="10:27" x14ac:dyDescent="0.35">
      <c r="O47" s="50" t="s">
        <v>20</v>
      </c>
      <c r="P47" s="79">
        <f>'Cross Examination'!C46</f>
        <v>0</v>
      </c>
    </row>
    <row r="48" spans="10:27" x14ac:dyDescent="0.35">
      <c r="O48" s="50" t="s">
        <v>59</v>
      </c>
      <c r="P48" s="80">
        <f>NETWORKDAYS(P46,P47)-P50</f>
        <v>-4</v>
      </c>
    </row>
    <row r="49" spans="15:16" x14ac:dyDescent="0.35">
      <c r="O49" s="50" t="s">
        <v>58</v>
      </c>
      <c r="P49" s="51">
        <f>252/4</f>
        <v>63</v>
      </c>
    </row>
    <row r="50" spans="15:16" ht="15.65" customHeight="1" thickBot="1" x14ac:dyDescent="0.4">
      <c r="O50" s="52" t="s">
        <v>60</v>
      </c>
      <c r="P50" s="81">
        <v>4</v>
      </c>
    </row>
  </sheetData>
  <sheetProtection algorithmName="SHA-512" hashValue="u1oO8U0T/ZDbXs7/0mVAvgBNh6g4VrLm/qodZ+eUhprrAJvJvCKt9MaLC99iLhWjKL1iREydEePcWn0L52PLhQ==" saltValue="am0GGTSZa1iGa5UTGSJeh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dd3b423-99da-4579-b1f9-c1b9d8af20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259B819E3464CB1A1AFB8CEC11917" ma:contentTypeVersion="16" ma:contentTypeDescription="Create a new document." ma:contentTypeScope="" ma:versionID="f8eaa7677b3c2a3db0ea31cc399ae91d">
  <xsd:schema xmlns:xsd="http://www.w3.org/2001/XMLSchema" xmlns:xs="http://www.w3.org/2001/XMLSchema" xmlns:p="http://schemas.microsoft.com/office/2006/metadata/properties" xmlns:ns3="9dd3b423-99da-4579-b1f9-c1b9d8af20fb" xmlns:ns4="af6c2d5d-b8d8-4932-b1f6-914044088fc1" targetNamespace="http://schemas.microsoft.com/office/2006/metadata/properties" ma:root="true" ma:fieldsID="0bca25f0396d0d6c83a1a974eb104c3a" ns3:_="" ns4:_="">
    <xsd:import namespace="9dd3b423-99da-4579-b1f9-c1b9d8af20fb"/>
    <xsd:import namespace="af6c2d5d-b8d8-4932-b1f6-914044088f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3b423-99da-4579-b1f9-c1b9d8af2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2d5d-b8d8-4932-b1f6-914044088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6C630-1473-4955-9212-3F07580017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DAC47-6834-4462-B910-B04D82C64305}">
  <ds:schemaRefs>
    <ds:schemaRef ds:uri="af6c2d5d-b8d8-4932-b1f6-914044088fc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dd3b423-99da-4579-b1f9-c1b9d8af20f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AB529A-66A8-4081-B759-3CCEAB758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3b423-99da-4579-b1f9-c1b9d8af20fb"/>
    <ds:schemaRef ds:uri="af6c2d5d-b8d8-4932-b1f6-914044088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Cross Examination</vt:lpstr>
      <vt:lpstr>LAA office use only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Edwards, Glyn (LAA)</cp:lastModifiedBy>
  <dcterms:created xsi:type="dcterms:W3CDTF">2022-04-26T09:29:36Z</dcterms:created>
  <dcterms:modified xsi:type="dcterms:W3CDTF">2024-05-30T11:46:32Z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0x0101009FA259B819E3464CB1A1AFB8CEC11917</vt:lpwstr>
  </property>
</Properties>
</file>