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0357E99A-95FC-4FEC-98FC-FB979C395895}" xr6:coauthVersionLast="47" xr6:coauthVersionMax="47" xr10:uidLastSave="{00000000-0000-0000-0000-000000000000}"/>
  <workbookProtection workbookAlgorithmName="SHA-512" workbookHashValue="jawX1cz8yJU3ICzC7dur/K7t/ORaHlYe4Cov3x84eTWGZu/KILn554m5B5ZMISTpZzwtvdjYS8Un1P2r7O/Auw==" workbookSaltValue="6CuhYkLdffkqRvPZNdJu3A==" workbookSpinCount="100000" lockStructure="1"/>
  <bookViews>
    <workbookView xWindow="-19310" yWindow="-2470" windowWidth="19420" windowHeight="1042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8" l="1"/>
  <c r="C11" i="8"/>
  <c r="D23" i="8"/>
  <c r="D24" i="8"/>
  <c r="D25" i="8"/>
  <c r="D26" i="8"/>
  <c r="D27" i="8"/>
  <c r="D17" i="8"/>
  <c r="D18" i="8"/>
  <c r="D19" i="8"/>
  <c r="D20" i="8"/>
  <c r="D21" i="8"/>
  <c r="D22" i="8"/>
  <c r="D12" i="8"/>
  <c r="D13" i="8"/>
  <c r="D14" i="8"/>
  <c r="D15" i="8"/>
  <c r="D16" i="8"/>
  <c r="C26" i="8"/>
  <c r="C27" i="8"/>
  <c r="C19" i="8"/>
  <c r="C20" i="8"/>
  <c r="C21" i="8"/>
  <c r="C22" i="8"/>
  <c r="C23" i="8"/>
  <c r="C24" i="8"/>
  <c r="C25" i="8"/>
  <c r="C13" i="8"/>
  <c r="C14" i="8"/>
  <c r="C15" i="8"/>
  <c r="C16" i="8"/>
  <c r="C17" i="8"/>
  <c r="C18" i="8"/>
  <c r="C12" i="8"/>
  <c r="H330" i="3"/>
  <c r="C6" i="9"/>
  <c r="C7" i="9"/>
  <c r="C8" i="9"/>
  <c r="C9" i="9"/>
  <c r="C10" i="9"/>
  <c r="C11" i="9"/>
  <c r="C12" i="9"/>
  <c r="C13" i="9"/>
  <c r="C14" i="9"/>
  <c r="C15" i="9"/>
  <c r="C16" i="9"/>
  <c r="C17" i="9"/>
  <c r="C18" i="9"/>
  <c r="C19" i="9"/>
  <c r="C20" i="9"/>
  <c r="C21" i="9"/>
  <c r="C5" i="9"/>
  <c r="A9" i="10" l="1"/>
  <c r="D6" i="22"/>
  <c r="D7" i="22"/>
  <c r="D8" i="22"/>
  <c r="D9" i="22"/>
  <c r="D10" i="22"/>
  <c r="D11" i="22"/>
  <c r="D12" i="22"/>
  <c r="D13" i="22"/>
  <c r="D14" i="22"/>
  <c r="D15" i="22"/>
  <c r="D16" i="22"/>
  <c r="D17" i="22"/>
  <c r="D18" i="22"/>
  <c r="D19" i="22"/>
  <c r="D20" i="22"/>
  <c r="D21" i="22"/>
  <c r="D22" i="22"/>
  <c r="D23" i="22"/>
  <c r="D24" i="22"/>
  <c r="D25" i="22"/>
  <c r="D26" i="22"/>
  <c r="D27" i="22"/>
  <c r="D28" i="22"/>
  <c r="D29" i="22"/>
  <c r="D5" i="22"/>
  <c r="B10" i="21"/>
  <c r="A15" i="21" s="1"/>
  <c r="B22" i="21"/>
  <c r="A22" i="21"/>
  <c r="A21" i="21"/>
  <c r="B14" i="10" s="1"/>
  <c r="A20" i="21"/>
  <c r="A19" i="21"/>
  <c r="A11" i="10" s="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B16" i="21"/>
  <c r="B17" i="21" s="1"/>
  <c r="B20" i="21"/>
  <c r="B12" i="21"/>
  <c r="A12" i="21"/>
  <c r="A11" i="21"/>
  <c r="B11" i="21"/>
  <c r="H335" i="3"/>
  <c r="C22" i="9" l="1"/>
  <c r="A13" i="10"/>
  <c r="A14" i="10" s="1"/>
  <c r="A12" i="10"/>
  <c r="B18" i="21"/>
  <c r="H334" i="3"/>
  <c r="A425" i="3" l="1" a="1"/>
  <c r="A425" i="3" s="1"/>
  <c r="B30" i="22" l="1"/>
  <c r="H336" i="3" l="1"/>
  <c r="F336" i="3" l="1"/>
  <c r="F335" i="3"/>
  <c r="F334" i="3"/>
  <c r="F333" i="3"/>
  <c r="F332" i="3"/>
  <c r="F331" i="3"/>
  <c r="F330" i="3"/>
  <c r="F329"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<sst xmlns="http://schemas.openxmlformats.org/spreadsheetml/2006/main" count="1925" uniqueCount="573">
  <si>
    <t>Wastewater treatment works:</t>
  </si>
  <si>
    <t>Septic Tank default</t>
  </si>
  <si>
    <t>Soil drainage type:</t>
  </si>
  <si>
    <t>Table 1: Stage 1 WwTW lookup</t>
  </si>
  <si>
    <t>Discharge Site Name</t>
  </si>
  <si>
    <t>Phosphorus, Total as P (mg/l)</t>
  </si>
  <si>
    <t>Phosphorus, Total as P (mg/l), permit post 2025</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</si>
  <si>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</si>
  <si>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</si>
  <si>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</si>
  <si>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</si>
  <si>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</si>
  <si>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</si>
  <si>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</si>
  <si>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</si>
  <si>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</si>
  <si>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</si>
  <si>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</si>
  <si>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Farm Lookup</t>
  </si>
  <si>
    <t>Mean P export of farm type and climate combination</t>
  </si>
  <si>
    <t>Mean P export of farm type</t>
  </si>
  <si>
    <t>Cereals</t>
  </si>
  <si>
    <t>700to900</t>
  </si>
  <si>
    <t>FreeDrain</t>
  </si>
  <si>
    <t>DrainedAr</t>
  </si>
  <si>
    <t>DrainedArGr</t>
  </si>
  <si>
    <t>900to1200</t>
  </si>
  <si>
    <t>General</t>
  </si>
  <si>
    <t>Horticulture</t>
  </si>
  <si>
    <t>Poultry</t>
  </si>
  <si>
    <t>Dairy</t>
  </si>
  <si>
    <t>Lowland</t>
  </si>
  <si>
    <t>Mixed</t>
  </si>
  <si>
    <t>Pig</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</si>
  <si>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</si>
  <si>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</si>
  <si>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</si>
  <si>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</si>
  <si>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</si>
  <si>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</si>
  <si>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</si>
  <si>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</si>
  <si>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</si>
  <si>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</si>
  <si>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</si>
  <si>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</si>
  <si>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</si>
  <si>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</si>
  <si>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</si>
  <si>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</si>
  <si>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</si>
  <si>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</si>
  <si>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</si>
  <si>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</si>
  <si>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</si>
  <si>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</si>
  <si>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</si>
  <si>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</si>
  <si>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</si>
  <si>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</si>
  <si>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</si>
  <si>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</si>
  <si>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</si>
  <si>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</si>
  <si>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</si>
  <si>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</si>
  <si>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</si>
  <si>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</si>
  <si>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</si>
  <si>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</si>
  <si>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</si>
  <si>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</si>
  <si>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</si>
  <si>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</si>
  <si>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</si>
  <si>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</si>
  <si>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</si>
  <si>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</si>
  <si>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</si>
  <si>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</si>
  <si>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</si>
  <si>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</si>
  <si>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</si>
  <si>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</si>
  <si>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</si>
  <si>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</si>
  <si>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</si>
  <si>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</si>
  <si>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</si>
  <si>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</si>
  <si>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</si>
  <si>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</si>
  <si>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</si>
  <si>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</si>
  <si>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</si>
  <si>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</si>
  <si>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</si>
  <si>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</si>
  <si>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</si>
  <si>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</si>
  <si>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</si>
  <si>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</si>
  <si>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Table of contents</t>
  </si>
  <si>
    <t>Topic of each table</t>
  </si>
  <si>
    <t>Link to each worksheet</t>
  </si>
  <si>
    <t>Nutrients from wastewater</t>
  </si>
  <si>
    <t>Nutrients from current land use</t>
  </si>
  <si>
    <t>Nutrients from future land use</t>
  </si>
  <si>
    <t>Water usage (litres/person/day):</t>
  </si>
  <si>
    <t>Annual average rainfall (mm):</t>
  </si>
  <si>
    <t>Date of first occupancy (dd/mm/yyyy):</t>
  </si>
  <si>
    <t>Water infrastructure information</t>
  </si>
  <si>
    <t>Final calculation of nutrient load from wastewater</t>
  </si>
  <si>
    <t>Current land use information</t>
  </si>
  <si>
    <t>Total nutrient budget calculations</t>
  </si>
  <si>
    <t>Final nutrient budgets</t>
  </si>
  <si>
    <t>Notes about the final nutrient budgets</t>
  </si>
  <si>
    <t>Phosphorus, Total as P (mg/l), permit post 2030</t>
  </si>
  <si>
    <t>SuDS</t>
  </si>
  <si>
    <t>Final_nutrient_budgets</t>
  </si>
  <si>
    <t>General information about the calculator</t>
  </si>
  <si>
    <t>Additional population (people):</t>
  </si>
  <si>
    <t>Wastewater by development (litres/day):</t>
  </si>
  <si>
    <t>Annual wastewater TP load (kg TP/yr):</t>
  </si>
  <si>
    <t>Sources of information required for nutrients from current land use worksheet</t>
  </si>
  <si>
    <t>Description of values generated</t>
  </si>
  <si>
    <t>Values generated</t>
  </si>
  <si>
    <t>Description of the information:</t>
  </si>
  <si>
    <t>Description of required information</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</si>
  <si>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</si>
  <si>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Notes on data</t>
  </si>
  <si>
    <t>Net land use TP change (kg TP/year):</t>
  </si>
  <si>
    <t>Wastewater TP load (kg TP/year):</t>
  </si>
  <si>
    <t>The total annual phosphorus load to mitigate is (kg TP/yr):</t>
  </si>
  <si>
    <t>You can move between worksheets using the tabs at the bottom of the page.</t>
  </si>
  <si>
    <t>Current land uses</t>
  </si>
  <si>
    <t>Future land uses</t>
  </si>
  <si>
    <t>Future Landcovers</t>
  </si>
  <si>
    <t>Totals:</t>
  </si>
  <si>
    <t>Annual phosphorus load removed by SuDS
(kg TP/yr)</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</si>
  <si>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</si>
  <si>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</si>
  <si>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</si>
  <si>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</si>
  <si>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Table 9: New landcovers</t>
  </si>
  <si>
    <t>This sheet contains nine tables. A blank row seperates the end of each table from the header for the next table.</t>
  </si>
  <si>
    <t>Current wastewater treatment works P permit (mg TP/litre):</t>
  </si>
  <si>
    <t>Column1</t>
  </si>
  <si>
    <t>Column2</t>
  </si>
  <si>
    <t>Column3</t>
  </si>
  <si>
    <t>Residential P export coefficient (kg/ha/yr)2</t>
  </si>
  <si>
    <t>Commercial / industrial P export coefficient (kg/ha/yr)3</t>
  </si>
  <si>
    <t>Open urban P export coefficient (kg/ha/yr)4</t>
  </si>
  <si>
    <t/>
  </si>
  <si>
    <t>General|900to1200</t>
  </si>
  <si>
    <t>Poultry|900to1200</t>
  </si>
  <si>
    <t>Dairy|900to1200</t>
  </si>
  <si>
    <t>Lowland|900to1200</t>
  </si>
  <si>
    <t>Mixed|900to1200</t>
  </si>
  <si>
    <t>Cereals|FALSE|900to1200|FreeDrain</t>
  </si>
  <si>
    <t>General|FALSE|900to1200|FreeDrain</t>
  </si>
  <si>
    <t>Dairy|FALSE|900to1200|FreeDrain</t>
  </si>
  <si>
    <t>Lowland|FALSE|900to1200|FreeDrain</t>
  </si>
  <si>
    <t>Lowland|FALSE|900to1200|DrainedAr</t>
  </si>
  <si>
    <t>Annual phosphorus export  
(kg TP/yr)</t>
  </si>
  <si>
    <t>Annual phosphorus inputs to SuDS feature(s)
(kg T/yr)</t>
  </si>
  <si>
    <t>TP budget:</t>
  </si>
  <si>
    <t>TP budget + 20% buffer:</t>
  </si>
  <si>
    <t>Annual phosphorus export
(kg TP/yr)</t>
  </si>
  <si>
    <t>LFA|900to1200</t>
  </si>
  <si>
    <t>General|FALSE|900to1200|DrainedAr</t>
  </si>
  <si>
    <t>Dairy|FALSE|900to1200|DrainedAr</t>
  </si>
  <si>
    <t>LFA|FALSE|900to1200|FreeDrain</t>
  </si>
  <si>
    <t>LFA|FALSE|900to1200|DrainedAr</t>
  </si>
  <si>
    <t>LFA|FALSE|1200to1500|FreeDrain</t>
  </si>
  <si>
    <t>LFA|FALSE|1200to1500|DrainedArGr</t>
  </si>
  <si>
    <t>Mixed|FALSE|900to1200|FreeDrain</t>
  </si>
  <si>
    <t>If you use screen reading software, you can use 'Ctrl' + 'Page Down' keys to move between the tabs.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</si>
  <si>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</si>
  <si>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 drainage associated with the predominant soil type within the development site can be found using the Soilscapes Map</t>
  </si>
  <si>
    <t>Notes about the SuDS worksheet</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</si>
  <si>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</si>
  <si>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</si>
  <si>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Average occupancy rate (people/dwelling or people/unit):</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</si>
  <si>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</si>
  <si>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</si>
  <si>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</si>
  <si>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</si>
  <si>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</si>
  <si>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</si>
  <si>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</si>
  <si>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</si>
  <si>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</si>
  <si>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</si>
  <si>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</si>
  <si>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</si>
  <si>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</si>
  <si>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</si>
  <si>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</si>
  <si>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</si>
  <si>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</si>
  <si>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</si>
  <si>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</si>
  <si>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</si>
  <si>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</si>
  <si>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</si>
  <si>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</si>
  <si>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</si>
  <si>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</si>
  <si>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</si>
  <si>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</si>
  <si>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</si>
  <si>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</si>
  <si>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</si>
  <si>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</si>
  <si>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This final stage automatically calculates the results from worksheets 1-5.</t>
  </si>
  <si>
    <t>If there are 2 or 3 values due to changing permits, the calculator will show the total amount of nutrient mitigation that is needed before and after the changing permit date.</t>
  </si>
  <si>
    <t>The calculator guidance gives further information about the landcover types used in this calculator.</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</si>
  <si>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</si>
  <si>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</si>
  <si>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</si>
  <si>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</si>
  <si>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</si>
  <si>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</si>
  <si>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</si>
  <si>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</si>
  <si>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Name of SuDS feature(s) - user inputs required</t>
  </si>
  <si>
    <t>TP removal rate for features - user specified (%) - user inputs required</t>
  </si>
  <si>
    <t>SuDS information</t>
  </si>
  <si>
    <t>Development proposal (dwellings/units):</t>
  </si>
  <si>
    <t>Nutrients from future land use after sustainable urban drainage system (SuDS) treatment</t>
  </si>
  <si>
    <t>Within nitrate vulnerable zone (NVZ):</t>
  </si>
  <si>
    <t>Operational catchment: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</si>
  <si>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</si>
  <si>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</si>
  <si>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</si>
  <si>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Horticulture|900to1200</t>
  </si>
  <si>
    <t>Cereals|900to1200</t>
  </si>
  <si>
    <t>Cereals|FALSE|900to1200|DrainedArGr</t>
  </si>
  <si>
    <t>General|FALSE|700to900|FreeDrain</t>
  </si>
  <si>
    <t>General|700to900</t>
  </si>
  <si>
    <t>General|FALSE|700to900|DrainedAr</t>
  </si>
  <si>
    <t>General|FALSE|900to1200|DrainedArGr</t>
  </si>
  <si>
    <t>Dairy|FALSE|700to900|FreeDrain</t>
  </si>
  <si>
    <t>Dairy|700to900</t>
  </si>
  <si>
    <t>Dairy|FALSE|700to900|DrainedAr</t>
  </si>
  <si>
    <t>LFA|FALSE|700to900|DrainedAr</t>
  </si>
  <si>
    <t>LFA|700to900</t>
  </si>
  <si>
    <t>Lowland|FALSE|700to900|FreeDrain</t>
  </si>
  <si>
    <t>Lowland|700to900</t>
  </si>
  <si>
    <t>Lowland|FALSE|700to900|DrainedAr</t>
  </si>
  <si>
    <t>Lowland|FALSE|900to1200|DrainedArGr</t>
  </si>
  <si>
    <t>Mixed|FALSE|900to1200|DrainedArGr</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</si>
  <si>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</si>
  <si>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</si>
  <si>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</si>
  <si>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</si>
  <si>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</si>
  <si>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Natural England Nutrient Neutrality budget calculator for the River Lugg and Wye SAC</t>
  </si>
  <si>
    <t>The annual average rainfall that the development will receive can be found using the National River Flow Archive for the '55003 - Lugg at Lugwardine'</t>
  </si>
  <si>
    <t>Acton Green WwTW</t>
  </si>
  <si>
    <t>Bishops Frome WwTW</t>
  </si>
  <si>
    <t>Bodenham STW  Bodenham  Hereford</t>
  </si>
  <si>
    <t>Bredenbury (Grendon Firs) STW</t>
  </si>
  <si>
    <t>Bromyard WwTW</t>
  </si>
  <si>
    <t>Canon Pyon WwTW</t>
  </si>
  <si>
    <t>Cso At Shobdon STW</t>
  </si>
  <si>
    <t>Dilwyn Wastewater Treatment Works</t>
  </si>
  <si>
    <t>Dinmarsh STW   Ullingswick</t>
  </si>
  <si>
    <t>Dormington STW Dormington  Hereford</t>
  </si>
  <si>
    <t>Edwyn Ralph STW Edwyn Ralph Bromyad</t>
  </si>
  <si>
    <t>Ivington STW</t>
  </si>
  <si>
    <t>Kingsland Wastewater Treatment Work</t>
  </si>
  <si>
    <t>Kington Wastewater Treatment Works</t>
  </si>
  <si>
    <t>Leominster Wastewater Treatment Works</t>
  </si>
  <si>
    <t>Luston And Yarpole STW</t>
  </si>
  <si>
    <t>Lyonshall Wastewater Treatment Works</t>
  </si>
  <si>
    <t>Monkhide STW Monkhide Herefordshire</t>
  </si>
  <si>
    <t>Mordiford (Pentaloe Close) STW</t>
  </si>
  <si>
    <t>Mordiford (Sufton Rise) STW</t>
  </si>
  <si>
    <t>Moreton On Lugg WwTW</t>
  </si>
  <si>
    <t>Much Cowarne (Mill Lane) STW</t>
  </si>
  <si>
    <t>Ocle Pychard STW  Ocle Pychard</t>
  </si>
  <si>
    <t>Pembridge STW</t>
  </si>
  <si>
    <t>Pencombe STW</t>
  </si>
  <si>
    <t>Pipe And Lyde STW</t>
  </si>
  <si>
    <t>Preston Wynne STW</t>
  </si>
  <si>
    <t>Stanford Bishop STW</t>
  </si>
  <si>
    <t>Stoke Edith STW  Stoke Edith</t>
  </si>
  <si>
    <t>Stoke Lacy (Cricks Green) STW</t>
  </si>
  <si>
    <t>Stretton Grandison STW</t>
  </si>
  <si>
    <t>Tarrington STW  Tarrington Hereford</t>
  </si>
  <si>
    <t>Titley STW  Titley  Kington</t>
  </si>
  <si>
    <t>Ullingswick (Bullocks Bridge) STW</t>
  </si>
  <si>
    <t>Weobley STW</t>
  </si>
  <si>
    <t>Westbury Council Houses Stoke Lacey</t>
  </si>
  <si>
    <t>Weston Beggard STW</t>
  </si>
  <si>
    <t>Arrow, Lugg and Frome</t>
  </si>
  <si>
    <t>Arrow, Lugg and Frome|Cereals|TRUE|600to700|FreeDrain</t>
  </si>
  <si>
    <t>Cereals|600to700</t>
  </si>
  <si>
    <t>Arrow, Lugg and Frome|Cereals|TRUE|600to700|DrainedAr</t>
  </si>
  <si>
    <t>Arrow, Lugg and Frome|Cereals|FALSE|700to900|FreeDrain</t>
  </si>
  <si>
    <t>Cereals|700to900</t>
  </si>
  <si>
    <t>Arrow, Lugg and Frome|Cereals|TRUE|700to900|FreeDrain</t>
  </si>
  <si>
    <t>Arrow, Lugg and Frome|Cereals|FALSE|700to900|DrainedAr</t>
  </si>
  <si>
    <t>Arrow, Lugg and Frome|Cereals|TRUE|700to900|DrainedAr</t>
  </si>
  <si>
    <t>Arrow, Lugg and Frome|Cereals|FALSE|700to900|DrainedArGr</t>
  </si>
  <si>
    <t>Arrow, Lugg and Frome|Cereals|TRUE|700to900|DrainedArGr</t>
  </si>
  <si>
    <t>Arrow, Lugg and Frome|Cereals|FALSE|900to1200|FreeDrain</t>
  </si>
  <si>
    <t>Arrow, Lugg and Frome|Cereals|TRUE|900to1200|FreeDrain</t>
  </si>
  <si>
    <t>Arrow, Lugg and Frome|Cereals|TRUE|900to1200|DrainedAr</t>
  </si>
  <si>
    <t>Arrow, Lugg and Frome|General|TRUE|600to700|FreeDrain</t>
  </si>
  <si>
    <t>General|600to700</t>
  </si>
  <si>
    <t>Arrow, Lugg and Frome|General|TRUE|600to700|DrainedAr</t>
  </si>
  <si>
    <t>Arrow, Lugg and Frome|General|FALSE|700to900|FreeDrain</t>
  </si>
  <si>
    <t>Arrow, Lugg and Frome|General|TRUE|700to900|FreeDrain</t>
  </si>
  <si>
    <t>Arrow, Lugg and Frome|General|FALSE|700to900|DrainedAr</t>
  </si>
  <si>
    <t>Arrow, Lugg and Frome|General|TRUE|700to900|DrainedAr</t>
  </si>
  <si>
    <t>Arrow, Lugg and Frome|General|FALSE|700to900|DrainedArGr</t>
  </si>
  <si>
    <t>Arrow, Lugg and Frome|General|TRUE|700to900|DrainedArGr</t>
  </si>
  <si>
    <t>Arrow, Lugg and Frome|General|FALSE|900to1200|FreeDrain</t>
  </si>
  <si>
    <t>Arrow, Lugg and Frome|General|TRUE|900to1200|FreeDrain</t>
  </si>
  <si>
    <t>Arrow, Lugg and Frome|Horticulture|TRUE|600to700|FreeDrain</t>
  </si>
  <si>
    <t>Horticulture|600to700</t>
  </si>
  <si>
    <t>Arrow, Lugg and Frome|Horticulture|TRUE|600to700|DrainedAr</t>
  </si>
  <si>
    <t>Arrow, Lugg and Frome|Horticulture|FALSE|700to900|FreeDrain</t>
  </si>
  <si>
    <t>Horticulture|700to900</t>
  </si>
  <si>
    <t>Arrow, Lugg and Frome|Horticulture|TRUE|700to900|FreeDrain</t>
  </si>
  <si>
    <t>Arrow, Lugg and Frome|Horticulture|TRUE|700to900|DrainedAr</t>
  </si>
  <si>
    <t>Arrow, Lugg and Frome|Horticulture|TRUE|700to900|DrainedArGr</t>
  </si>
  <si>
    <t>Arrow, Lugg and Frome|Horticulture|FALSE|900to1200|FreeDrain</t>
  </si>
  <si>
    <t>Arrow, Lugg and Frome|Horticulture|TRUE|900to1200|FreeDrain</t>
  </si>
  <si>
    <t>Arrow, Lugg and Frome|Horticulture|FALSE|900to1200|DrainedAr</t>
  </si>
  <si>
    <t>Arrow, Lugg and Frome|Pig|TRUE|600to700|DrainedAr</t>
  </si>
  <si>
    <t>Pig|600to700</t>
  </si>
  <si>
    <t>Arrow, Lugg and Frome|Pig|TRUE|700to900|FreeDrain</t>
  </si>
  <si>
    <t>Pig|700to900</t>
  </si>
  <si>
    <t>Arrow, Lugg and Frome|Pig|TRUE|700to900|DrainedAr</t>
  </si>
  <si>
    <t>Arrow, Lugg and Frome|Pig|FALSE|700to900|DrainedArGr</t>
  </si>
  <si>
    <t>Arrow, Lugg and Frome|Pig|FALSE|900to1200|FreeDrain</t>
  </si>
  <si>
    <t>Pig|900to1200</t>
  </si>
  <si>
    <t>Arrow, Lugg and Frome|Poultry|TRUE|600to700|DrainedAr</t>
  </si>
  <si>
    <t>Poultry|600to700</t>
  </si>
  <si>
    <t>Arrow, Lugg and Frome|Poultry|FALSE|700to900|FreeDrain</t>
  </si>
  <si>
    <t>Poultry|700to900</t>
  </si>
  <si>
    <t>Arrow, Lugg and Frome|Poultry|TRUE|700to900|FreeDrain</t>
  </si>
  <si>
    <t>Arrow, Lugg and Frome|Poultry|FALSE|700to900|DrainedAr</t>
  </si>
  <si>
    <t>Arrow, Lugg and Frome|Poultry|TRUE|700to900|DrainedAr</t>
  </si>
  <si>
    <t>Arrow, Lugg and Frome|Poultry|FALSE|700to900|DrainedArGr</t>
  </si>
  <si>
    <t>Arrow, Lugg and Frome|Poultry|TRUE|700to900|DrainedArGr</t>
  </si>
  <si>
    <t>Arrow, Lugg and Frome|Poultry|TRUE|900to1200|FreeDrain</t>
  </si>
  <si>
    <t>Arrow, Lugg and Frome|Dairy|TRUE|600to700|FreeDrain</t>
  </si>
  <si>
    <t>Dairy|600to700</t>
  </si>
  <si>
    <t>Arrow, Lugg and Frome|Dairy|TRUE|600to700|DrainedAr</t>
  </si>
  <si>
    <t>Arrow, Lugg and Frome|Dairy|FALSE|700to900|FreeDrain</t>
  </si>
  <si>
    <t>Arrow, Lugg and Frome|Dairy|TRUE|700to900|FreeDrain</t>
  </si>
  <si>
    <t>Arrow, Lugg and Frome|Dairy|TRUE|700to900|DrainedAr</t>
  </si>
  <si>
    <t>Arrow, Lugg and Frome|LFA|TRUE|600to700|FreeDrain</t>
  </si>
  <si>
    <t>LFA|600to700</t>
  </si>
  <si>
    <t>Arrow, Lugg and Frome|LFA|TRUE|600to700|DrainedAr</t>
  </si>
  <si>
    <t>Arrow, Lugg and Frome|LFA|FALSE|700to900|FreeDrain</t>
  </si>
  <si>
    <t>Arrow, Lugg and Frome|LFA|TRUE|700to900|FreeDrain</t>
  </si>
  <si>
    <t>Arrow, Lugg and Frome|LFA|FALSE|700to900|DrainedAr</t>
  </si>
  <si>
    <t>Arrow, Lugg and Frome|LFA|TRUE|700to900|DrainedAr</t>
  </si>
  <si>
    <t>Arrow, Lugg and Frome|LFA|FALSE|700to900|DrainedArGr</t>
  </si>
  <si>
    <t>Arrow, Lugg and Frome|LFA|FALSE|900to1200|FreeDrain</t>
  </si>
  <si>
    <t>Arrow, Lugg and Frome|LFA|FALSE|900to1200|DrainedAr</t>
  </si>
  <si>
    <t>Arrow, Lugg and Frome|Lowland|TRUE|600to700|FreeDrain</t>
  </si>
  <si>
    <t>Lowland|600to700</t>
  </si>
  <si>
    <t>Arrow, Lugg and Frome|Lowland|TRUE|600to700|DrainedAr</t>
  </si>
  <si>
    <t>Arrow, Lugg and Frome|Lowland|FALSE|700to900|FreeDrain</t>
  </si>
  <si>
    <t>Arrow, Lugg and Frome|Lowland|TRUE|700to900|FreeDrain</t>
  </si>
  <si>
    <t>Arrow, Lugg and Frome|Lowland|FALSE|700to900|DrainedAr</t>
  </si>
  <si>
    <t>Arrow, Lugg and Frome|Lowland|TRUE|700to900|DrainedAr</t>
  </si>
  <si>
    <t>Arrow, Lugg and Frome|Lowland|FALSE|700to900|DrainedArGr</t>
  </si>
  <si>
    <t>Arrow, Lugg and Frome|Lowland|TRUE|700to900|DrainedArGr</t>
  </si>
  <si>
    <t>Arrow, Lugg and Frome|Lowland|FALSE|900to1200|FreeDrain</t>
  </si>
  <si>
    <t>Arrow, Lugg and Frome|Lowland|TRUE|900to1200|FreeDrain</t>
  </si>
  <si>
    <t>Arrow, Lugg and Frome|Lowland|FALSE|900to1200|DrainedAr</t>
  </si>
  <si>
    <t>Arrow, Lugg and Frome|Mixed|TRUE|600to700|FreeDrain</t>
  </si>
  <si>
    <t>Mixed|600to700</t>
  </si>
  <si>
    <t>Arrow, Lugg and Frome|Mixed|TRUE|600to700|DrainedAr</t>
  </si>
  <si>
    <t>Arrow, Lugg and Frome|Mixed|FALSE|700to900|FreeDrain</t>
  </si>
  <si>
    <t>Mixed|700to900</t>
  </si>
  <si>
    <t>Arrow, Lugg and Frome|Mixed|TRUE|700to900|FreeDrain</t>
  </si>
  <si>
    <t>Arrow, Lugg and Frome|Mixed|FALSE|700to900|DrainedAr</t>
  </si>
  <si>
    <t>Arrow, Lugg and Frome|Mixed|TRUE|700to900|DrainedAr</t>
  </si>
  <si>
    <t>Arrow, Lugg and Frome|Mixed|FALSE|700to900|DrainedArGr</t>
  </si>
  <si>
    <t>Arrow, Lugg and Frome|Mixed|TRUE|700to900|DrainedArGr</t>
  </si>
  <si>
    <t>Arrow, Lugg and Frome|Mixed|FALSE|900to1200|FreeDrain</t>
  </si>
  <si>
    <t>Arrow, Lugg and Frome|Mixed|TRUE|900to1200|FreeDrain</t>
  </si>
  <si>
    <t>Arrow, Lugg and Frome|Mixed|FALSE|900to1200|DrainedAr</t>
  </si>
  <si>
    <t>Wye OC</t>
  </si>
  <si>
    <t>Wye OC|Cereals|TRUE|600to700|FreeDrain</t>
  </si>
  <si>
    <t>Wye OC|Cereals|TRUE|600to700|DrainedAr</t>
  </si>
  <si>
    <t>Wye OC|Cereals|TRUE|600to700|DrainedArGr</t>
  </si>
  <si>
    <t>Wye OC|Cereals|FALSE|700to900|FreeDrain</t>
  </si>
  <si>
    <t>Wye OC|Cereals|TRUE|700to900|FreeDrain</t>
  </si>
  <si>
    <t>Wye OC|Cereals|FALSE|700to900|DrainedAr</t>
  </si>
  <si>
    <t>Wye OC|Cereals|TRUE|700to900|DrainedAr</t>
  </si>
  <si>
    <t>Wye OC|Cereals|FALSE|700to900|DrainedArGr</t>
  </si>
  <si>
    <t>Wye OC|Cereals|TRUE|700to900|DrainedArGr</t>
  </si>
  <si>
    <t>Wye OC|Cereals|FALSE|900to1200|FreeDrain</t>
  </si>
  <si>
    <t>Wye OC|Cereals|TRUE|900to1200|FreeDrain</t>
  </si>
  <si>
    <t>Wye OC|Cereals|FALSE|900to1200|DrainedArGr</t>
  </si>
  <si>
    <t>Wye OC|General|TRUE|600to700|FreeDrain</t>
  </si>
  <si>
    <t>Wye OC|General|TRUE|600to700|DrainedAr</t>
  </si>
  <si>
    <t>Wye OC|General|TRUE|600to700|DrainedArGr</t>
  </si>
  <si>
    <t>Wye OC|General|FALSE|700to900|FreeDrain</t>
  </si>
  <si>
    <t>Wye OC|General|TRUE|700to900|FreeDrain</t>
  </si>
  <si>
    <t>Wye OC|General|FALSE|700to900|DrainedAr</t>
  </si>
  <si>
    <t>Wye OC|General|TRUE|700to900|DrainedAr</t>
  </si>
  <si>
    <t>Wye OC|General|FALSE|700to900|DrainedArGr</t>
  </si>
  <si>
    <t>Wye OC|General|TRUE|700to900|DrainedArGr</t>
  </si>
  <si>
    <t>Wye OC|General|FALSE|900to1200|FreeDrain</t>
  </si>
  <si>
    <t>Wye OC|General|TRUE|900to1200|FreeDrain</t>
  </si>
  <si>
    <t>Wye OC|General|TRUE|900to1200|DrainedAr</t>
  </si>
  <si>
    <t>Wye OC|General|FALSE|900to1200|DrainedArGr</t>
  </si>
  <si>
    <t>Wye OC|Horticulture|TRUE|600to700|FreeDrain</t>
  </si>
  <si>
    <t>Wye OC|Horticulture|TRUE|600to700|DrainedAr</t>
  </si>
  <si>
    <t>Wye OC|Horticulture|TRUE|600to700|DrainedArGr</t>
  </si>
  <si>
    <t>Wye OC|Horticulture|FALSE|700to900|FreeDrain</t>
  </si>
  <si>
    <t>Wye OC|Horticulture|TRUE|700to900|FreeDrain</t>
  </si>
  <si>
    <t>Wye OC|Horticulture|FALSE|700to900|DrainedAr</t>
  </si>
  <si>
    <t>Wye OC|Horticulture|TRUE|700to900|DrainedAr</t>
  </si>
  <si>
    <t>Wye OC|Horticulture|FALSE|700to900|DrainedArGr</t>
  </si>
  <si>
    <t>Wye OC|Horticulture|TRUE|700to900|DrainedArGr</t>
  </si>
  <si>
    <t>Wye OC|Horticulture|FALSE|900to1200|FreeDrain</t>
  </si>
  <si>
    <t>Wye OC|Horticulture|FALSE|900to1200|DrainedArGr</t>
  </si>
  <si>
    <t>Wye OC|Pig|TRUE|700to900|FreeDrain</t>
  </si>
  <si>
    <t>Wye OC|Poultry|TRUE|600to700|FreeDrain</t>
  </si>
  <si>
    <t>Wye OC|Poultry|TRUE|600to700|DrainedAr</t>
  </si>
  <si>
    <t>Wye OC|Poultry|FALSE|700to900|FreeDrain</t>
  </si>
  <si>
    <t>Wye OC|Poultry|TRUE|700to900|FreeDrain</t>
  </si>
  <si>
    <t>Wye OC|Poultry|TRUE|700to900|DrainedAr</t>
  </si>
  <si>
    <t>Wye OC|Poultry|FALSE|700to900|DrainedArGr</t>
  </si>
  <si>
    <t>Wye OC|Poultry|TRUE|700to900|DrainedArGr</t>
  </si>
  <si>
    <t>Wye OC|Poultry|FALSE|900to1200|FreeDrain</t>
  </si>
  <si>
    <t>Wye OC|Poultry|FALSE|900to1200|DrainedArGr</t>
  </si>
  <si>
    <t>Wye OC|Dairy|TRUE|600to700|FreeDrain</t>
  </si>
  <si>
    <t>Wye OC|Dairy|TRUE|600to700|DrainedAr</t>
  </si>
  <si>
    <t>Wye OC|Dairy|TRUE|600to700|DrainedArGr</t>
  </si>
  <si>
    <t>Wye OC|Dairy|TRUE|700to900|FreeDrain</t>
  </si>
  <si>
    <t>Wye OC|Dairy|TRUE|700to900|DrainedAr</t>
  </si>
  <si>
    <t>Wye OC|Dairy|TRUE|700to900|DrainedArGr</t>
  </si>
  <si>
    <t>Wye OC|Dairy|FALSE|900to1200|FreeDrain</t>
  </si>
  <si>
    <t>Wye OC|LFA|TRUE|600to700|FreeDrain</t>
  </si>
  <si>
    <t>Wye OC|LFA|TRUE|600to700|DrainedAr</t>
  </si>
  <si>
    <t>Wye OC|LFA|FALSE|700to900|FreeDrain</t>
  </si>
  <si>
    <t>Wye OC|LFA|TRUE|700to900|FreeDrain</t>
  </si>
  <si>
    <t>Wye OC|LFA|TRUE|700to900|DrainedAr</t>
  </si>
  <si>
    <t>Wye OC|LFA|TRUE|700to900|DrainedArGr</t>
  </si>
  <si>
    <t>Wye OC|LFA|FALSE|900to1200|FreeDrain</t>
  </si>
  <si>
    <t>Wye OC|Lowland|TRUE|600to700|FreeDrain</t>
  </si>
  <si>
    <t>Wye OC|Lowland|TRUE|600to700|DrainedAr</t>
  </si>
  <si>
    <t>Wye OC|Lowland|TRUE|600to700|DrainedArGr</t>
  </si>
  <si>
    <t>Wye OC|Lowland|FALSE|700to900|FreeDrain</t>
  </si>
  <si>
    <t>Wye OC|Lowland|TRUE|700to900|FreeDrain</t>
  </si>
  <si>
    <t>Wye OC|Lowland|FALSE|700to900|DrainedAr</t>
  </si>
  <si>
    <t>Wye OC|Lowland|TRUE|700to900|DrainedAr</t>
  </si>
  <si>
    <t>Wye OC|Lowland|FALSE|700to900|DrainedArGr</t>
  </si>
  <si>
    <t>Wye OC|Lowland|TRUE|700to900|DrainedArGr</t>
  </si>
  <si>
    <t>Wye OC|Lowland|FALSE|900to1200|FreeDrain</t>
  </si>
  <si>
    <t>Wye OC|Lowland|TRUE|900to1200|FreeDrain</t>
  </si>
  <si>
    <t>Wye OC|Lowland|FALSE|900to1200|DrainedAr</t>
  </si>
  <si>
    <t>Wye OC|Lowland|FALSE|900to1200|DrainedArGr</t>
  </si>
  <si>
    <t>Wye OC|Mixed|TRUE|600to700|FreeDrain</t>
  </si>
  <si>
    <t>Wye OC|Mixed|TRUE|600to700|DrainedAr</t>
  </si>
  <si>
    <t>Wye OC|Mixed|TRUE|600to700|DrainedArGr</t>
  </si>
  <si>
    <t>Wye OC|Mixed|FALSE|700to900|FreeDrain</t>
  </si>
  <si>
    <t>Wye OC|Mixed|TRUE|700to900|FreeDrain</t>
  </si>
  <si>
    <t>Wye OC|Mixed|FALSE|700to900|DrainedAr</t>
  </si>
  <si>
    <t>Wye OC|Mixed|TRUE|700to900|DrainedAr</t>
  </si>
  <si>
    <t>Wye OC|Mixed|FALSE|700to900|DrainedArGr</t>
  </si>
  <si>
    <t>Wye OC|Mixed|TRUE|700to900|DrainedArGr</t>
  </si>
  <si>
    <t>Wye OC|Mixed|FALSE|900to1200|FreeDrain</t>
  </si>
  <si>
    <t>Wye OC|Mixed|TRUE|900to1200|FreeDrain</t>
  </si>
  <si>
    <t>Wye OC|Mixed|FALSE|900to1200|DrainedAr</t>
  </si>
  <si>
    <t>Wye OC|Mixed|FALSE|900to1200|DrainedArGr</t>
  </si>
  <si>
    <t>Wye</t>
  </si>
  <si>
    <t>Cereals|TRUE|600to700|FreeDrain</t>
  </si>
  <si>
    <t>Cereals|TRUE|600to700|DrainedAr</t>
  </si>
  <si>
    <t>Cereals|TRUE|600to700|DrainedArGr</t>
  </si>
  <si>
    <t>Cereals|FALSE|700to900|FreeDrain</t>
  </si>
  <si>
    <t>Cereals|TRUE|700to900|FreeDrain</t>
  </si>
  <si>
    <t>Cereals|FALSE|700to900|DrainedAr</t>
  </si>
  <si>
    <t>Cereals|TRUE|700to900|DrainedAr</t>
  </si>
  <si>
    <t>Cereals|FALSE|700to900|DrainedArGr</t>
  </si>
  <si>
    <t>Cereals|TRUE|700to900|DrainedArGr</t>
  </si>
  <si>
    <t>Cereals|TRUE|900to1200|FreeDrain</t>
  </si>
  <si>
    <t>Cereals|FALSE|900to1200|DrainedAr</t>
  </si>
  <si>
    <t>Cereals|TRUE|900to1200|DrainedAr</t>
  </si>
  <si>
    <t>General|TRUE|600to700|FreeDrain</t>
  </si>
  <si>
    <t>General|TRUE|600to700|DrainedAr</t>
  </si>
  <si>
    <t>General|TRUE|600to700|DrainedArGr</t>
  </si>
  <si>
    <t>General|TRUE|700to900|FreeDrain</t>
  </si>
  <si>
    <t>General|TRUE|700to900|DrainedAr</t>
  </si>
  <si>
    <t>General|FALSE|700to900|DrainedArGr</t>
  </si>
  <si>
    <t>General|TRUE|700to900|DrainedArGr</t>
  </si>
  <si>
    <t>General|TRUE|900to1200|FreeDrain</t>
  </si>
  <si>
    <t>General|TRUE|900to1200|DrainedAr</t>
  </si>
  <si>
    <t>General|FALSE|1200to1500|FreeDrain</t>
  </si>
  <si>
    <t>General|FALSE|1200to1500|DrainedAr</t>
  </si>
  <si>
    <t>Horticulture|TRUE|600to700|FreeDrain</t>
  </si>
  <si>
    <t>Horticulture|TRUE|600to700|DrainedAr</t>
  </si>
  <si>
    <t>Horticulture|TRUE|600to700|DrainedArGr</t>
  </si>
  <si>
    <t>Horticulture|FALSE|700to900|FreeDrain</t>
  </si>
  <si>
    <t>Horticulture|TRUE|700to900|FreeDrain</t>
  </si>
  <si>
    <t>Horticulture|FALSE|700to900|DrainedAr</t>
  </si>
  <si>
    <t>Horticulture|TRUE|700to900|DrainedAr</t>
  </si>
  <si>
    <t>Horticulture|FALSE|700to900|DrainedArGr</t>
  </si>
  <si>
    <t>Horticulture|TRUE|700to900|DrainedArGr</t>
  </si>
  <si>
    <t>Horticulture|FALSE|900to1200|FreeDrain</t>
  </si>
  <si>
    <t>Horticulture|TRUE|900to1200|FreeDrain</t>
  </si>
  <si>
    <t>Horticulture|FALSE|900to1200|DrainedAr</t>
  </si>
  <si>
    <t>Horticulture|FALSE|900to1200|DrainedArGr</t>
  </si>
  <si>
    <t>Horticulture|FALSE|1200to1500|FreeDrain</t>
  </si>
  <si>
    <t>Pig|TRUE|600to700|DrainedAr</t>
  </si>
  <si>
    <t>Pig|TRUE|700to900|FreeDrain</t>
  </si>
  <si>
    <t>Pig|TRUE|700to900|DrainedAr</t>
  </si>
  <si>
    <t>Pig|FALSE|700to900|DrainedArGr</t>
  </si>
  <si>
    <t>Pig|FALSE|900to1200|FreeDrain</t>
  </si>
  <si>
    <t>Pig|FALSE|900to1200|DrainedAr</t>
  </si>
  <si>
    <t>Pig|FALSE|1200to1500|FreeDrain</t>
  </si>
  <si>
    <t>Poultry|TRUE|600to700|FreeDrain</t>
  </si>
  <si>
    <t>Poultry|TRUE|600to700|DrainedAr</t>
  </si>
  <si>
    <t>Poultry|FALSE|700to900|FreeDrain</t>
  </si>
  <si>
    <t>Poultry|TRUE|700to900|FreeDrain</t>
  </si>
  <si>
    <t>Poultry|FALSE|700to900|DrainedAr</t>
  </si>
  <si>
    <t>Poultry|TRUE|700to900|DrainedAr</t>
  </si>
  <si>
    <t>Poultry|FALSE|700to900|DrainedArGr</t>
  </si>
  <si>
    <t>Poultry|TRUE|700to900|DrainedArGr</t>
  </si>
  <si>
    <t>Poultry|FALSE|900to1200|FreeDrain</t>
  </si>
  <si>
    <t>Poultry|TRUE|900to1200|FreeDrain</t>
  </si>
  <si>
    <t>Poultry|FALSE|900to1200|DrainedAr</t>
  </si>
  <si>
    <t>Poultry|FALSE|900to1200|DrainedArGr</t>
  </si>
  <si>
    <t>Poultry|FALSE|1200to1500|FreeDrain</t>
  </si>
  <si>
    <t>Dairy|TRUE|600to700|FreeDrain</t>
  </si>
  <si>
    <t>Dairy|TRUE|600to700|DrainedAr</t>
  </si>
  <si>
    <t>Dairy|TRUE|600to700|DrainedArGr</t>
  </si>
  <si>
    <t>Dairy|TRUE|700to900|FreeDrain</t>
  </si>
  <si>
    <t>Dairy|TRUE|700to900|DrainedAr</t>
  </si>
  <si>
    <t>Dairy|TRUE|700to900|DrainedArGr</t>
  </si>
  <si>
    <t>LFA|TRUE|600to700|FreeDrain</t>
  </si>
  <si>
    <t>LFA|TRUE|600to700|DrainedAr</t>
  </si>
  <si>
    <t>LFA|FALSE|700to900|FreeDrain</t>
  </si>
  <si>
    <t>LFA|TRUE|700to900|FreeDrain</t>
  </si>
  <si>
    <t>LFA|TRUE|700to900|DrainedAr</t>
  </si>
  <si>
    <t>LFA|FALSE|700to900|DrainedArGr</t>
  </si>
  <si>
    <t>LFA|TRUE|700to900|DrainedArGr</t>
  </si>
  <si>
    <t>LFA|FALSE|1200to1500|DrainedAr</t>
  </si>
  <si>
    <t>Lowland|TRUE|600to700|FreeDrain</t>
  </si>
  <si>
    <t>Lowland|TRUE|600to700|DrainedAr</t>
  </si>
  <si>
    <t>Lowland|TRUE|600to700|DrainedArGr</t>
  </si>
  <si>
    <t>Lowland|TRUE|700to900|FreeDrain</t>
  </si>
  <si>
    <t>Lowland|TRUE|700to900|DrainedAr</t>
  </si>
  <si>
    <t>Lowland|FALSE|700to900|DrainedArGr</t>
  </si>
  <si>
    <t>Lowland|TRUE|700to900|DrainedArGr</t>
  </si>
  <si>
    <t>Lowland|TRUE|900to1200|FreeDrain</t>
  </si>
  <si>
    <t>Lowland|FALSE|1200to1500|FreeDrain</t>
  </si>
  <si>
    <t>Lowland|FALSE|1200to1500|DrainedAr</t>
  </si>
  <si>
    <t>Mixed|TRUE|600to700|FreeDrain</t>
  </si>
  <si>
    <t>Mixed|TRUE|600to700|DrainedAr</t>
  </si>
  <si>
    <t>Mixed|TRUE|600to700|DrainedArGr</t>
  </si>
  <si>
    <t>Mixed|FALSE|700to900|FreeDrain</t>
  </si>
  <si>
    <t>Mixed|TRUE|700to900|FreeDrain</t>
  </si>
  <si>
    <t>Mixed|FALSE|700to900|DrainedAr</t>
  </si>
  <si>
    <t>Mixed|TRUE|700to900|DrainedAr</t>
  </si>
  <si>
    <t>Mixed|FALSE|700to900|DrainedArGr</t>
  </si>
  <si>
    <t>Mixed|TRUE|700to900|DrainedArGr</t>
  </si>
  <si>
    <t>Mixed|TRUE|900to1200|FreeDrain</t>
  </si>
  <si>
    <t>Mixed|FALSE|900to1200|DrainedAr</t>
  </si>
  <si>
    <t>Lugg Specific Landcover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</si>
</sst>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
      <u/>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52">
    <xf numFmtId="0" fontId="0" fillId="0" borderId="0" xfId="0"/>
    <xf numFmtId="0" fontId="11" fillId="2" borderId="9" xfId="0" applyFont="1" applyFill="1" applyBorder="1" applyAlignment="1" applyProtection="1">
      <alignment horizontal="left" vertical="center" wrapText="1"/>
    </xf>
    <xf numFmtId="0" fontId="11" fillId="2" borderId="17"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Border="1" applyAlignment="1" applyProtection="1">
      <alignment horizontal="left" wrapText="1"/>
    </xf>
    <xf numFmtId="0" fontId="1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10" fillId="3" borderId="10" xfId="0" applyFont="1" applyFill="1" applyBorder="1" applyAlignment="1" applyProtection="1">
      <alignment horizontal="left" wrapText="1"/>
    </xf>
    <xf numFmtId="0" fontId="11" fillId="3" borderId="1"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0" fillId="3" borderId="11" xfId="0" applyFont="1" applyFill="1" applyBorder="1" applyAlignment="1" applyProtection="1">
      <alignment horizontal="left" wrapText="1"/>
    </xf>
    <xf numFmtId="0" fontId="1" fillId="3" borderId="5" xfId="0" applyFont="1" applyFill="1" applyBorder="1" applyAlignment="1" applyProtection="1">
      <alignment horizontal="left" wrapText="1"/>
    </xf>
    <xf numFmtId="0" fontId="10" fillId="3" borderId="13"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2" fontId="11" fillId="3" borderId="15" xfId="0" applyNumberFormat="1" applyFont="1" applyFill="1" applyBorder="1" applyAlignment="1" applyProtection="1">
      <alignment horizontal="left" vertical="center" wrapText="1"/>
    </xf>
    <xf numFmtId="2" fontId="11" fillId="3" borderId="16" xfId="0" applyNumberFormat="1" applyFont="1" applyFill="1" applyBorder="1" applyAlignment="1" applyProtection="1">
      <alignment horizontal="left" vertical="center" wrapText="1"/>
    </xf>
    <xf numFmtId="0" fontId="15" fillId="2" borderId="1" xfId="2" applyFont="1" applyFill="1" applyBorder="1" applyAlignment="1" applyProtection="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2" fontId="11" fillId="2" borderId="15" xfId="0" applyNumberFormat="1" applyFont="1" applyFill="1" applyBorder="1" applyAlignment="1" applyProtection="1">
      <alignment horizontal="left" vertical="center" wrapText="1"/>
    </xf>
    <xf numFmtId="0" fontId="16" fillId="2" borderId="1" xfId="3"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11" fillId="3" borderId="0" xfId="0" applyFont="1" applyFill="1" applyAlignment="1" applyProtection="1">
      <alignment horizontal="left" vertical="center" wrapText="1"/>
    </xf>
    <xf numFmtId="0" fontId="10" fillId="3" borderId="0" xfId="0" applyFont="1" applyFill="1" applyAlignment="1" applyProtection="1">
      <alignment horizontal="left" vertical="center" wrapText="1"/>
    </xf>
    <xf numFmtId="0" fontId="16"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1" fillId="3" borderId="3" xfId="0" applyNumberFormat="1" applyFont="1" applyFill="1" applyBorder="1" applyAlignment="1" applyProtection="1">
      <alignment horizontal="left" vertical="center" wrapText="1"/>
    </xf>
    <xf numFmtId="0" fontId="4" fillId="3" borderId="0" xfId="0" applyFont="1" applyFill="1" applyAlignment="1" applyProtection="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xf>
    <xf numFmtId="2" fontId="8" fillId="3" borderId="1" xfId="0" applyNumberFormat="1" applyFont="1" applyFill="1" applyBorder="1" applyAlignment="1" applyProtection="1">
      <alignment horizontal="left" vertical="center" wrapText="1"/>
    </xf>
    <xf numFmtId="0" fontId="18" fillId="3" borderId="0" xfId="0" applyFont="1" applyFill="1" applyAlignment="1" applyProtection="1">
      <alignment horizontal="left" vertical="center" wrapText="1"/>
    </xf>
    <xf numFmtId="0" fontId="6" fillId="3" borderId="0" xfId="0" applyFont="1" applyFill="1" applyAlignment="1" applyProtection="1">
      <alignment horizontal="left" wrapText="1"/>
    </xf>
    <xf numFmtId="0" fontId="20" fillId="3" borderId="0" xfId="0" applyFont="1" applyFill="1" applyAlignment="1" applyProtection="1">
      <alignment horizontal="left" vertical="center" wrapText="1"/>
    </xf>
    <xf numFmtId="0" fontId="17" fillId="3" borderId="0" xfId="0" applyFont="1" applyFill="1" applyAlignment="1" applyProtection="1">
      <alignment horizontal="left" wrapText="1"/>
    </xf>
    <xf numFmtId="0" fontId="14" fillId="3" borderId="1" xfId="0" applyFont="1" applyFill="1" applyBorder="1" applyAlignment="1" applyProtection="1">
      <alignment horizontal="left" vertical="center" wrapText="1"/>
    </xf>
    <xf numFmtId="2" fontId="8" fillId="3" borderId="0" xfId="0" applyNumberFormat="1" applyFont="1" applyFill="1" applyBorder="1" applyAlignment="1" applyProtection="1">
      <alignment horizontal="left" vertical="center" wrapText="1"/>
    </xf>
    <xf numFmtId="0" fontId="3" fillId="3" borderId="0" xfId="0" applyFont="1" applyFill="1" applyAlignment="1" applyProtection="1">
      <alignment horizontal="left" wrapText="1"/>
    </xf>
    <xf numFmtId="0" fontId="8" fillId="3" borderId="0"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Border="1" applyAlignment="1" applyProtection="1">
      <alignment horizontal="left" vertical="center" wrapText="1"/>
      <protection locked="0"/>
    </xf>
    <xf numFmtId="2" fontId="10" fillId="4" borderId="0" xfId="0" applyNumberFormat="1"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21" fillId="3" borderId="0" xfId="0" applyFont="1" applyFill="1" applyAlignment="1" applyProtection="1">
      <alignment horizontal="left" vertical="center" wrapText="1"/>
    </xf>
    <xf numFmtId="0" fontId="6" fillId="3" borderId="0" xfId="0" applyFont="1" applyFill="1" applyAlignment="1" applyProtection="1">
      <alignment horizontal="left" vertical="center"/>
    </xf>
    <xf numFmtId="2" fontId="11" fillId="3" borderId="0" xfId="0" applyNumberFormat="1"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Border="1" applyAlignment="1" applyProtection="1">
      <alignment horizontal="left" vertical="center" wrapText="1"/>
    </xf>
    <xf numFmtId="2" fontId="8" fillId="2" borderId="0" xfId="0" applyNumberFormat="1"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14" fillId="3" borderId="0" xfId="0" applyFont="1" applyFill="1" applyAlignment="1" applyProtection="1">
      <alignment horizontal="left" vertical="center" wrapText="1"/>
    </xf>
    <xf numFmtId="0" fontId="19" fillId="3" borderId="0" xfId="0" applyFont="1" applyFill="1" applyBorder="1" applyAlignment="1" applyProtection="1">
      <alignment horizontal="left" vertical="center" wrapText="1"/>
    </xf>
    <xf numFmtId="0" fontId="8" fillId="3" borderId="0" xfId="0" applyFont="1" applyFill="1" applyAlignment="1" applyProtection="1">
      <alignment horizontal="left" vertical="center" wrapText="1"/>
    </xf>
    <xf numFmtId="0" fontId="14" fillId="3" borderId="7" xfId="0" applyFont="1" applyFill="1" applyBorder="1" applyAlignment="1" applyProtection="1">
      <alignment horizontal="left" vertical="center" wrapText="1"/>
    </xf>
    <xf numFmtId="2" fontId="11" fillId="3" borderId="10" xfId="0" applyNumberFormat="1" applyFont="1" applyFill="1" applyBorder="1" applyAlignment="1" applyProtection="1">
      <alignment horizontal="left" vertical="center" wrapText="1"/>
    </xf>
    <xf numFmtId="2" fontId="8" fillId="3" borderId="10" xfId="0" applyNumberFormat="1" applyFont="1" applyFill="1" applyBorder="1" applyAlignment="1" applyProtection="1">
      <alignment horizontal="left" vertical="center" wrapText="1"/>
    </xf>
    <xf numFmtId="2" fontId="8" fillId="3" borderId="11" xfId="0" applyNumberFormat="1"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3" fillId="3" borderId="0" xfId="0" applyFont="1" applyFill="1" applyAlignment="1" applyProtection="1">
      <alignment horizontal="left" vertical="center" wrapText="1"/>
    </xf>
    <xf numFmtId="2" fontId="8" fillId="3" borderId="0" xfId="0" applyNumberFormat="1" applyFont="1" applyFill="1" applyAlignment="1" applyProtection="1">
      <alignment horizontal="left" vertical="center" wrapText="1"/>
    </xf>
    <xf numFmtId="0" fontId="18"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22" fillId="3" borderId="0" xfId="0" applyFont="1" applyFill="1" applyBorder="1" applyAlignment="1">
      <alignment vertical="center"/>
    </xf>
    <xf numFmtId="0" fontId="22" fillId="3" borderId="0" xfId="0" applyFont="1" applyFill="1" applyBorder="1" applyAlignment="1">
      <alignment vertical="center" wrapText="1"/>
    </xf>
    <xf numFmtId="0" fontId="6" fillId="3" borderId="0" xfId="0" applyFont="1" applyFill="1" applyBorder="1" applyAlignment="1">
      <alignment wrapText="1"/>
    </xf>
    <xf numFmtId="0" fontId="6" fillId="3" borderId="0" xfId="0" applyFont="1" applyFill="1" applyBorder="1" applyAlignment="1"/>
    <xf numFmtId="0" fontId="4"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Border="1" applyAlignment="1">
      <alignment horizontal="left" vertical="center" wrapText="1"/>
    </xf>
    <xf numFmtId="0" fontId="5"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ont="1"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ont="1" applyFill="1" applyBorder="1" applyAlignment="1" applyProtection="1">
      <alignment horizontal="left" vertical="center"/>
    </xf>
    <xf numFmtId="0" fontId="15" fillId="2" borderId="1" xfId="2" applyFont="1"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2" fontId="11" fillId="3" borderId="1" xfId="0" applyNumberFormat="1" applyFont="1" applyFill="1" applyBorder="1" applyAlignment="1" applyProtection="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pplyProtection="1">
      <alignment horizontal="left" vertical="center" wrapText="1"/>
    </xf>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5" fillId="3" borderId="1" xfId="0" applyFont="1" applyFill="1" applyBorder="1" applyAlignment="1" applyProtection="1">
      <alignment horizontal="left" vertical="center" wrapText="1"/>
    </xf>
    <xf numFmtId="0" fontId="10" fillId="3" borderId="10" xfId="0" applyNumberFormat="1" applyFont="1" applyFill="1" applyBorder="1" applyAlignment="1" applyProtection="1">
      <alignment horizontal="left" vertical="center" wrapText="1"/>
      <protection locked="0"/>
    </xf>
    <xf numFmtId="0" fontId="24" fillId="3" borderId="1" xfId="1" applyFont="1" applyFill="1" applyBorder="1" applyAlignment="1" applyProtection="1">
      <alignment horizontal="left" vertical="center" wrapText="1"/>
    </xf>
    <xf numFmtId="2" fontId="0" fillId="3" borderId="10"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lignment horizontal="left" vertical="center" wrapText="1"/>
    </xf>
    <xf numFmtId="0" fontId="6" fillId="2" borderId="1" xfId="0" applyFont="1" applyFill="1" applyBorder="1" applyAlignment="1"/>
  </cellXfs>
  <cellStyles count="4">
    <cellStyle name="Heading 1" xfId="2" builtinId="16" customBuiltin="1"/>
    <cellStyle name="Heading 2" xfId="3" builtinId="17" customBuiltin="1"/>
    <cellStyle name="Hyperlink" xfId="1" builtinId="8"/>
    <cellStyle name="Normal" xfId="0" builtinId="0"/>
  </cellStyles>
  <dxfs count="117">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border>
        <bottom style="thin">
          <color indexed="64"/>
        </bottom>
      </border>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9EDF7"/>
        </patternFill>
      </fill>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16" dataDxfId="115">
  <autoFilter ref="A10:B15" xr:uid="{7EBF9311-A278-4083-BF4D-937B4AAC2ED7}">
    <filterColumn colId="0" hiddenButton="1"/>
    <filterColumn colId="1" hiddenButton="1"/>
  </autoFilter>
  <tableColumns count="2">
    <tableColumn id="1" xr3:uid="{D307493E-2059-46BA-8359-3AF9476DA77C}" name="Topic of each table" dataDxfId="114"/>
    <tableColumn id="2" xr3:uid="{232F3596-0F30-49C4-AE95-A48E7051B620}" name="Link to each worksheet" dataDxfId="113"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384:A401" totalsRowShown="0" headerRowDxfId="52" dataDxfId="50" headerRowBorderDxfId="51" tableBorderDxfId="49" totalsRowBorderDxfId="48">
  <autoFilter ref="A384:A401" xr:uid="{27E373C5-D0CE-42F2-9526-68F6C3493A4E}">
    <filterColumn colId="0" hiddenButton="1"/>
  </autoFilter>
  <tableColumns count="1">
    <tableColumn id="1" xr3:uid="{53B368C1-8BC9-40BE-BF12-2BD44CBABE8A}" name="All Possible Landcover Types" dataDxfId="47"/>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379:B381" totalsRowShown="0" headerRowDxfId="46" dataDxfId="45">
  <autoFilter ref="A379:B381" xr:uid="{92ED230A-D03F-4AFE-B6E2-A2C0CA247A6E}">
    <filterColumn colId="0" hiddenButton="1"/>
    <filterColumn colId="1" hiddenButton="1"/>
  </autoFilter>
  <tableColumns count="2">
    <tableColumn id="1" xr3:uid="{733091DA-D7C2-4BC5-B808-44E4059922C0}" name="NVZ" dataDxfId="44"/>
    <tableColumn id="2" xr3:uid="{F0C58FBC-95F8-49DE-8689-2F83AB0C11EB}" name="Farmscoper equivalent" dataDxfId="4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370:C376" totalsRowShown="0" headerRowDxfId="42" dataDxfId="41">
  <autoFilter ref="A370:C376" xr:uid="{1A6CB2E1-69B4-4AD4-994C-659133C27DDB}">
    <filterColumn colId="0" hiddenButton="1"/>
    <filterColumn colId="1" hiddenButton="1"/>
    <filterColumn colId="2" hiddenButton="1"/>
  </autoFilter>
  <tableColumns count="3">
    <tableColumn id="1" xr3:uid="{22766906-A0A6-4E97-AF30-1597153F0350}" name="Soilscape drainage term" dataDxfId="40"/>
    <tableColumn id="2" xr3:uid="{F002BB36-823A-4836-A21B-B579E90BABD3}" name="Farmscoper term" dataDxfId="39"/>
    <tableColumn id="3" xr3:uid="{9175DC56-F38C-4D28-A172-11226D1D23E9}" name="Definition" dataDxfId="38"/>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339:K362" totalsRowShown="0" headerRowDxfId="37" dataDxfId="35" headerRowBorderDxfId="36">
  <autoFilter ref="A339:K362"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4"/>
    <tableColumn id="2" xr3:uid="{6314E66D-7991-4DDA-9A1D-1FE2961CCE28}" name="Mid" dataDxfId="33"/>
    <tableColumn id="3" xr3:uid="{0B72D170-B3FB-410B-B94E-238D55DCBE68}" name="Farmscoper Equivalent" dataDxfId="32"/>
    <tableColumn id="4" xr3:uid="{0F992BC0-BDCD-49A0-800D-DE9390E83D4D}" name="P Urban Runoff Coefficient " dataDxfId="31"/>
    <tableColumn id="5" xr3:uid="{CC4E8ED1-10B1-497F-85BB-B21C5930A734}" name="N Urban Runoff Coefficient (kg/ha/yr)" dataDxfId="30"/>
    <tableColumn id="6" xr3:uid="{8AA02858-4B6E-42E1-8EB2-D3C4BAB72698}" name="Residential P export coefficient (kg/ha/yr)" dataDxfId="29"/>
    <tableColumn id="7" xr3:uid="{24BE5444-EEC8-44A1-8B49-79261DDC1D84}" name="Commercial / industrial P export coefficient (kg/ha/yr)" dataDxfId="28"/>
    <tableColumn id="8" xr3:uid="{3D907FB1-AFBD-4D65-A7C1-7FCBDBA7E010}" name="Open urban P export coefficient (kg/ha/yr)" dataDxfId="27"/>
    <tableColumn id="9" xr3:uid="{659D953B-CEE1-475B-B79F-09EDE2124F89}" name="Residential P export coefficient (kg/ha/yr)2" dataDxfId="26"/>
    <tableColumn id="10" xr3:uid="{B077E248-9579-43F2-9FD4-BCCA722D6FC1}" name="Commercial / industrial P export coefficient (kg/ha/yr)3" dataDxfId="25"/>
    <tableColumn id="11" xr3:uid="{106BF2CF-BA30-4A6D-AF89-E886BEBDE8D6}" name="Open urban P export coefficient (kg/ha/yr)4" dataDxfId="24"/>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48:M336" totalsRowShown="0" headerRowDxfId="23" dataDxfId="22">
  <autoFilter ref="A48:M336"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1"/>
    <tableColumn id="2" xr3:uid="{B8D75754-E7F8-4B85-993C-7907E45F1CAE}" name="Farmscoper Farm Term" dataDxfId="20"/>
    <tableColumn id="3" xr3:uid="{EC77A0A4-C437-4818-A316-7C71A29A7121}" name="NVZ" dataDxfId="19"/>
    <tableColumn id="4" xr3:uid="{B98F73F4-9677-4844-877F-8A359508FB3B}" name="Climate" dataDxfId="18"/>
    <tableColumn id="5" xr3:uid="{7C621915-7D3D-4055-8347-C883D9EE99FE}" name="Farmscoper Soil Drainage Term" dataDxfId="17"/>
    <tableColumn id="6" xr3:uid="{4C66E893-8377-439B-93D4-1CE695F419C9}" name="Lookup" dataDxfId="16">
      <calculatedColumnFormula>"|"&amp;"|"&amp;"|"&amp;E49</calculatedColumnFormula>
    </tableColumn>
    <tableColumn id="7" xr3:uid="{CF6B9BF0-3AFB-4049-8321-66DDFD8F9508}" name="Column3" dataDxfId="15"/>
    <tableColumn id="8" xr3:uid="{EBD2571A-6A4E-4448-BEB2-CCC5A7E48254}" name="Phosphorus export coefficient" dataDxfId="14"/>
    <tableColumn id="9" xr3:uid="{96CC571C-13E4-474B-8016-76B1B26E6BAE}" name="Farm Lookup" dataDxfId="13"/>
    <tableColumn id="10" xr3:uid="{511A3753-F9BA-45C6-B34A-6CC17D10251D}" name="Column1" dataDxfId="12"/>
    <tableColumn id="11" xr3:uid="{A4A4CA5F-B40A-4D96-B1F7-2F58E7D4D811}" name="Mean P export of farm type and climate combination" dataDxfId="11"/>
    <tableColumn id="12" xr3:uid="{6A6F3AA5-4A40-440E-9BBC-E26F5AF39750}" name="Column2" dataDxfId="10"/>
    <tableColumn id="13" xr3:uid="{EF05C3C7-DB49-4B8E-8C81-E6CFAC3E3633}" name="Mean P export of farm type" dataDxfId="9"/>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45" totalsRowShown="0" headerRowDxfId="8" dataDxfId="6" headerRowBorderDxfId="7" tableBorderDxfId="5" totalsRowBorderDxfId="4">
  <autoFilter ref="A4:D45"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3"/>
    <tableColumn id="2" xr3:uid="{1CC474C8-63E1-4F68-A098-5E908E40DA49}" name="Phosphorus, Total as P (mg/l)" dataDxfId="2"/>
    <tableColumn id="3" xr3:uid="{2E3488FB-E48E-4A15-AFE7-EF2D95C19F27}" name="Phosphorus, Total as P (mg/l), permit post 2025" dataDxfId="1"/>
    <tableColumn id="4" xr3:uid="{94BDE985-E688-430A-9815-4EDF1FE7157B}" name="Phosphorus, Total as P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2" dataDxfId="110" headerRowBorderDxfId="111" tableBorderDxfId="109" totalsRowBorderDxfId="108">
  <autoFilter ref="A42:A46" xr:uid="{64981484-4795-461F-A3C7-626CD012A06C}">
    <filterColumn colId="0" hiddenButton="1"/>
  </autoFilter>
  <tableColumns count="1">
    <tableColumn id="1" xr3:uid="{F955E827-6C2D-4DAA-893A-D0A3AA8CBF38}" name="Description of the information:" dataDxfId="107"/>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5" dataDxfId="103" headerRowBorderDxfId="104" tableBorderDxfId="102" totalsRowBorderDxfId="101">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0"/>
    <tableColumn id="2" xr3:uid="{D22CDBE7-9B75-4248-A951-0D061DAA9F1C}" name="Data entry column - user inputs required" dataDxfId="99"/>
    <tableColumn id="4" xr3:uid="{20424A8D-23FA-4C1D-B394-6A4A0726E8D6}" name="Additional data entry column - user inputs may be required" dataDxfId="98"/>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97" dataDxfId="95" headerRowBorderDxfId="96" tableBorderDxfId="94">
  <autoFilter ref="A14:B22" xr:uid="{B50C45A2-2A77-478E-B226-DC5B3B2EA72E}">
    <filterColumn colId="0" hiddenButton="1"/>
    <filterColumn colId="1" hiddenButton="1"/>
  </autoFilter>
  <tableColumns count="2">
    <tableColumn id="1" xr3:uid="{FA8C78F6-50A3-498F-8975-6D1EC817B86B}" name="Description of values generated" dataDxfId="93"/>
    <tableColumn id="2" xr3:uid="{150A0AA5-FDF2-4BA1-A9A8-36A566F3E6CC}" name="Values generated" dataDxfId="92"/>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0" dataDxfId="88" headerRowBorderDxfId="89" tableBorderDxfId="87" totalsRowBorderDxfId="86">
  <autoFilter ref="A4:B8" xr:uid="{E51AE02F-7B0C-4640-BEBD-8FD46432F29C}">
    <filterColumn colId="0" hiddenButton="1"/>
    <filterColumn colId="1" hiddenButton="1"/>
  </autoFilter>
  <tableColumns count="2">
    <tableColumn id="1" xr3:uid="{C513A266-837A-4378-8552-D156135B549F}" name="Description of required information" dataDxfId="85"/>
    <tableColumn id="2" xr3:uid="{9FEADC6D-D9F7-40A8-AB95-390DAB627A00}" name="Data entry column - user inputs required" dataDxfId="84"/>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3" dataDxfId="81" headerRowBorderDxfId="82" tableBorderDxfId="80" totalsRowBorderDxfId="79">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78"/>
    <tableColumn id="2" xr3:uid="{DA6AF240-7DDF-40CC-B3C9-0A6C10900A68}" name="Area (ha) - user inputs required" dataDxfId="77"/>
    <tableColumn id="4" xr3:uid="{D46D9DE3-2913-45A9-81EF-5C0B16A60B70}" name="Annual phosphorus export  _x000a_(kg TP/yr)" dataDxfId="76"/>
    <tableColumn id="5" xr3:uid="{B35F3CE8-F7D9-4526-B8D6-064B09EE0E77}" name="Notes on data" dataDxfId="75"/>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4" dataDxfId="73">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2"/>
    <tableColumn id="2" xr3:uid="{2BF0443C-5885-452F-9860-409F1647E1C1}" name="Area (ha) - user inputs required" dataDxfId="71"/>
    <tableColumn id="4" xr3:uid="{D4EA72A6-0C9C-4A1E-8AAC-10EB38F195A8}" name="Annual phosphorus export_x000a_(kg TP/yr)" dataDxfId="70"/>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69" dataDxfId="68">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67"/>
    <tableColumn id="2" xr3:uid="{72D29FD7-7898-4191-A97D-55B2AC2A6039}" name="SuDS catchment area (ha) - user inputs required" dataDxfId="66"/>
    <tableColumn id="10" xr3:uid="{C118AB6C-A0C7-46A0-B4D4-823E8172F281}" name="Percentage of flow entering the SuDS (%) - user inputs required" dataDxfId="65"/>
    <tableColumn id="4" xr3:uid="{C9DF269B-9235-47CA-9628-CA0EAEA7E887}" name="Annual phosphorus inputs to SuDS feature(s)_x000a_(kg T/yr)" dataDxfId="64">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3"/>
    <tableColumn id="8" xr3:uid="{6CE040BE-33E5-44DA-B389-E1BC789E21E5}" name="TP removal rate for features - user specified (%) - user inputs required" dataDxfId="62">
      <calculatedColumnFormula>IF(OR(#REF!="No",ISBLANK(#REF!)),"",IF(#REF!="Yes","","TN removal rate - user specified (%)"))</calculatedColumnFormula>
    </tableColumn>
    <tableColumn id="14" xr3:uid="{1156F97A-C06E-4041-A8E9-274F94CC02BE}" name="Annual phosphorus load removed by SuDS_x000a_(kg TP/yr)" dataDxfId="61"/>
    <tableColumn id="6" xr3:uid="{E06A970A-6835-4E49-9119-FEAF7BC8D4A0}" name="Notes on data" dataDxfId="60">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59" dataDxfId="57" headerRowBorderDxfId="58" tableBorderDxfId="56" totalsRowBorderDxfId="55">
  <autoFilter ref="A4:B14" xr:uid="{A0BD0106-977A-4B15-9C53-C66CDF6772BD}">
    <filterColumn colId="0" hiddenButton="1"/>
    <filterColumn colId="1" hiddenButton="1"/>
  </autoFilter>
  <tableColumns count="2">
    <tableColumn id="1" xr3:uid="{31004191-352C-44A7-A242-30E88F4CD5ED}" name="Description of values generated" dataDxfId="54"/>
    <tableColumn id="2" xr3:uid="{C357CE45-1FD7-4EF9-804B-579D3A1CC1A7}" name="Values generated" dataDxfId="53"/>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nrfa.ceh.ac.uk/data/station/spatial/55003"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tabSelected="1" zoomScaleNormal="100" workbookViewId="0"/>
  </sheetViews>
  <sheetFormatPr defaultColWidth="8.84375" defaultRowHeight="15" x14ac:dyDescent="0.4"/>
  <cols>
    <col min="1" max="1" width="124.23046875" style="6" customWidth="1"/>
    <col min="2" max="2" width="44.84375" style="6" customWidth="1"/>
    <col min="3" max="207" width="8.53515625" style="6" customWidth="1"/>
    <col min="208" max="16384" width="8.84375" style="6"/>
  </cols>
  <sheetData>
    <row r="1" spans="1:2" ht="50.5" customHeight="1" x14ac:dyDescent="0.4">
      <c r="A1" s="5" t="s">
        <v>258</v>
      </c>
    </row>
    <row r="2" spans="1:2" ht="23.5" customHeight="1" x14ac:dyDescent="0.4">
      <c r="A2" s="127" t="s">
        <v>184</v>
      </c>
    </row>
    <row r="3" spans="1:2" ht="24" customHeight="1" x14ac:dyDescent="0.4">
      <c r="A3" s="7" t="s">
        <v>185</v>
      </c>
    </row>
    <row r="4" spans="1:2" ht="23.15" customHeight="1" x14ac:dyDescent="0.4">
      <c r="A4" s="7" t="s">
        <v>186</v>
      </c>
    </row>
    <row r="5" spans="1:2" ht="26.25" customHeight="1" x14ac:dyDescent="0.4">
      <c r="A5" s="7" t="s">
        <v>134</v>
      </c>
    </row>
    <row r="6" spans="1:2" ht="26.25" customHeight="1" x14ac:dyDescent="0.4">
      <c r="A6" s="7" t="s">
        <v>177</v>
      </c>
    </row>
    <row r="7" spans="1:2" ht="39.65" customHeight="1" x14ac:dyDescent="0.4">
      <c r="A7" s="7" t="s">
        <v>187</v>
      </c>
    </row>
    <row r="8" spans="1:2" ht="40.5" customHeight="1" x14ac:dyDescent="0.4">
      <c r="A8" s="7" t="s">
        <v>188</v>
      </c>
    </row>
    <row r="9" spans="1:2" ht="37.5" customHeight="1" x14ac:dyDescent="0.4">
      <c r="A9" s="8" t="s">
        <v>102</v>
      </c>
    </row>
    <row r="10" spans="1:2" ht="37.5" customHeight="1" x14ac:dyDescent="0.4">
      <c r="A10" s="9" t="s">
        <v>103</v>
      </c>
      <c r="B10" s="10" t="s">
        <v>104</v>
      </c>
    </row>
    <row r="11" spans="1:2" ht="20.149999999999999" customHeight="1" x14ac:dyDescent="0.4">
      <c r="A11" s="7" t="s">
        <v>189</v>
      </c>
      <c r="B11" s="11" t="s">
        <v>105</v>
      </c>
    </row>
    <row r="12" spans="1:2" ht="20.149999999999999" customHeight="1" x14ac:dyDescent="0.4">
      <c r="A12" s="7" t="s">
        <v>190</v>
      </c>
      <c r="B12" s="11" t="s">
        <v>106</v>
      </c>
    </row>
    <row r="13" spans="1:2" ht="20.149999999999999" customHeight="1" x14ac:dyDescent="0.4">
      <c r="A13" s="7" t="s">
        <v>191</v>
      </c>
      <c r="B13" s="11" t="s">
        <v>107</v>
      </c>
    </row>
    <row r="14" spans="1:2" ht="20.149999999999999" customHeight="1" x14ac:dyDescent="0.4">
      <c r="A14" s="7" t="s">
        <v>192</v>
      </c>
      <c r="B14" s="11" t="s">
        <v>118</v>
      </c>
    </row>
    <row r="15" spans="1:2" ht="20.149999999999999" customHeight="1" x14ac:dyDescent="0.4">
      <c r="A15" s="7" t="s">
        <v>193</v>
      </c>
      <c r="B15" s="11" t="s">
        <v>119</v>
      </c>
    </row>
    <row r="16" spans="1:2" ht="37.5" customHeight="1" x14ac:dyDescent="0.4">
      <c r="A16" s="8" t="s">
        <v>120</v>
      </c>
      <c r="B16" s="12"/>
    </row>
    <row r="17" spans="1:2" ht="20.25" customHeight="1" x14ac:dyDescent="0.4">
      <c r="A17" s="7" t="s">
        <v>194</v>
      </c>
      <c r="B17" s="12"/>
    </row>
    <row r="18" spans="1:2" ht="36.75" customHeight="1" x14ac:dyDescent="0.4">
      <c r="A18" s="7" t="s">
        <v>195</v>
      </c>
      <c r="B18" s="12"/>
    </row>
    <row r="19" spans="1:2" ht="36.75" customHeight="1" x14ac:dyDescent="0.4">
      <c r="A19" s="7" t="s">
        <v>182</v>
      </c>
      <c r="B19" s="12"/>
    </row>
    <row r="20" spans="1:2" ht="67.5" customHeight="1" x14ac:dyDescent="0.4">
      <c r="A20" s="7" t="s">
        <v>178</v>
      </c>
    </row>
    <row r="21" spans="1:2" ht="33" customHeight="1" x14ac:dyDescent="0.4">
      <c r="A21" s="7" t="s">
        <v>196</v>
      </c>
    </row>
    <row r="22" spans="1:2" ht="25.5" customHeight="1" x14ac:dyDescent="0.4">
      <c r="A22" s="11" t="s">
        <v>197</v>
      </c>
    </row>
    <row r="23" spans="1:2" ht="22.5" customHeight="1" x14ac:dyDescent="0.4">
      <c r="A23" s="7" t="s">
        <v>198</v>
      </c>
    </row>
    <row r="24" spans="1:2" ht="30" x14ac:dyDescent="0.4">
      <c r="A24" s="7" t="s">
        <v>233</v>
      </c>
    </row>
    <row r="25" spans="1:2" ht="37.5" customHeight="1" x14ac:dyDescent="0.4">
      <c r="A25" s="7" t="s">
        <v>235</v>
      </c>
    </row>
    <row r="26" spans="1:2" ht="54" customHeight="1" x14ac:dyDescent="0.4">
      <c r="A26" s="128" t="s">
        <v>199</v>
      </c>
    </row>
    <row r="27" spans="1:2" ht="38.5" customHeight="1" x14ac:dyDescent="0.4">
      <c r="A27" s="7" t="s">
        <v>234</v>
      </c>
    </row>
    <row r="28" spans="1:2" ht="37.5" customHeight="1" x14ac:dyDescent="0.4">
      <c r="A28" s="8" t="s">
        <v>142</v>
      </c>
    </row>
    <row r="29" spans="1:2" ht="22.5" customHeight="1" x14ac:dyDescent="0.4">
      <c r="A29" s="7" t="s">
        <v>200</v>
      </c>
    </row>
    <row r="30" spans="1:2" ht="50.25" customHeight="1" x14ac:dyDescent="0.4">
      <c r="A30" s="7" t="s">
        <v>201</v>
      </c>
    </row>
    <row r="31" spans="1:2" ht="51.75" customHeight="1" x14ac:dyDescent="0.4">
      <c r="A31" s="7" t="s">
        <v>202</v>
      </c>
    </row>
    <row r="32" spans="1:2" ht="161.5" customHeight="1" x14ac:dyDescent="0.4">
      <c r="A32" s="7" t="s">
        <v>203</v>
      </c>
    </row>
    <row r="33" spans="1:2" ht="53.15" customHeight="1" x14ac:dyDescent="0.4">
      <c r="A33" s="7" t="s">
        <v>204</v>
      </c>
    </row>
    <row r="34" spans="1:2" ht="43.5" customHeight="1" x14ac:dyDescent="0.4">
      <c r="A34" s="7" t="s">
        <v>205</v>
      </c>
    </row>
    <row r="35" spans="1:2" ht="40" customHeight="1" x14ac:dyDescent="0.4">
      <c r="A35" s="7" t="s">
        <v>206</v>
      </c>
    </row>
    <row r="36" spans="1:2" ht="156.65" customHeight="1" x14ac:dyDescent="0.4">
      <c r="A36" s="7" t="s">
        <v>207</v>
      </c>
    </row>
    <row r="37" spans="1:2" ht="37.5" customHeight="1" x14ac:dyDescent="0.4">
      <c r="A37" s="8" t="s">
        <v>141</v>
      </c>
    </row>
    <row r="38" spans="1:2" ht="79.5" customHeight="1" x14ac:dyDescent="0.4">
      <c r="A38" s="7" t="s">
        <v>129</v>
      </c>
    </row>
    <row r="39" spans="1:2" ht="72" customHeight="1" x14ac:dyDescent="0.4">
      <c r="A39" s="11" t="s">
        <v>208</v>
      </c>
    </row>
    <row r="40" spans="1:2" ht="29.15" customHeight="1" x14ac:dyDescent="0.4">
      <c r="A40" s="11" t="s">
        <v>209</v>
      </c>
    </row>
    <row r="41" spans="1:2" ht="37" customHeight="1" x14ac:dyDescent="0.4">
      <c r="A41" s="8" t="s">
        <v>124</v>
      </c>
    </row>
    <row r="42" spans="1:2" ht="37.5" customHeight="1" x14ac:dyDescent="0.4">
      <c r="A42" s="9" t="s">
        <v>127</v>
      </c>
      <c r="B42" s="13"/>
    </row>
    <row r="43" spans="1:2" ht="41.5" customHeight="1" x14ac:dyDescent="0.4">
      <c r="A43" s="128" t="s">
        <v>210</v>
      </c>
      <c r="B43" s="14"/>
    </row>
    <row r="44" spans="1:2" ht="27" customHeight="1" x14ac:dyDescent="0.4">
      <c r="A44" s="128" t="s">
        <v>179</v>
      </c>
      <c r="B44" s="14"/>
    </row>
    <row r="45" spans="1:2" ht="42.65" customHeight="1" x14ac:dyDescent="0.4">
      <c r="A45" s="147" t="s">
        <v>259</v>
      </c>
      <c r="B45" s="14"/>
    </row>
    <row r="46" spans="1:2" ht="41.5" customHeight="1" x14ac:dyDescent="0.4">
      <c r="A46" s="129" t="s">
        <v>211</v>
      </c>
      <c r="B46" s="14"/>
    </row>
    <row r="47" spans="1:2" ht="37" customHeight="1" x14ac:dyDescent="0.4">
      <c r="A47" s="8" t="s">
        <v>140</v>
      </c>
    </row>
    <row r="48" spans="1:2" ht="56.5" customHeight="1" x14ac:dyDescent="0.4">
      <c r="A48" s="7" t="s">
        <v>212</v>
      </c>
    </row>
    <row r="49" spans="1:1" ht="208" customHeight="1" x14ac:dyDescent="0.4">
      <c r="A49" s="7" t="s">
        <v>213</v>
      </c>
    </row>
    <row r="50" spans="1:1" ht="29.15" customHeight="1" x14ac:dyDescent="0.4">
      <c r="A50" s="16" t="s">
        <v>217</v>
      </c>
    </row>
    <row r="51" spans="1:1" ht="35.5" customHeight="1" x14ac:dyDescent="0.4">
      <c r="A51" s="8" t="s">
        <v>180</v>
      </c>
    </row>
    <row r="52" spans="1:1" ht="36.75" customHeight="1" x14ac:dyDescent="0.4">
      <c r="A52" s="7" t="s">
        <v>143</v>
      </c>
    </row>
    <row r="53" spans="1:1" ht="223.5" customHeight="1" x14ac:dyDescent="0.4">
      <c r="A53" s="7" t="s">
        <v>214</v>
      </c>
    </row>
    <row r="54" spans="1:1" ht="37.5" customHeight="1" x14ac:dyDescent="0.4">
      <c r="A54" s="8" t="s">
        <v>116</v>
      </c>
    </row>
    <row r="55" spans="1:1" ht="25.5" customHeight="1" x14ac:dyDescent="0.4">
      <c r="A55" s="7" t="s">
        <v>215</v>
      </c>
    </row>
    <row r="56" spans="1:1" ht="23.25" customHeight="1" x14ac:dyDescent="0.4">
      <c r="A56" s="7" t="s">
        <v>181</v>
      </c>
    </row>
    <row r="57" spans="1:1" ht="39" customHeight="1" x14ac:dyDescent="0.4">
      <c r="A57" s="7" t="s">
        <v>216</v>
      </c>
    </row>
    <row r="68" spans="1:1" ht="15.45" x14ac:dyDescent="0.4">
      <c r="A68" s="15"/>
    </row>
  </sheetData>
  <sheetProtection algorithmName="SHA-512" hashValue="iugOz72FYw9aVpZP2XGCqj/nDup5gb1Vq4rOCndSTwJMQhvInwZsshNAnHtQ5cJQ3bLRkzTLA4+0qv4z4Aa12w==" saltValue="9Yv3hIHVujODfA4omz58yA=="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45" r:id="rId4" xr:uid="{924BEF43-F6DE-4D1C-92CD-E51413280336}"/>
    <hyperlink ref="A22" r:id="rId5" xr:uid="{389423FF-7AF3-4C87-A6A1-9253674EC26E}"/>
    <hyperlink ref="A40" r:id="rId6" xr:uid="{5F9A32EC-3423-491E-A26C-F5C100A13B41}"/>
    <hyperlink ref="A39" r:id="rId7"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8" xr:uid="{C23FA76E-3ADE-40CE-8CF5-F50BB3BE414C}"/>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zoomScaleNormal="100" workbookViewId="0"/>
  </sheetViews>
  <sheetFormatPr defaultColWidth="8.84375" defaultRowHeight="14.6" x14ac:dyDescent="0.4"/>
  <cols>
    <col min="1" max="1" width="120.84375" style="17" customWidth="1"/>
    <col min="2" max="2" width="33.53515625" style="17" customWidth="1"/>
    <col min="3" max="3" width="26.15234375" style="17" customWidth="1"/>
    <col min="4" max="6" width="30.53515625" style="17" customWidth="1"/>
    <col min="7" max="360" width="8.53515625" style="17" customWidth="1"/>
    <col min="361" max="16384" width="8.84375" style="17"/>
  </cols>
  <sheetData>
    <row r="1" spans="1:5" ht="50.25" customHeight="1" x14ac:dyDescent="0.4">
      <c r="A1" s="31" t="s">
        <v>105</v>
      </c>
    </row>
    <row r="2" spans="1:5" ht="409.5" customHeight="1" x14ac:dyDescent="0.4">
      <c r="A2" s="139" t="s">
        <v>255</v>
      </c>
    </row>
    <row r="3" spans="1:5" ht="51.65" customHeight="1" x14ac:dyDescent="0.4">
      <c r="A3" s="39" t="s">
        <v>111</v>
      </c>
      <c r="B3" s="18"/>
      <c r="C3" s="19"/>
    </row>
    <row r="4" spans="1:5" ht="46.3" x14ac:dyDescent="0.4">
      <c r="A4" s="1" t="s">
        <v>128</v>
      </c>
      <c r="B4" s="2" t="s">
        <v>218</v>
      </c>
      <c r="C4" s="2" t="s">
        <v>219</v>
      </c>
    </row>
    <row r="5" spans="1:5" ht="24.65" customHeight="1" x14ac:dyDescent="0.4">
      <c r="A5" s="20" t="s">
        <v>110</v>
      </c>
      <c r="B5" s="32"/>
      <c r="C5" s="21"/>
    </row>
    <row r="6" spans="1:5" ht="24.65" customHeight="1" x14ac:dyDescent="0.4">
      <c r="A6" s="20" t="s">
        <v>183</v>
      </c>
      <c r="B6" s="33">
        <v>2.4</v>
      </c>
      <c r="C6" s="21"/>
    </row>
    <row r="7" spans="1:5" ht="24.65" customHeight="1" x14ac:dyDescent="0.4">
      <c r="A7" s="20" t="s">
        <v>108</v>
      </c>
      <c r="B7" s="34">
        <v>120</v>
      </c>
      <c r="C7" s="21"/>
    </row>
    <row r="8" spans="1:5" ht="24.65" customHeight="1" x14ac:dyDescent="0.4">
      <c r="A8" s="20" t="s">
        <v>229</v>
      </c>
      <c r="B8" s="34"/>
      <c r="C8" s="21"/>
    </row>
    <row r="9" spans="1:5" ht="39.65" customHeight="1" x14ac:dyDescent="0.4">
      <c r="A9" s="20" t="s">
        <v>0</v>
      </c>
      <c r="B9" s="34"/>
      <c r="C9" s="21"/>
    </row>
    <row r="10" spans="1:5" ht="24.65" customHeight="1" x14ac:dyDescent="0.4">
      <c r="A10" s="20" t="s">
        <v>146</v>
      </c>
      <c r="B10" s="132">
        <f>IFERROR(IF(OR(B9="Package Treatment Plant user defined",B9="Septic Tank user defined"),"Enter value in cell C10",IF(AND(B5&lt;DATE(2025,1,1)),VLOOKUP(B9,Value_look_up_tables!$A$5:$J$45,2,FALSE),IF(AND(B5&lt;DATE(2025,1,1)),VLOOKUP(B9,Value_look_up_tables!$A$5:$J$45,2,FALSE),IF(AND(B5&lt;DATE(2030,4,1),B5&gt;=DATE(2025,1,1)),VLOOKUP(B9,Value_look_up_tables!$A$5:$J$45,3,FALSE),IF(AND(B5&lt;DATE(2030,4,1),B5&gt;=DATE(2025,1,1)),IF(AND(B5&lt;DATE(2030,4,1)),VLOOKUP(B9,Value_look_up_tables!$A$5:$J$45,2,FALSE),IF(AND(B5&lt;DATE(2030,4,1)),VLOOKUP(B9,Value_look_up_tables!$A$5:$J$45,3,FALSE),IF(AND(B5&gt;=DATE(2030,4,1)),VLOOKUP(B9,Value_look_up_tables!$A$5:$J$45,4,FALSE),IF(AND(B5&gt;=DATE(2030,4,1)),VLOOKUP(B9,Value_look_up_tables!$A$5:$J$45,4,FALSE),0)))),VLOOKUP(B9,Value_look_up_tables!$A$5:$J$45,4,FALSE)))))),0)</f>
        <v>0</v>
      </c>
      <c r="C10" s="146"/>
    </row>
    <row r="11" spans="1:5" ht="24.65" customHeight="1" x14ac:dyDescent="0.4">
      <c r="A11" s="20" t="str">
        <f>IFERROR(IF(AND($B$5&lt;DATE(2025,1,1),(VLOOKUP($B$9,Value_look_up_tables!$A$5:$E$43,2,FALSE))&gt;(VLOOKUP($B$9,Value_look_up_tables!$A$5:$E$43,3,FALSE))), "Post 2025 WwTW P permit (mg TP/litre):","Not applicable"),"Not applicable")</f>
        <v>Not applicable</v>
      </c>
      <c r="B11" s="22" t="str">
        <f>IFERROR(IF(AND($B$5&lt;DATE(2025,1,1),(VLOOKUP($B$9,Value_look_up_tables!$A$5:$J$43,2,FALSE))&gt;(VLOOKUP($B$9,Value_look_up_tables!$A$5:$J$43,3,FALSE))),VLOOKUP(B9,Value_look_up_tables!$A$5:$J$46,3,FALSE),"Not applicable"),"Not applicable")</f>
        <v>Not applicable</v>
      </c>
      <c r="C11" s="21"/>
    </row>
    <row r="12" spans="1:5" ht="24.65" customHeight="1" x14ac:dyDescent="0.4">
      <c r="A12" s="23" t="str">
        <f>IFERROR(IF(AND($B$5&lt;DATE(2030,4,1),(VLOOKUP($B$9,Value_look_up_tables!$A$5:$J$43,3,FALSE))&gt;(VLOOKUP($B$9,Value_look_up_tables!$A$5:$J$43,4,FALSE))), "Post 2030 WwTW P permit (mg TP/litre):","Not applicable"),"Not applicable")</f>
        <v>Not applicable</v>
      </c>
      <c r="B12" s="24" t="str">
        <f>IFERROR(IF(AND($B$5&lt;DATE(2030,4,1),(VLOOKUP($B$9,Value_look_up_tables!$A$5:$J$43,3,FALSE))&gt;(VLOOKUP($B$9,Value_look_up_tables!$A$5:$J$43,4,FALSE))), VLOOKUP(B9,Value_look_up_tables!$A$5:$J$46,4,FALSE),"Not applicable"),"Not applicable")</f>
        <v>Not applicable</v>
      </c>
      <c r="C12" s="25"/>
      <c r="E12" s="17" t="s">
        <v>153</v>
      </c>
    </row>
    <row r="13" spans="1:5" ht="37.5" customHeight="1" x14ac:dyDescent="0.4">
      <c r="A13" s="8" t="s">
        <v>112</v>
      </c>
      <c r="B13" s="19"/>
    </row>
    <row r="14" spans="1:5" ht="21" customHeight="1" x14ac:dyDescent="0.4">
      <c r="A14" s="35" t="s">
        <v>125</v>
      </c>
      <c r="B14" s="2" t="s">
        <v>126</v>
      </c>
      <c r="C14" s="26"/>
    </row>
    <row r="15" spans="1:5" ht="28.5" customHeight="1" x14ac:dyDescent="0.4">
      <c r="A15" s="36" t="str">
        <f>IFERROR(IF(AND($B$5&lt;DATE(2030,4,1),OR((VLOOKUP($B$9,Value_look_up_tables!$A$5:$J$43,3,FALSE))&gt;(VLOOKUP($B$9,Value_look_up_tables!$A$5:$J$43,4,FALSE)))),"Post-2030 wastewater nutrient Loading",IF(AND($B$5&lt;DATE(2025,1,1),OR((VLOOKUP($B$9,Value_look_up_tables!$A$5:$E$43,2,FALSE))&gt;(VLOOKUP($B$9,Value_look_up_tables!$A$5:$E$43,3,FALSE)))),"Post-2025 wastewater nutrient Loading","Wastewater nutrient loading")),IF(B10="Enter value in cell C10","Wastewater nutrient loading","Wastewater nutrient loading"))</f>
        <v>Wastewater nutrient loading</v>
      </c>
      <c r="B15" s="131"/>
    </row>
    <row r="16" spans="1:5" ht="23.25" customHeight="1" x14ac:dyDescent="0.4">
      <c r="A16" s="27" t="s">
        <v>121</v>
      </c>
      <c r="B16" s="130">
        <f>IF(ISBLANK(B8),0,B6*B8)</f>
        <v>0</v>
      </c>
    </row>
    <row r="17" spans="1:2" ht="23.25" customHeight="1" x14ac:dyDescent="0.4">
      <c r="A17" s="28" t="s">
        <v>122</v>
      </c>
      <c r="B17" s="48">
        <f>IFERROR(B16*B7,0)</f>
        <v>0</v>
      </c>
    </row>
    <row r="18" spans="1:2" ht="23.25" customHeight="1" x14ac:dyDescent="0.4">
      <c r="A18" s="28" t="s">
        <v>123</v>
      </c>
      <c r="B18" s="48">
        <f>IFERROR(ROUND(IF(ISNUMBER(B12),B12*B17*0.9/1000000*365.25,IF(ISNUMBER(B11),B11*B17*0.9/1000000*365.25,IF(B10="Enter value in cell C10",IF(AND(B10="Enter value in cell C10",ISNUMBER(C10)),B17*(IF(C10&lt;0,0,C10))/1000000*365.25, VLOOKUP((LEFT(B9,(LEN(B9)-13))&amp;" default"),Value_look_up_tables!$A$42:$C$43,3,FALSE)*B17/1000000*365.25),IF(OR(B9="Package Treatment Plant default",B9="Septic Tank default"),B10*B17/1000000*365.25,IF(B10=8,B10*B17/1000000*365.25,B10*B17*0.9/1000000*365.25))))),2),0)</f>
        <v>0</v>
      </c>
    </row>
    <row r="19" spans="1:2" ht="23.25" customHeight="1" x14ac:dyDescent="0.4">
      <c r="A19" s="37" t="str">
        <f>IFERROR(IF(AND($B$5&lt;DATE(2030,4,1),OR((VLOOKUP($B$9,Value_look_up_tables!$A$5:$J$43,3,FALSE))&gt;(VLOOKUP($B$9,Value_look_up_tables!$A$5:$J$43,4,FALSE)))),"Pre-2030 wastewater nutrient loading",IF(AND($B$5&lt;DATE(2025,1,1),OR((VLOOKUP($B$9,Value_look_up_tables!$A$5:$E$43,2,FALSE))&gt;(VLOOKUP($B$9,Value_look_up_tables!$A$5:$E$43,3,FALSE)))),IF(B18=B20,A15,"Pre-2025 wastewater nutrient loading"),"Not applicable")),"Not applicable")</f>
        <v>Not applicable</v>
      </c>
      <c r="B19" s="38"/>
    </row>
    <row r="20" spans="1:2" ht="23.25" customHeight="1" x14ac:dyDescent="0.4">
      <c r="A20" s="27" t="str">
        <f>IFERROR(IF(AND($B$5&lt;DATE(2030,4,1),OR((VLOOKUP($B$9,Value_look_up_tables!$A$5:$J$43,3,FALSE))&gt;(VLOOKUP($B$9,Value_look_up_tables!$A$5:$J$43,4,FALSE)),(VLOOKUP($B$9,Value_look_up_tables!$A$5:$J$43,2,FALSE))&gt;(VLOOKUP($B$9,Value_look_up_tables!$A$5:$J$43,4,FALSE)))),"Annual wastewater TP load (kg TP/yr):","Not applicable"),"Not applicable")</f>
        <v>Not applicable</v>
      </c>
      <c r="B20" s="30" t="str">
        <f>IFERROR(ROUND(IF(AND($B$5&lt;DATE(2030,4,1),OR((VLOOKUP($B$9,Value_look_up_tables!$A$5:$J$43,3,FALSE))&gt;(VLOOKUP($B$9,Value_look_up_tables!$A$5:$J$43,4,FALSE)),(VLOOKUP($B$9,Value_look_up_tables!$A$5:$J$43,2,FALSE))&gt;(VLOOKUP($B$9,Value_look_up_tables!$A$5:$J$43,4,FALSE)))),IF(ISNUMBER(B11),IF(B11=8,(B11*B$17)/1000000*365.25,(B11*B$17*0.9)/1000000*365.25),IF(B10=8,(B10*B$17)/1000000*365.25,(B10*B$17*0.9)/1000000*365.25)),"Not applicable"),2),"Not applicable")</f>
        <v>Not applicable</v>
      </c>
    </row>
    <row r="21" spans="1:2" ht="23.25" customHeight="1" x14ac:dyDescent="0.4">
      <c r="A21" s="37" t="str">
        <f>IFERROR(IF(AND($B$5&lt;DATE(2025,1,1),$B$5&lt;DATE(2030,4,1),OR((VLOOKUP($B$9,Value_look_up_tables!$A$5:$J$43,3,FALSE))&gt;(VLOOKUP($B$9,Value_look_up_tables!$A$5:$J$43,4,FALSE)))),IF(AND(B22="Not applicable"),"Not applicable","Pre-2025 wastewater nutrient loading"),IF(AND($B$5&lt;DATE(2025,1,1),OR((VLOOKUP($B$9,Value_look_up_tables!$A$5:$E$43,2,FALSE))&gt;(VLOOKUP($B$9,Value_look_up_tables!$A$5:$E$43,3,FALSE)))),IF(LEFT(A19,9)="Post-2025","Pre-2025 wastewater nutrient loading","wastewater nutrient loading "),"Not applicable")),"Not applicable")</f>
        <v>Not applicable</v>
      </c>
      <c r="B21" s="38"/>
    </row>
    <row r="22" spans="1:2" ht="23.25" customHeight="1" x14ac:dyDescent="0.4">
      <c r="A22" s="27" t="str">
        <f>IFERROR(IF(AND($B$5&lt;DATE(2025,1,1),OR((VLOOKUP($B$9,Value_look_up_tables!$A$5:$E$43,2,FALSE))&gt;(VLOOKUP($B$9,Value_look_up_tables!$A$5:$E$43,3,FALSE)),(VLOOKUP($B$9,Value_look_up_tables!$A$5:$E$43,2,FALSE))&gt;(VLOOKUP($B$9,Value_look_up_tables!$A$5:$E$43,3,FALSE)))),"Annual wastewater TP load (kg TP/yr):","Not applicable"),"Not applicable")</f>
        <v>Not applicable</v>
      </c>
      <c r="B22" s="29" t="str">
        <f>IFERROR(ROUND(IF(AND($B$5&lt;DATE(2025,1,1),$B$5&lt;DATE(2030,4,1),OR((VLOOKUP($B$9,Value_look_up_tables!$A$5:$J$43,3,FALSE))&gt;(VLOOKUP($B$9,Value_look_up_tables!$A$5:$J$43,4,FALSE)),(VLOOKUP($B$9,Value_look_up_tables!$A$5:$J$43,2,FALSE))&gt;(VLOOKUP($B$9,Value_look_up_tables!$A$5:$J$43,3,FALSE)))),IF(ISNUMBER(B11),IF(B10=8,(B10*B$17)/1000000*365.25,(B10*B$17*0.9)/1000000*365.25),IF(B11=8,(B11*B$17)/1000000*365.25,(B11*B$17*0.9)/1000000*365.25)),"Not applicable"),2),"Not applicable")</f>
        <v>Not applicable</v>
      </c>
    </row>
  </sheetData>
  <sheetProtection algorithmName="SHA-512" hashValue="CZrWc6RNdFwXEbcH/pPenexz9Mes8DBvlRrjFUxNDOrl7Mkw8ympiceYohp4p4LJn9mvdaaXBkUdGC674B7W4A==" saltValue="Qe2T3IgfV1YfajGYWXcFu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06"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Value_look_up_tables!$A$5:$A$45</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5234375" defaultRowHeight="14.15" x14ac:dyDescent="0.4"/>
  <cols>
    <col min="1" max="1" width="90.15234375" style="41" customWidth="1"/>
    <col min="2" max="2" width="27.23046875" style="41" customWidth="1"/>
    <col min="3" max="3" width="24.23046875" style="41" customWidth="1"/>
    <col min="4" max="4" width="124.69140625" style="41" customWidth="1"/>
    <col min="5" max="386" width="8.53515625" style="41" customWidth="1"/>
    <col min="387" max="16384" width="9.15234375" style="41"/>
  </cols>
  <sheetData>
    <row r="1" spans="1:6" ht="50.25" customHeight="1" x14ac:dyDescent="0.4">
      <c r="A1" s="31" t="s">
        <v>106</v>
      </c>
      <c r="B1" s="40"/>
      <c r="C1" s="40"/>
      <c r="D1" s="40"/>
    </row>
    <row r="2" spans="1:6" ht="409.5" customHeight="1" x14ac:dyDescent="0.4">
      <c r="A2" s="75" t="s">
        <v>253</v>
      </c>
      <c r="B2" s="40"/>
      <c r="C2" s="40"/>
      <c r="D2" s="40"/>
      <c r="E2" s="42"/>
      <c r="F2" s="43"/>
    </row>
    <row r="3" spans="1:6" ht="37.5" customHeight="1" x14ac:dyDescent="0.4">
      <c r="A3" s="39" t="s">
        <v>113</v>
      </c>
      <c r="B3" s="44"/>
      <c r="C3" s="44"/>
      <c r="D3" s="45"/>
      <c r="E3" s="43"/>
      <c r="F3" s="43"/>
    </row>
    <row r="4" spans="1:6" ht="38.700000000000003" customHeight="1" x14ac:dyDescent="0.4">
      <c r="A4" s="4" t="s">
        <v>128</v>
      </c>
      <c r="B4" s="96" t="s">
        <v>218</v>
      </c>
      <c r="C4" s="44"/>
      <c r="D4" s="45"/>
      <c r="E4" s="43"/>
      <c r="F4" s="43"/>
    </row>
    <row r="5" spans="1:6" ht="29.7" customHeight="1" x14ac:dyDescent="0.4">
      <c r="A5" s="20" t="s">
        <v>232</v>
      </c>
      <c r="B5" s="50"/>
      <c r="C5" s="19"/>
      <c r="D5" s="19"/>
      <c r="E5" s="43"/>
      <c r="F5" s="46"/>
    </row>
    <row r="6" spans="1:6" ht="29.7" customHeight="1" x14ac:dyDescent="0.4">
      <c r="A6" s="20" t="s">
        <v>2</v>
      </c>
      <c r="B6" s="51"/>
      <c r="C6" s="19"/>
      <c r="D6" s="19"/>
      <c r="E6" s="43"/>
      <c r="F6" s="43"/>
    </row>
    <row r="7" spans="1:6" ht="29.7" customHeight="1" x14ac:dyDescent="0.4">
      <c r="A7" s="20" t="s">
        <v>109</v>
      </c>
      <c r="B7" s="52"/>
      <c r="C7" s="19"/>
      <c r="D7" s="19"/>
      <c r="E7" s="43"/>
      <c r="F7" s="43"/>
    </row>
    <row r="8" spans="1:6" ht="29.7" customHeight="1" x14ac:dyDescent="0.4">
      <c r="A8" s="23" t="s">
        <v>231</v>
      </c>
      <c r="B8" s="53"/>
      <c r="C8" s="19"/>
      <c r="D8" s="19"/>
      <c r="E8" s="43"/>
      <c r="F8" s="43"/>
    </row>
    <row r="9" spans="1:6" ht="48" customHeight="1" x14ac:dyDescent="0.4">
      <c r="A9" s="39" t="s">
        <v>135</v>
      </c>
      <c r="B9" s="47"/>
      <c r="C9" s="19"/>
      <c r="D9" s="19"/>
      <c r="E9" s="43"/>
      <c r="F9" s="43"/>
    </row>
    <row r="10" spans="1:6" ht="66" customHeight="1" x14ac:dyDescent="0.4">
      <c r="A10" s="1" t="s">
        <v>220</v>
      </c>
      <c r="B10" s="2" t="s">
        <v>221</v>
      </c>
      <c r="C10" s="2" t="s">
        <v>164</v>
      </c>
      <c r="D10" s="2" t="s">
        <v>130</v>
      </c>
      <c r="E10" s="43"/>
      <c r="F10" s="46"/>
    </row>
    <row r="11" spans="1:6" ht="43" customHeight="1" x14ac:dyDescent="0.4">
      <c r="A11" s="54"/>
      <c r="B11" s="33"/>
      <c r="C11" s="149">
        <f>IF(OR(ISBLANK($A11),ISBLANK($B11),ISBLANK($B$6),ISBLANK($B$7)),0,IFERROR($B11*VLOOKUP((IF(OR($A11="Residential urban land",$A11="Commercial/industrial urban land",$A11="Open urban land",$A11="Greenspace",$A11="Community food growing",$A11="Woodland",$A11="Shrub", $A11="Water"), "|||"&amp;$A11, (VLOOKUP(Nutrients_from_current_land_use!$B$5,Value_look_up_tables!$A$366:$B$367,2,FALSE)&amp;"|"&amp;$A11&amp;"|"&amp;VLOOKUP(Nutrients_from_current_land_use!$B$8,Value_look_up_tables!$A$380:$B$381,2,FALSE)&amp;"|"&amp;VLOOKUP(Nutrients_from_current_land_use!$B$7,Value_look_up_tables!$A$340:$C$362,3,FALSE)&amp;"|"&amp;VLOOKUP($B$6,Value_look_up_tables!$A$371:$B$376,2,FALSE)))),Value_look_up_tables!$F$49:$H$336,3,FALSE),
IFERROR(IFERROR($B11*VLOOKUP($A11&amp;"|"&amp;VLOOKUP(Nutrients_from_current_land_use!$B$8,Value_look_up_tables!$A$380:$B$381,2,FALSE)&amp;"|"&amp;VLOOKUP(Nutrients_from_current_land_use!$B$7,Value_look_up_tables!$A$340:$C$362,3,FALSE)&amp;"|"&amp;VLOOKUP($B$6,Value_look_up_tables!$A$371:$B$376,2,FALSE),Value_look_up_tables!$F$49:$H$336,3,FALSE),IFERROR($B11*VLOOKUP($A11&amp;"|"&amp;"TRUE"&amp;"|"&amp;VLOOKUP(Nutrients_from_current_land_use!$B$7,Value_look_up_tables!$A$340:$C$362,3,FALSE)&amp;"|"&amp;VLOOKUP($B$6,Value_look_up_tables!$A$371:$B$376,2,FALSE),Value_look_up_tables!$F$49:$H$336,3,FALSE),$B11*VLOOKUP($A11&amp;"|"&amp;VLOOKUP(Nutrients_from_current_land_use!$B$8,Value_look_up_tables!$A$380:$B$381,2,FALSE)&amp;"|"&amp;VLOOKUP(Nutrients_from_current_land_use!$B$7,Value_look_up_tables!$A$340:$C$362,3,FALSE)&amp;"|"&amp;"DrainedArGr",Value_look_up_tables!$F$49:$H$336,3,FALSE))),IFERROR($B11*VLOOKUP($A11&amp;"|"&amp;VLOOKUP(Nutrients_from_current_land_use!$B$7,Value_look_up_tables!$A$340:$C$362,3,FALSE),Value_look_up_tables!$I$49:$K$328,3,FALSE),$B11*VLOOKUP($A11,Value_look_up_tables!$B$49:$M$328,12,FALSE)))))</f>
        <v>0</v>
      </c>
      <c r="D11" s="148"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$366:$B$367,2,FALSE)&amp;"|"&amp;$A11&amp;"|"&amp;VLOOKUP(Nutrients_from_current_land_use!$B$8,Value_look_up_tables!$A$380:$B$381,2,FALSE)&amp;"|"&amp;VLOOKUP(Nutrients_from_current_land_use!$B$7,Value_look_up_tables!$A$340:$C$362,3,FALSE)&amp;"|"&amp;VLOOKUP($B$6,Value_look_up_tables!$A$371:$B$376,2,FALSE)))),Value_look_up_tables!$F$49:$H$336,3,FALSE),
IFERROR($B11*VLOOKUP($A11&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43"/>
      <c r="F11" s="43"/>
    </row>
    <row r="12" spans="1:6" ht="43" customHeight="1" x14ac:dyDescent="0.4">
      <c r="A12" s="54"/>
      <c r="B12" s="33"/>
      <c r="C12" s="149">
        <f>IF(OR(ISBLANK($A12),ISBLANK($B12),ISBLANK($B$6),ISBLANK($B$7)),0,IFERROR($B12*VLOOKUP((IF(OR($A12="Residential urban land",$A12="Commercial/industrial urban land",$A12="Open urban land",$A12="Greenspace",$A12="Community food growing",$A12="Woodland",$A12="Shrub", $A12="Water"), "|||"&amp;$A12, (VLOOKUP(Nutrients_from_current_land_use!$B$5,Value_look_up_tables!$A$366:$B$367,2,FALSE)&amp;"|"&amp;$A12&amp;"|"&amp;VLOOKUP(Nutrients_from_current_land_use!$B$8,Value_look_up_tables!$A$380:$B$381,2,FALSE)&amp;"|"&amp;VLOOKUP(Nutrients_from_current_land_use!$B$7,Value_look_up_tables!$A$340:$C$362,3,FALSE)&amp;"|"&amp;VLOOKUP($B$6,Value_look_up_tables!$A$371:$B$376,2,FALSE)))),Value_look_up_tables!$F$49:$H$336,3,FALSE),
IFERROR(IFERROR($B12*VLOOKUP($A12&amp;"|"&amp;VLOOKUP(Nutrients_from_current_land_use!$B$8,Value_look_up_tables!$A$380:$B$381,2,FALSE)&amp;"|"&amp;VLOOKUP(Nutrients_from_current_land_use!$B$7,Value_look_up_tables!$A$340:$C$362,3,FALSE)&amp;"|"&amp;VLOOKUP($B$6,Value_look_up_tables!$A$371:$B$376,2,FALSE),Value_look_up_tables!$F$49:$H$336,3,FALSE),IFERROR($B12*VLOOKUP($A12&amp;"|"&amp;"TRUE"&amp;"|"&amp;VLOOKUP(Nutrients_from_current_land_use!$B$7,Value_look_up_tables!$A$340:$C$362,3,FALSE)&amp;"|"&amp;VLOOKUP($B$6,Value_look_up_tables!$A$371:$B$376,2,FALSE),Value_look_up_tables!$F$49:$H$336,3,FALSE),$B12*VLOOKUP($A12&amp;"|"&amp;VLOOKUP(Nutrients_from_current_land_use!$B$8,Value_look_up_tables!$A$380:$B$381,2,FALSE)&amp;"|"&amp;VLOOKUP(Nutrients_from_current_land_use!$B$7,Value_look_up_tables!$A$340:$C$362,3,FALSE)&amp;"|"&amp;"DrainedArGr",Value_look_up_tables!$F$49:$H$336,3,FALSE))),IFERROR($B12*VLOOKUP($A12&amp;"|"&amp;VLOOKUP(Nutrients_from_current_land_use!$B$7,Value_look_up_tables!$A$340:$C$362,3,FALSE),Value_look_up_tables!$I$49:$K$328,3,FALSE),$B12*VLOOKUP($A12,Value_look_up_tables!$B$49:$M$328,12,FALSE)))))</f>
        <v>0</v>
      </c>
      <c r="D12" s="148"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$366:$B$367,2,FALSE)&amp;"|"&amp;$A12&amp;"|"&amp;VLOOKUP(Nutrients_from_current_land_use!$B$8,Value_look_up_tables!$A$380:$B$381,2,FALSE)&amp;"|"&amp;VLOOKUP(Nutrients_from_current_land_use!$B$7,Value_look_up_tables!$A$340:$C$362,3,FALSE)&amp;"|"&amp;VLOOKUP($B$6,Value_look_up_tables!$A$371:$B$376,2,FALSE)))),Value_look_up_tables!$F$49:$H$336,3,FALSE),
IFERROR($B12*VLOOKUP($A12&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43"/>
      <c r="F12" s="43"/>
    </row>
    <row r="13" spans="1:6" ht="43" customHeight="1" x14ac:dyDescent="0.4">
      <c r="A13" s="54"/>
      <c r="B13" s="33"/>
      <c r="C13" s="149">
        <f>IF(OR(ISBLANK($A13),ISBLANK($B13),ISBLANK($B$6),ISBLANK($B$7)),0,IFERROR($B13*VLOOKUP((IF(OR($A13="Residential urban land",$A13="Commercial/industrial urban land",$A13="Open urban land",$A13="Greenspace",$A13="Community food growing",$A13="Woodland",$A13="Shrub", $A13="Water"), "|||"&amp;$A13, (VLOOKUP(Nutrients_from_current_land_use!$B$5,Value_look_up_tables!$A$366:$B$367,2,FALSE)&amp;"|"&amp;$A13&amp;"|"&amp;VLOOKUP(Nutrients_from_current_land_use!$B$8,Value_look_up_tables!$A$380:$B$381,2,FALSE)&amp;"|"&amp;VLOOKUP(Nutrients_from_current_land_use!$B$7,Value_look_up_tables!$A$340:$C$362,3,FALSE)&amp;"|"&amp;VLOOKUP($B$6,Value_look_up_tables!$A$371:$B$376,2,FALSE)))),Value_look_up_tables!$F$49:$H$336,3,FALSE),
IFERROR(IFERROR($B13*VLOOKUP($A13&amp;"|"&amp;VLOOKUP(Nutrients_from_current_land_use!$B$8,Value_look_up_tables!$A$380:$B$381,2,FALSE)&amp;"|"&amp;VLOOKUP(Nutrients_from_current_land_use!$B$7,Value_look_up_tables!$A$340:$C$362,3,FALSE)&amp;"|"&amp;VLOOKUP($B$6,Value_look_up_tables!$A$371:$B$376,2,FALSE),Value_look_up_tables!$F$49:$H$336,3,FALSE),IFERROR($B13*VLOOKUP($A13&amp;"|"&amp;"TRUE"&amp;"|"&amp;VLOOKUP(Nutrients_from_current_land_use!$B$7,Value_look_up_tables!$A$340:$C$362,3,FALSE)&amp;"|"&amp;VLOOKUP($B$6,Value_look_up_tables!$A$371:$B$376,2,FALSE),Value_look_up_tables!$F$49:$H$336,3,FALSE),$B13*VLOOKUP($A13&amp;"|"&amp;VLOOKUP(Nutrients_from_current_land_use!$B$8,Value_look_up_tables!$A$380:$B$381,2,FALSE)&amp;"|"&amp;VLOOKUP(Nutrients_from_current_land_use!$B$7,Value_look_up_tables!$A$340:$C$362,3,FALSE)&amp;"|"&amp;"DrainedArGr",Value_look_up_tables!$F$49:$H$336,3,FALSE))),IFERROR($B13*VLOOKUP($A13&amp;"|"&amp;VLOOKUP(Nutrients_from_current_land_use!$B$7,Value_look_up_tables!$A$340:$C$362,3,FALSE),Value_look_up_tables!$I$49:$K$328,3,FALSE),$B13*VLOOKUP($A13,Value_look_up_tables!$B$49:$M$328,12,FALSE)))))</f>
        <v>0</v>
      </c>
      <c r="D13" s="148"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$366:$B$367,2,FALSE)&amp;"|"&amp;$A13&amp;"|"&amp;VLOOKUP(Nutrients_from_current_land_use!$B$8,Value_look_up_tables!$A$380:$B$381,2,FALSE)&amp;"|"&amp;VLOOKUP(Nutrients_from_current_land_use!$B$7,Value_look_up_tables!$A$340:$C$362,3,FALSE)&amp;"|"&amp;VLOOKUP($B$6,Value_look_up_tables!$A$371:$B$376,2,FALSE)))),Value_look_up_tables!$F$49:$H$336,3,FALSE),
IFERROR($B13*VLOOKUP($A13&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43"/>
      <c r="F13" s="43"/>
    </row>
    <row r="14" spans="1:6" ht="43" customHeight="1" x14ac:dyDescent="0.4">
      <c r="A14" s="54"/>
      <c r="B14" s="33"/>
      <c r="C14" s="149">
        <f>IF(OR(ISBLANK($A14),ISBLANK($B14),ISBLANK($B$6),ISBLANK($B$7)),0,IFERROR($B14*VLOOKUP((IF(OR($A14="Residential urban land",$A14="Commercial/industrial urban land",$A14="Open urban land",$A14="Greenspace",$A14="Community food growing",$A14="Woodland",$A14="Shrub", $A14="Water"), "|||"&amp;$A14, (VLOOKUP(Nutrients_from_current_land_use!$B$5,Value_look_up_tables!$A$366:$B$367,2,FALSE)&amp;"|"&amp;$A14&amp;"|"&amp;VLOOKUP(Nutrients_from_current_land_use!$B$8,Value_look_up_tables!$A$380:$B$381,2,FALSE)&amp;"|"&amp;VLOOKUP(Nutrients_from_current_land_use!$B$7,Value_look_up_tables!$A$340:$C$362,3,FALSE)&amp;"|"&amp;VLOOKUP($B$6,Value_look_up_tables!$A$371:$B$376,2,FALSE)))),Value_look_up_tables!$F$49:$H$336,3,FALSE),
IFERROR(IFERROR($B14*VLOOKUP($A14&amp;"|"&amp;VLOOKUP(Nutrients_from_current_land_use!$B$8,Value_look_up_tables!$A$380:$B$381,2,FALSE)&amp;"|"&amp;VLOOKUP(Nutrients_from_current_land_use!$B$7,Value_look_up_tables!$A$340:$C$362,3,FALSE)&amp;"|"&amp;VLOOKUP($B$6,Value_look_up_tables!$A$371:$B$376,2,FALSE),Value_look_up_tables!$F$49:$H$336,3,FALSE),IFERROR($B14*VLOOKUP($A14&amp;"|"&amp;"TRUE"&amp;"|"&amp;VLOOKUP(Nutrients_from_current_land_use!$B$7,Value_look_up_tables!$A$340:$C$362,3,FALSE)&amp;"|"&amp;VLOOKUP($B$6,Value_look_up_tables!$A$371:$B$376,2,FALSE),Value_look_up_tables!$F$49:$H$336,3,FALSE),$B14*VLOOKUP($A14&amp;"|"&amp;VLOOKUP(Nutrients_from_current_land_use!$B$8,Value_look_up_tables!$A$380:$B$381,2,FALSE)&amp;"|"&amp;VLOOKUP(Nutrients_from_current_land_use!$B$7,Value_look_up_tables!$A$340:$C$362,3,FALSE)&amp;"|"&amp;"DrainedArGr",Value_look_up_tables!$F$49:$H$336,3,FALSE))),IFERROR($B14*VLOOKUP($A14&amp;"|"&amp;VLOOKUP(Nutrients_from_current_land_use!$B$7,Value_look_up_tables!$A$340:$C$362,3,FALSE),Value_look_up_tables!$I$49:$K$328,3,FALSE),$B14*VLOOKUP($A14,Value_look_up_tables!$B$49:$M$328,12,FALSE)))))</f>
        <v>0</v>
      </c>
      <c r="D14" s="148"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$366:$B$367,2,FALSE)&amp;"|"&amp;$A14&amp;"|"&amp;VLOOKUP(Nutrients_from_current_land_use!$B$8,Value_look_up_tables!$A$380:$B$381,2,FALSE)&amp;"|"&amp;VLOOKUP(Nutrients_from_current_land_use!$B$7,Value_look_up_tables!$A$340:$C$362,3,FALSE)&amp;"|"&amp;VLOOKUP($B$6,Value_look_up_tables!$A$371:$B$376,2,FALSE)))),Value_look_up_tables!$F$49:$H$336,3,FALSE),
IFERROR($B14*VLOOKUP($A14&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43"/>
      <c r="F14" s="43"/>
    </row>
    <row r="15" spans="1:6" ht="43" customHeight="1" x14ac:dyDescent="0.4">
      <c r="A15" s="54"/>
      <c r="B15" s="33"/>
      <c r="C15" s="149">
        <f>IF(OR(ISBLANK($A15),ISBLANK($B15),ISBLANK($B$6),ISBLANK($B$7)),0,IFERROR($B15*VLOOKUP((IF(OR($A15="Residential urban land",$A15="Commercial/industrial urban land",$A15="Open urban land",$A15="Greenspace",$A15="Community food growing",$A15="Woodland",$A15="Shrub", $A15="Water"), "|||"&amp;$A15, (VLOOKUP(Nutrients_from_current_land_use!$B$5,Value_look_up_tables!$A$366:$B$367,2,FALSE)&amp;"|"&amp;$A15&amp;"|"&amp;VLOOKUP(Nutrients_from_current_land_use!$B$8,Value_look_up_tables!$A$380:$B$381,2,FALSE)&amp;"|"&amp;VLOOKUP(Nutrients_from_current_land_use!$B$7,Value_look_up_tables!$A$340:$C$362,3,FALSE)&amp;"|"&amp;VLOOKUP($B$6,Value_look_up_tables!$A$371:$B$376,2,FALSE)))),Value_look_up_tables!$F$49:$H$336,3,FALSE),
IFERROR(IFERROR($B15*VLOOKUP($A15&amp;"|"&amp;VLOOKUP(Nutrients_from_current_land_use!$B$8,Value_look_up_tables!$A$380:$B$381,2,FALSE)&amp;"|"&amp;VLOOKUP(Nutrients_from_current_land_use!$B$7,Value_look_up_tables!$A$340:$C$362,3,FALSE)&amp;"|"&amp;VLOOKUP($B$6,Value_look_up_tables!$A$371:$B$376,2,FALSE),Value_look_up_tables!$F$49:$H$336,3,FALSE),IFERROR($B15*VLOOKUP($A15&amp;"|"&amp;"TRUE"&amp;"|"&amp;VLOOKUP(Nutrients_from_current_land_use!$B$7,Value_look_up_tables!$A$340:$C$362,3,FALSE)&amp;"|"&amp;VLOOKUP($B$6,Value_look_up_tables!$A$371:$B$376,2,FALSE),Value_look_up_tables!$F$49:$H$336,3,FALSE),$B15*VLOOKUP($A15&amp;"|"&amp;VLOOKUP(Nutrients_from_current_land_use!$B$8,Value_look_up_tables!$A$380:$B$381,2,FALSE)&amp;"|"&amp;VLOOKUP(Nutrients_from_current_land_use!$B$7,Value_look_up_tables!$A$340:$C$362,3,FALSE)&amp;"|"&amp;"DrainedArGr",Value_look_up_tables!$F$49:$H$336,3,FALSE))),IFERROR($B15*VLOOKUP($A15&amp;"|"&amp;VLOOKUP(Nutrients_from_current_land_use!$B$7,Value_look_up_tables!$A$340:$C$362,3,FALSE),Value_look_up_tables!$I$49:$K$328,3,FALSE),$B15*VLOOKUP($A15,Value_look_up_tables!$B$49:$M$328,12,FALSE)))))</f>
        <v>0</v>
      </c>
      <c r="D15" s="148"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$366:$B$367,2,FALSE)&amp;"|"&amp;$A15&amp;"|"&amp;VLOOKUP(Nutrients_from_current_land_use!$B$8,Value_look_up_tables!$A$380:$B$381,2,FALSE)&amp;"|"&amp;VLOOKUP(Nutrients_from_current_land_use!$B$7,Value_look_up_tables!$A$340:$C$362,3,FALSE)&amp;"|"&amp;VLOOKUP($B$6,Value_look_up_tables!$A$371:$B$376,2,FALSE)))),Value_look_up_tables!$F$49:$H$336,3,FALSE),
IFERROR($B15*VLOOKUP($A15&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43"/>
      <c r="F15" s="43"/>
    </row>
    <row r="16" spans="1:6" ht="43" customHeight="1" x14ac:dyDescent="0.4">
      <c r="A16" s="54"/>
      <c r="B16" s="33"/>
      <c r="C16" s="149">
        <f>IF(OR(ISBLANK($A16),ISBLANK($B16),ISBLANK($B$6),ISBLANK($B$7)),0,IFERROR($B16*VLOOKUP((IF(OR($A16="Residential urban land",$A16="Commercial/industrial urban land",$A16="Open urban land",$A16="Greenspace",$A16="Community food growing",$A16="Woodland",$A16="Shrub", $A16="Water"), "|||"&amp;$A16, (VLOOKUP(Nutrients_from_current_land_use!$B$5,Value_look_up_tables!$A$366:$B$367,2,FALSE)&amp;"|"&amp;$A16&amp;"|"&amp;VLOOKUP(Nutrients_from_current_land_use!$B$8,Value_look_up_tables!$A$380:$B$381,2,FALSE)&amp;"|"&amp;VLOOKUP(Nutrients_from_current_land_use!$B$7,Value_look_up_tables!$A$340:$C$362,3,FALSE)&amp;"|"&amp;VLOOKUP($B$6,Value_look_up_tables!$A$371:$B$376,2,FALSE)))),Value_look_up_tables!$F$49:$H$336,3,FALSE),
IFERROR(IFERROR($B16*VLOOKUP($A16&amp;"|"&amp;VLOOKUP(Nutrients_from_current_land_use!$B$8,Value_look_up_tables!$A$380:$B$381,2,FALSE)&amp;"|"&amp;VLOOKUP(Nutrients_from_current_land_use!$B$7,Value_look_up_tables!$A$340:$C$362,3,FALSE)&amp;"|"&amp;VLOOKUP($B$6,Value_look_up_tables!$A$371:$B$376,2,FALSE),Value_look_up_tables!$F$49:$H$336,3,FALSE),IFERROR($B16*VLOOKUP($A16&amp;"|"&amp;"TRUE"&amp;"|"&amp;VLOOKUP(Nutrients_from_current_land_use!$B$7,Value_look_up_tables!$A$340:$C$362,3,FALSE)&amp;"|"&amp;VLOOKUP($B$6,Value_look_up_tables!$A$371:$B$376,2,FALSE),Value_look_up_tables!$F$49:$H$336,3,FALSE),$B16*VLOOKUP($A16&amp;"|"&amp;VLOOKUP(Nutrients_from_current_land_use!$B$8,Value_look_up_tables!$A$380:$B$381,2,FALSE)&amp;"|"&amp;VLOOKUP(Nutrients_from_current_land_use!$B$7,Value_look_up_tables!$A$340:$C$362,3,FALSE)&amp;"|"&amp;"DrainedArGr",Value_look_up_tables!$F$49:$H$336,3,FALSE))),IFERROR($B16*VLOOKUP($A16&amp;"|"&amp;VLOOKUP(Nutrients_from_current_land_use!$B$7,Value_look_up_tables!$A$340:$C$362,3,FALSE),Value_look_up_tables!$I$49:$K$328,3,FALSE),$B16*VLOOKUP($A16,Value_look_up_tables!$B$49:$M$328,12,FALSE)))))</f>
        <v>0</v>
      </c>
      <c r="D16" s="148"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$366:$B$367,2,FALSE)&amp;"|"&amp;$A16&amp;"|"&amp;VLOOKUP(Nutrients_from_current_land_use!$B$8,Value_look_up_tables!$A$380:$B$381,2,FALSE)&amp;"|"&amp;VLOOKUP(Nutrients_from_current_land_use!$B$7,Value_look_up_tables!$A$340:$C$362,3,FALSE)&amp;"|"&amp;VLOOKUP($B$6,Value_look_up_tables!$A$371:$B$376,2,FALSE)))),Value_look_up_tables!$F$49:$H$336,3,FALSE),
IFERROR($B16*VLOOKUP($A16&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43"/>
      <c r="F16" s="43"/>
    </row>
    <row r="17" spans="1:6" ht="43" customHeight="1" x14ac:dyDescent="0.4">
      <c r="A17" s="54"/>
      <c r="B17" s="33"/>
      <c r="C17" s="149">
        <f>IF(OR(ISBLANK($A17),ISBLANK($B17),ISBLANK($B$6),ISBLANK($B$7)),0,IFERROR($B17*VLOOKUP((IF(OR($A17="Residential urban land",$A17="Commercial/industrial urban land",$A17="Open urban land",$A17="Greenspace",$A17="Community food growing",$A17="Woodland",$A17="Shrub", $A17="Water"), "|||"&amp;$A17, (VLOOKUP(Nutrients_from_current_land_use!$B$5,Value_look_up_tables!$A$366:$B$367,2,FALSE)&amp;"|"&amp;$A17&amp;"|"&amp;VLOOKUP(Nutrients_from_current_land_use!$B$8,Value_look_up_tables!$A$380:$B$381,2,FALSE)&amp;"|"&amp;VLOOKUP(Nutrients_from_current_land_use!$B$7,Value_look_up_tables!$A$340:$C$362,3,FALSE)&amp;"|"&amp;VLOOKUP($B$6,Value_look_up_tables!$A$371:$B$376,2,FALSE)))),Value_look_up_tables!$F$49:$H$336,3,FALSE),
IFERROR(IFERROR($B17*VLOOKUP($A17&amp;"|"&amp;VLOOKUP(Nutrients_from_current_land_use!$B$8,Value_look_up_tables!$A$380:$B$381,2,FALSE)&amp;"|"&amp;VLOOKUP(Nutrients_from_current_land_use!$B$7,Value_look_up_tables!$A$340:$C$362,3,FALSE)&amp;"|"&amp;VLOOKUP($B$6,Value_look_up_tables!$A$371:$B$376,2,FALSE),Value_look_up_tables!$F$49:$H$336,3,FALSE),IFERROR($B17*VLOOKUP($A17&amp;"|"&amp;"TRUE"&amp;"|"&amp;VLOOKUP(Nutrients_from_current_land_use!$B$7,Value_look_up_tables!$A$340:$C$362,3,FALSE)&amp;"|"&amp;VLOOKUP($B$6,Value_look_up_tables!$A$371:$B$376,2,FALSE),Value_look_up_tables!$F$49:$H$336,3,FALSE),$B17*VLOOKUP($A17&amp;"|"&amp;VLOOKUP(Nutrients_from_current_land_use!$B$8,Value_look_up_tables!$A$380:$B$381,2,FALSE)&amp;"|"&amp;VLOOKUP(Nutrients_from_current_land_use!$B$7,Value_look_up_tables!$A$340:$C$362,3,FALSE)&amp;"|"&amp;"DrainedArGr",Value_look_up_tables!$F$49:$H$336,3,FALSE))),IFERROR($B17*VLOOKUP($A17&amp;"|"&amp;VLOOKUP(Nutrients_from_current_land_use!$B$7,Value_look_up_tables!$A$340:$C$362,3,FALSE),Value_look_up_tables!$I$49:$K$328,3,FALSE),$B17*VLOOKUP($A17,Value_look_up_tables!$B$49:$M$328,12,FALSE)))))</f>
        <v>0</v>
      </c>
      <c r="D17" s="148"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$366:$B$367,2,FALSE)&amp;"|"&amp;$A17&amp;"|"&amp;VLOOKUP(Nutrients_from_current_land_use!$B$8,Value_look_up_tables!$A$380:$B$381,2,FALSE)&amp;"|"&amp;VLOOKUP(Nutrients_from_current_land_use!$B$7,Value_look_up_tables!$A$340:$C$362,3,FALSE)&amp;"|"&amp;VLOOKUP($B$6,Value_look_up_tables!$A$371:$B$376,2,FALSE)))),Value_look_up_tables!$F$49:$H$336,3,FALSE),
IFERROR($B17*VLOOKUP($A17&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43"/>
      <c r="F17" s="43"/>
    </row>
    <row r="18" spans="1:6" ht="43" customHeight="1" x14ac:dyDescent="0.4">
      <c r="A18" s="54"/>
      <c r="B18" s="33"/>
      <c r="C18" s="149">
        <f>IF(OR(ISBLANK($A18),ISBLANK($B18),ISBLANK($B$6),ISBLANK($B$7)),0,IFERROR($B18*VLOOKUP((IF(OR($A18="Residential urban land",$A18="Commercial/industrial urban land",$A18="Open urban land",$A18="Greenspace",$A18="Community food growing",$A18="Woodland",$A18="Shrub", $A18="Water"), "|||"&amp;$A18, (VLOOKUP(Nutrients_from_current_land_use!$B$5,Value_look_up_tables!$A$366:$B$367,2,FALSE)&amp;"|"&amp;$A18&amp;"|"&amp;VLOOKUP(Nutrients_from_current_land_use!$B$8,Value_look_up_tables!$A$380:$B$381,2,FALSE)&amp;"|"&amp;VLOOKUP(Nutrients_from_current_land_use!$B$7,Value_look_up_tables!$A$340:$C$362,3,FALSE)&amp;"|"&amp;VLOOKUP($B$6,Value_look_up_tables!$A$371:$B$376,2,FALSE)))),Value_look_up_tables!$F$49:$H$336,3,FALSE),
IFERROR(IFERROR($B18*VLOOKUP($A18&amp;"|"&amp;VLOOKUP(Nutrients_from_current_land_use!$B$8,Value_look_up_tables!$A$380:$B$381,2,FALSE)&amp;"|"&amp;VLOOKUP(Nutrients_from_current_land_use!$B$7,Value_look_up_tables!$A$340:$C$362,3,FALSE)&amp;"|"&amp;VLOOKUP($B$6,Value_look_up_tables!$A$371:$B$376,2,FALSE),Value_look_up_tables!$F$49:$H$336,3,FALSE),IFERROR($B18*VLOOKUP($A18&amp;"|"&amp;"TRUE"&amp;"|"&amp;VLOOKUP(Nutrients_from_current_land_use!$B$7,Value_look_up_tables!$A$340:$C$362,3,FALSE)&amp;"|"&amp;VLOOKUP($B$6,Value_look_up_tables!$A$371:$B$376,2,FALSE),Value_look_up_tables!$F$49:$H$336,3,FALSE),$B18*VLOOKUP($A18&amp;"|"&amp;VLOOKUP(Nutrients_from_current_land_use!$B$8,Value_look_up_tables!$A$380:$B$381,2,FALSE)&amp;"|"&amp;VLOOKUP(Nutrients_from_current_land_use!$B$7,Value_look_up_tables!$A$340:$C$362,3,FALSE)&amp;"|"&amp;"DrainedArGr",Value_look_up_tables!$F$49:$H$336,3,FALSE))),IFERROR($B18*VLOOKUP($A18&amp;"|"&amp;VLOOKUP(Nutrients_from_current_land_use!$B$7,Value_look_up_tables!$A$340:$C$362,3,FALSE),Value_look_up_tables!$I$49:$K$328,3,FALSE),$B18*VLOOKUP($A18,Value_look_up_tables!$B$49:$M$328,12,FALSE)))))</f>
        <v>0</v>
      </c>
      <c r="D18" s="148"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$366:$B$367,2,FALSE)&amp;"|"&amp;$A18&amp;"|"&amp;VLOOKUP(Nutrients_from_current_land_use!$B$8,Value_look_up_tables!$A$380:$B$381,2,FALSE)&amp;"|"&amp;VLOOKUP(Nutrients_from_current_land_use!$B$7,Value_look_up_tables!$A$340:$C$362,3,FALSE)&amp;"|"&amp;VLOOKUP($B$6,Value_look_up_tables!$A$371:$B$376,2,FALSE)))),Value_look_up_tables!$F$49:$H$336,3,FALSE),
IFERROR($B18*VLOOKUP($A18&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43"/>
      <c r="F18" s="43"/>
    </row>
    <row r="19" spans="1:6" ht="43" customHeight="1" x14ac:dyDescent="0.4">
      <c r="A19" s="54"/>
      <c r="B19" s="33"/>
      <c r="C19" s="149">
        <f>IF(OR(ISBLANK($A19),ISBLANK($B19),ISBLANK($B$6),ISBLANK($B$7)),0,IFERROR($B19*VLOOKUP((IF(OR($A19="Residential urban land",$A19="Commercial/industrial urban land",$A19="Open urban land",$A19="Greenspace",$A19="Community food growing",$A19="Woodland",$A19="Shrub", $A19="Water"), "|||"&amp;$A19, (VLOOKUP(Nutrients_from_current_land_use!$B$5,Value_look_up_tables!$A$366:$B$367,2,FALSE)&amp;"|"&amp;$A19&amp;"|"&amp;VLOOKUP(Nutrients_from_current_land_use!$B$8,Value_look_up_tables!$A$380:$B$381,2,FALSE)&amp;"|"&amp;VLOOKUP(Nutrients_from_current_land_use!$B$7,Value_look_up_tables!$A$340:$C$362,3,FALSE)&amp;"|"&amp;VLOOKUP($B$6,Value_look_up_tables!$A$371:$B$376,2,FALSE)))),Value_look_up_tables!$F$49:$H$336,3,FALSE),
IFERROR(IFERROR($B19*VLOOKUP($A19&amp;"|"&amp;VLOOKUP(Nutrients_from_current_land_use!$B$8,Value_look_up_tables!$A$380:$B$381,2,FALSE)&amp;"|"&amp;VLOOKUP(Nutrients_from_current_land_use!$B$7,Value_look_up_tables!$A$340:$C$362,3,FALSE)&amp;"|"&amp;VLOOKUP($B$6,Value_look_up_tables!$A$371:$B$376,2,FALSE),Value_look_up_tables!$F$49:$H$336,3,FALSE),IFERROR($B19*VLOOKUP($A19&amp;"|"&amp;"TRUE"&amp;"|"&amp;VLOOKUP(Nutrients_from_current_land_use!$B$7,Value_look_up_tables!$A$340:$C$362,3,FALSE)&amp;"|"&amp;VLOOKUP($B$6,Value_look_up_tables!$A$371:$B$376,2,FALSE),Value_look_up_tables!$F$49:$H$336,3,FALSE),$B19*VLOOKUP($A19&amp;"|"&amp;VLOOKUP(Nutrients_from_current_land_use!$B$8,Value_look_up_tables!$A$380:$B$381,2,FALSE)&amp;"|"&amp;VLOOKUP(Nutrients_from_current_land_use!$B$7,Value_look_up_tables!$A$340:$C$362,3,FALSE)&amp;"|"&amp;"DrainedArGr",Value_look_up_tables!$F$49:$H$336,3,FALSE))),IFERROR($B19*VLOOKUP($A19&amp;"|"&amp;VLOOKUP(Nutrients_from_current_land_use!$B$7,Value_look_up_tables!$A$340:$C$362,3,FALSE),Value_look_up_tables!$I$49:$K$328,3,FALSE),$B19*VLOOKUP($A19,Value_look_up_tables!$B$49:$M$328,12,FALSE)))))</f>
        <v>0</v>
      </c>
      <c r="D19" s="148"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$366:$B$367,2,FALSE)&amp;"|"&amp;$A19&amp;"|"&amp;VLOOKUP(Nutrients_from_current_land_use!$B$8,Value_look_up_tables!$A$380:$B$381,2,FALSE)&amp;"|"&amp;VLOOKUP(Nutrients_from_current_land_use!$B$7,Value_look_up_tables!$A$340:$C$362,3,FALSE)&amp;"|"&amp;VLOOKUP($B$6,Value_look_up_tables!$A$371:$B$376,2,FALSE)))),Value_look_up_tables!$F$49:$H$336,3,FALSE),
IFERROR($B19*VLOOKUP($A19&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43"/>
      <c r="F19" s="43"/>
    </row>
    <row r="20" spans="1:6" ht="43" customHeight="1" x14ac:dyDescent="0.4">
      <c r="A20" s="54"/>
      <c r="B20" s="33"/>
      <c r="C20" s="149">
        <f>IF(OR(ISBLANK($A20),ISBLANK($B20),ISBLANK($B$6),ISBLANK($B$7)),0,IFERROR($B20*VLOOKUP((IF(OR($A20="Residential urban land",$A20="Commercial/industrial urban land",$A20="Open urban land",$A20="Greenspace",$A20="Community food growing",$A20="Woodland",$A20="Shrub", $A20="Water"), "|||"&amp;$A20, (VLOOKUP(Nutrients_from_current_land_use!$B$5,Value_look_up_tables!$A$366:$B$367,2,FALSE)&amp;"|"&amp;$A20&amp;"|"&amp;VLOOKUP(Nutrients_from_current_land_use!$B$8,Value_look_up_tables!$A$380:$B$381,2,FALSE)&amp;"|"&amp;VLOOKUP(Nutrients_from_current_land_use!$B$7,Value_look_up_tables!$A$340:$C$362,3,FALSE)&amp;"|"&amp;VLOOKUP($B$6,Value_look_up_tables!$A$371:$B$376,2,FALSE)))),Value_look_up_tables!$F$49:$H$336,3,FALSE),
IFERROR(IFERROR($B20*VLOOKUP($A20&amp;"|"&amp;VLOOKUP(Nutrients_from_current_land_use!$B$8,Value_look_up_tables!$A$380:$B$381,2,FALSE)&amp;"|"&amp;VLOOKUP(Nutrients_from_current_land_use!$B$7,Value_look_up_tables!$A$340:$C$362,3,FALSE)&amp;"|"&amp;VLOOKUP($B$6,Value_look_up_tables!$A$371:$B$376,2,FALSE),Value_look_up_tables!$F$49:$H$336,3,FALSE),IFERROR($B20*VLOOKUP($A20&amp;"|"&amp;"TRUE"&amp;"|"&amp;VLOOKUP(Nutrients_from_current_land_use!$B$7,Value_look_up_tables!$A$340:$C$362,3,FALSE)&amp;"|"&amp;VLOOKUP($B$6,Value_look_up_tables!$A$371:$B$376,2,FALSE),Value_look_up_tables!$F$49:$H$336,3,FALSE),$B20*VLOOKUP($A20&amp;"|"&amp;VLOOKUP(Nutrients_from_current_land_use!$B$8,Value_look_up_tables!$A$380:$B$381,2,FALSE)&amp;"|"&amp;VLOOKUP(Nutrients_from_current_land_use!$B$7,Value_look_up_tables!$A$340:$C$362,3,FALSE)&amp;"|"&amp;"DrainedArGr",Value_look_up_tables!$F$49:$H$336,3,FALSE))),IFERROR($B20*VLOOKUP($A20&amp;"|"&amp;VLOOKUP(Nutrients_from_current_land_use!$B$7,Value_look_up_tables!$A$340:$C$362,3,FALSE),Value_look_up_tables!$I$49:$K$328,3,FALSE),$B20*VLOOKUP($A20,Value_look_up_tables!$B$49:$M$328,12,FALSE)))))</f>
        <v>0</v>
      </c>
      <c r="D20" s="148"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$366:$B$367,2,FALSE)&amp;"|"&amp;$A20&amp;"|"&amp;VLOOKUP(Nutrients_from_current_land_use!$B$8,Value_look_up_tables!$A$380:$B$381,2,FALSE)&amp;"|"&amp;VLOOKUP(Nutrients_from_current_land_use!$B$7,Value_look_up_tables!$A$340:$C$362,3,FALSE)&amp;"|"&amp;VLOOKUP($B$6,Value_look_up_tables!$A$371:$B$376,2,FALSE)))),Value_look_up_tables!$F$49:$H$336,3,FALSE),
IFERROR($B20*VLOOKUP($A20&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43"/>
      <c r="F20" s="43"/>
    </row>
    <row r="21" spans="1:6" ht="43" customHeight="1" x14ac:dyDescent="0.4">
      <c r="A21" s="54"/>
      <c r="B21" s="33"/>
      <c r="C21" s="149">
        <f>IF(OR(ISBLANK($A21),ISBLANK($B21),ISBLANK($B$6),ISBLANK($B$7)),0,IFERROR($B21*VLOOKUP((IF(OR($A21="Residential urban land",$A21="Commercial/industrial urban land",$A21="Open urban land",$A21="Greenspace",$A21="Community food growing",$A21="Woodland",$A21="Shrub", $A21="Water"), "|||"&amp;$A21, (VLOOKUP(Nutrients_from_current_land_use!$B$5,Value_look_up_tables!$A$366:$B$367,2,FALSE)&amp;"|"&amp;$A21&amp;"|"&amp;VLOOKUP(Nutrients_from_current_land_use!$B$8,Value_look_up_tables!$A$380:$B$381,2,FALSE)&amp;"|"&amp;VLOOKUP(Nutrients_from_current_land_use!$B$7,Value_look_up_tables!$A$340:$C$362,3,FALSE)&amp;"|"&amp;VLOOKUP($B$6,Value_look_up_tables!$A$371:$B$376,2,FALSE)))),Value_look_up_tables!$F$49:$H$336,3,FALSE),
IFERROR(IFERROR($B21*VLOOKUP($A21&amp;"|"&amp;VLOOKUP(Nutrients_from_current_land_use!$B$8,Value_look_up_tables!$A$380:$B$381,2,FALSE)&amp;"|"&amp;VLOOKUP(Nutrients_from_current_land_use!$B$7,Value_look_up_tables!$A$340:$C$362,3,FALSE)&amp;"|"&amp;VLOOKUP($B$6,Value_look_up_tables!$A$371:$B$376,2,FALSE),Value_look_up_tables!$F$49:$H$336,3,FALSE),IFERROR($B21*VLOOKUP($A21&amp;"|"&amp;"TRUE"&amp;"|"&amp;VLOOKUP(Nutrients_from_current_land_use!$B$7,Value_look_up_tables!$A$340:$C$362,3,FALSE)&amp;"|"&amp;VLOOKUP($B$6,Value_look_up_tables!$A$371:$B$376,2,FALSE),Value_look_up_tables!$F$49:$H$336,3,FALSE),$B21*VLOOKUP($A21&amp;"|"&amp;VLOOKUP(Nutrients_from_current_land_use!$B$8,Value_look_up_tables!$A$380:$B$381,2,FALSE)&amp;"|"&amp;VLOOKUP(Nutrients_from_current_land_use!$B$7,Value_look_up_tables!$A$340:$C$362,3,FALSE)&amp;"|"&amp;"DrainedArGr",Value_look_up_tables!$F$49:$H$336,3,FALSE))),IFERROR($B21*VLOOKUP($A21&amp;"|"&amp;VLOOKUP(Nutrients_from_current_land_use!$B$7,Value_look_up_tables!$A$340:$C$362,3,FALSE),Value_look_up_tables!$I$49:$K$328,3,FALSE),$B21*VLOOKUP($A21,Value_look_up_tables!$B$49:$M$328,12,FALSE)))))</f>
        <v>0</v>
      </c>
      <c r="D21" s="148"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$366:$B$367,2,FALSE)&amp;"|"&amp;$A21&amp;"|"&amp;VLOOKUP(Nutrients_from_current_land_use!$B$8,Value_look_up_tables!$A$380:$B$381,2,FALSE)&amp;"|"&amp;VLOOKUP(Nutrients_from_current_land_use!$B$7,Value_look_up_tables!$A$340:$C$362,3,FALSE)&amp;"|"&amp;VLOOKUP($B$6,Value_look_up_tables!$A$371:$B$376,2,FALSE)))),Value_look_up_tables!$F$49:$H$336,3,FALSE),
IFERROR($B21*VLOOKUP($A21&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43"/>
      <c r="F21" s="43"/>
    </row>
    <row r="22" spans="1:6" ht="43" customHeight="1" x14ac:dyDescent="0.4">
      <c r="A22" s="54"/>
      <c r="B22" s="33"/>
      <c r="C22" s="149">
        <f>IF(OR(ISBLANK($A22),ISBLANK($B22),ISBLANK($B$6),ISBLANK($B$7)),0,IFERROR($B22*VLOOKUP((IF(OR($A22="Residential urban land",$A22="Commercial/industrial urban land",$A22="Open urban land",$A22="Greenspace",$A22="Community food growing",$A22="Woodland",$A22="Shrub", $A22="Water"), "|||"&amp;$A22, (VLOOKUP(Nutrients_from_current_land_use!$B$5,Value_look_up_tables!$A$366:$B$367,2,FALSE)&amp;"|"&amp;$A22&amp;"|"&amp;VLOOKUP(Nutrients_from_current_land_use!$B$8,Value_look_up_tables!$A$380:$B$381,2,FALSE)&amp;"|"&amp;VLOOKUP(Nutrients_from_current_land_use!$B$7,Value_look_up_tables!$A$340:$C$362,3,FALSE)&amp;"|"&amp;VLOOKUP($B$6,Value_look_up_tables!$A$371:$B$376,2,FALSE)))),Value_look_up_tables!$F$49:$H$336,3,FALSE),
IFERROR(IFERROR($B22*VLOOKUP($A22&amp;"|"&amp;VLOOKUP(Nutrients_from_current_land_use!$B$8,Value_look_up_tables!$A$380:$B$381,2,FALSE)&amp;"|"&amp;VLOOKUP(Nutrients_from_current_land_use!$B$7,Value_look_up_tables!$A$340:$C$362,3,FALSE)&amp;"|"&amp;VLOOKUP($B$6,Value_look_up_tables!$A$371:$B$376,2,FALSE),Value_look_up_tables!$F$49:$H$336,3,FALSE),IFERROR($B22*VLOOKUP($A22&amp;"|"&amp;"TRUE"&amp;"|"&amp;VLOOKUP(Nutrients_from_current_land_use!$B$7,Value_look_up_tables!$A$340:$C$362,3,FALSE)&amp;"|"&amp;VLOOKUP($B$6,Value_look_up_tables!$A$371:$B$376,2,FALSE),Value_look_up_tables!$F$49:$H$336,3,FALSE),$B22*VLOOKUP($A22&amp;"|"&amp;VLOOKUP(Nutrients_from_current_land_use!$B$8,Value_look_up_tables!$A$380:$B$381,2,FALSE)&amp;"|"&amp;VLOOKUP(Nutrients_from_current_land_use!$B$7,Value_look_up_tables!$A$340:$C$362,3,FALSE)&amp;"|"&amp;"DrainedArGr",Value_look_up_tables!$F$49:$H$336,3,FALSE))),IFERROR($B22*VLOOKUP($A22&amp;"|"&amp;VLOOKUP(Nutrients_from_current_land_use!$B$7,Value_look_up_tables!$A$340:$C$362,3,FALSE),Value_look_up_tables!$I$49:$K$328,3,FALSE),$B22*VLOOKUP($A22,Value_look_up_tables!$B$49:$M$328,12,FALSE)))))</f>
        <v>0</v>
      </c>
      <c r="D22" s="148"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$366:$B$367,2,FALSE)&amp;"|"&amp;$A22&amp;"|"&amp;VLOOKUP(Nutrients_from_current_land_use!$B$8,Value_look_up_tables!$A$380:$B$381,2,FALSE)&amp;"|"&amp;VLOOKUP(Nutrients_from_current_land_use!$B$7,Value_look_up_tables!$A$340:$C$362,3,FALSE)&amp;"|"&amp;VLOOKUP($B$6,Value_look_up_tables!$A$371:$B$376,2,FALSE)))),Value_look_up_tables!$F$49:$H$336,3,FALSE),
IFERROR($B22*VLOOKUP($A22&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43"/>
      <c r="F22" s="46"/>
    </row>
    <row r="23" spans="1:6" ht="43" customHeight="1" x14ac:dyDescent="0.4">
      <c r="A23" s="54"/>
      <c r="B23" s="33"/>
      <c r="C23" s="149">
        <f>IF(OR(ISBLANK($A23),ISBLANK($B23),ISBLANK($B$6),ISBLANK($B$7)),0,IFERROR($B23*VLOOKUP((IF(OR($A23="Residential urban land",$A23="Commercial/industrial urban land",$A23="Open urban land",$A23="Greenspace",$A23="Community food growing",$A23="Woodland",$A23="Shrub", $A23="Water"), "|||"&amp;$A23, (VLOOKUP(Nutrients_from_current_land_use!$B$5,Value_look_up_tables!$A$366:$B$367,2,FALSE)&amp;"|"&amp;$A23&amp;"|"&amp;VLOOKUP(Nutrients_from_current_land_use!$B$8,Value_look_up_tables!$A$380:$B$381,2,FALSE)&amp;"|"&amp;VLOOKUP(Nutrients_from_current_land_use!$B$7,Value_look_up_tables!$A$340:$C$362,3,FALSE)&amp;"|"&amp;VLOOKUP($B$6,Value_look_up_tables!$A$371:$B$376,2,FALSE)))),Value_look_up_tables!$F$49:$H$336,3,FALSE),
IFERROR(IFERROR($B23*VLOOKUP($A23&amp;"|"&amp;VLOOKUP(Nutrients_from_current_land_use!$B$8,Value_look_up_tables!$A$380:$B$381,2,FALSE)&amp;"|"&amp;VLOOKUP(Nutrients_from_current_land_use!$B$7,Value_look_up_tables!$A$340:$C$362,3,FALSE)&amp;"|"&amp;VLOOKUP($B$6,Value_look_up_tables!$A$371:$B$376,2,FALSE),Value_look_up_tables!$F$49:$H$336,3,FALSE),IFERROR($B23*VLOOKUP($A23&amp;"|"&amp;"TRUE"&amp;"|"&amp;VLOOKUP(Nutrients_from_current_land_use!$B$7,Value_look_up_tables!$A$340:$C$362,3,FALSE)&amp;"|"&amp;VLOOKUP($B$6,Value_look_up_tables!$A$371:$B$376,2,FALSE),Value_look_up_tables!$F$49:$H$336,3,FALSE),$B23*VLOOKUP($A23&amp;"|"&amp;VLOOKUP(Nutrients_from_current_land_use!$B$8,Value_look_up_tables!$A$380:$B$381,2,FALSE)&amp;"|"&amp;VLOOKUP(Nutrients_from_current_land_use!$B$7,Value_look_up_tables!$A$340:$C$362,3,FALSE)&amp;"|"&amp;"DrainedArGr",Value_look_up_tables!$F$49:$H$336,3,FALSE))),IFERROR($B23*VLOOKUP($A23&amp;"|"&amp;VLOOKUP(Nutrients_from_current_land_use!$B$7,Value_look_up_tables!$A$340:$C$362,3,FALSE),Value_look_up_tables!$I$49:$K$328,3,FALSE),$B23*VLOOKUP($A23,Value_look_up_tables!$B$49:$M$328,12,FALSE)))))</f>
        <v>0</v>
      </c>
      <c r="D23" s="148"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$366:$B$367,2,FALSE)&amp;"|"&amp;$A23&amp;"|"&amp;VLOOKUP(Nutrients_from_current_land_use!$B$8,Value_look_up_tables!$A$380:$B$381,2,FALSE)&amp;"|"&amp;VLOOKUP(Nutrients_from_current_land_use!$B$7,Value_look_up_tables!$A$340:$C$362,3,FALSE)&amp;"|"&amp;VLOOKUP($B$6,Value_look_up_tables!$A$371:$B$376,2,FALSE)))),Value_look_up_tables!$F$49:$H$336,3,FALSE),
IFERROR($B23*VLOOKUP($A23&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43"/>
      <c r="F23" s="43"/>
    </row>
    <row r="24" spans="1:6" ht="43" customHeight="1" x14ac:dyDescent="0.4">
      <c r="A24" s="54"/>
      <c r="B24" s="33"/>
      <c r="C24" s="149">
        <f>IF(OR(ISBLANK($A24),ISBLANK($B24),ISBLANK($B$6),ISBLANK($B$7)),0,IFERROR($B24*VLOOKUP((IF(OR($A24="Residential urban land",$A24="Commercial/industrial urban land",$A24="Open urban land",$A24="Greenspace",$A24="Community food growing",$A24="Woodland",$A24="Shrub", $A24="Water"), "|||"&amp;$A24, (VLOOKUP(Nutrients_from_current_land_use!$B$5,Value_look_up_tables!$A$366:$B$367,2,FALSE)&amp;"|"&amp;$A24&amp;"|"&amp;VLOOKUP(Nutrients_from_current_land_use!$B$8,Value_look_up_tables!$A$380:$B$381,2,FALSE)&amp;"|"&amp;VLOOKUP(Nutrients_from_current_land_use!$B$7,Value_look_up_tables!$A$340:$C$362,3,FALSE)&amp;"|"&amp;VLOOKUP($B$6,Value_look_up_tables!$A$371:$B$376,2,FALSE)))),Value_look_up_tables!$F$49:$H$336,3,FALSE),
IFERROR(IFERROR($B24*VLOOKUP($A24&amp;"|"&amp;VLOOKUP(Nutrients_from_current_land_use!$B$8,Value_look_up_tables!$A$380:$B$381,2,FALSE)&amp;"|"&amp;VLOOKUP(Nutrients_from_current_land_use!$B$7,Value_look_up_tables!$A$340:$C$362,3,FALSE)&amp;"|"&amp;VLOOKUP($B$6,Value_look_up_tables!$A$371:$B$376,2,FALSE),Value_look_up_tables!$F$49:$H$336,3,FALSE),IFERROR($B24*VLOOKUP($A24&amp;"|"&amp;"TRUE"&amp;"|"&amp;VLOOKUP(Nutrients_from_current_land_use!$B$7,Value_look_up_tables!$A$340:$C$362,3,FALSE)&amp;"|"&amp;VLOOKUP($B$6,Value_look_up_tables!$A$371:$B$376,2,FALSE),Value_look_up_tables!$F$49:$H$336,3,FALSE),$B24*VLOOKUP($A24&amp;"|"&amp;VLOOKUP(Nutrients_from_current_land_use!$B$8,Value_look_up_tables!$A$380:$B$381,2,FALSE)&amp;"|"&amp;VLOOKUP(Nutrients_from_current_land_use!$B$7,Value_look_up_tables!$A$340:$C$362,3,FALSE)&amp;"|"&amp;"DrainedArGr",Value_look_up_tables!$F$49:$H$336,3,FALSE))),IFERROR($B24*VLOOKUP($A24&amp;"|"&amp;VLOOKUP(Nutrients_from_current_land_use!$B$7,Value_look_up_tables!$A$340:$C$362,3,FALSE),Value_look_up_tables!$I$49:$K$328,3,FALSE),$B24*VLOOKUP($A24,Value_look_up_tables!$B$49:$M$328,12,FALSE)))))</f>
        <v>0</v>
      </c>
      <c r="D24" s="148"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$366:$B$367,2,FALSE)&amp;"|"&amp;$A24&amp;"|"&amp;VLOOKUP(Nutrients_from_current_land_use!$B$8,Value_look_up_tables!$A$380:$B$381,2,FALSE)&amp;"|"&amp;VLOOKUP(Nutrients_from_current_land_use!$B$7,Value_look_up_tables!$A$340:$C$362,3,FALSE)&amp;"|"&amp;VLOOKUP($B$6,Value_look_up_tables!$A$371:$B$376,2,FALSE)))),Value_look_up_tables!$F$49:$H$336,3,FALSE),
IFERROR($B24*VLOOKUP($A24&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43"/>
      <c r="F24" s="43"/>
    </row>
    <row r="25" spans="1:6" ht="43" customHeight="1" x14ac:dyDescent="0.4">
      <c r="A25" s="54"/>
      <c r="B25" s="33"/>
      <c r="C25" s="149">
        <f>IF(OR(ISBLANK($A25),ISBLANK($B25),ISBLANK($B$6),ISBLANK($B$7)),0,IFERROR($B25*VLOOKUP((IF(OR($A25="Residential urban land",$A25="Commercial/industrial urban land",$A25="Open urban land",$A25="Greenspace",$A25="Community food growing",$A25="Woodland",$A25="Shrub", $A25="Water"), "|||"&amp;$A25, (VLOOKUP(Nutrients_from_current_land_use!$B$5,Value_look_up_tables!$A$366:$B$367,2,FALSE)&amp;"|"&amp;$A25&amp;"|"&amp;VLOOKUP(Nutrients_from_current_land_use!$B$8,Value_look_up_tables!$A$380:$B$381,2,FALSE)&amp;"|"&amp;VLOOKUP(Nutrients_from_current_land_use!$B$7,Value_look_up_tables!$A$340:$C$362,3,FALSE)&amp;"|"&amp;VLOOKUP($B$6,Value_look_up_tables!$A$371:$B$376,2,FALSE)))),Value_look_up_tables!$F$49:$H$336,3,FALSE),
IFERROR(IFERROR($B25*VLOOKUP($A25&amp;"|"&amp;VLOOKUP(Nutrients_from_current_land_use!$B$8,Value_look_up_tables!$A$380:$B$381,2,FALSE)&amp;"|"&amp;VLOOKUP(Nutrients_from_current_land_use!$B$7,Value_look_up_tables!$A$340:$C$362,3,FALSE)&amp;"|"&amp;VLOOKUP($B$6,Value_look_up_tables!$A$371:$B$376,2,FALSE),Value_look_up_tables!$F$49:$H$336,3,FALSE),IFERROR($B25*VLOOKUP($A25&amp;"|"&amp;"TRUE"&amp;"|"&amp;VLOOKUP(Nutrients_from_current_land_use!$B$7,Value_look_up_tables!$A$340:$C$362,3,FALSE)&amp;"|"&amp;VLOOKUP($B$6,Value_look_up_tables!$A$371:$B$376,2,FALSE),Value_look_up_tables!$F$49:$H$336,3,FALSE),$B25*VLOOKUP($A25&amp;"|"&amp;VLOOKUP(Nutrients_from_current_land_use!$B$8,Value_look_up_tables!$A$380:$B$381,2,FALSE)&amp;"|"&amp;VLOOKUP(Nutrients_from_current_land_use!$B$7,Value_look_up_tables!$A$340:$C$362,3,FALSE)&amp;"|"&amp;"DrainedArGr",Value_look_up_tables!$F$49:$H$336,3,FALSE))),IFERROR($B25*VLOOKUP($A25&amp;"|"&amp;VLOOKUP(Nutrients_from_current_land_use!$B$7,Value_look_up_tables!$A$340:$C$362,3,FALSE),Value_look_up_tables!$I$49:$K$328,3,FALSE),$B25*VLOOKUP($A25,Value_look_up_tables!$B$49:$M$328,12,FALSE)))))</f>
        <v>0</v>
      </c>
      <c r="D25" s="148"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$366:$B$367,2,FALSE)&amp;"|"&amp;$A25&amp;"|"&amp;VLOOKUP(Nutrients_from_current_land_use!$B$8,Value_look_up_tables!$A$380:$B$381,2,FALSE)&amp;"|"&amp;VLOOKUP(Nutrients_from_current_land_use!$B$7,Value_look_up_tables!$A$340:$C$362,3,FALSE)&amp;"|"&amp;VLOOKUP($B$6,Value_look_up_tables!$A$371:$B$376,2,FALSE)))),Value_look_up_tables!$F$49:$H$336,3,FALSE),
IFERROR($B25*VLOOKUP($A25&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43"/>
      <c r="F25" s="43"/>
    </row>
    <row r="26" spans="1:6" ht="43" customHeight="1" x14ac:dyDescent="0.4">
      <c r="A26" s="54"/>
      <c r="B26" s="33"/>
      <c r="C26" s="149">
        <f>IF(OR(ISBLANK($A26),ISBLANK($B26),ISBLANK($B$6),ISBLANK($B$7)),0,IFERROR($B26*VLOOKUP((IF(OR($A26="Residential urban land",$A26="Commercial/industrial urban land",$A26="Open urban land",$A26="Greenspace",$A26="Community food growing",$A26="Woodland",$A26="Shrub", $A26="Water"), "|||"&amp;$A26, (VLOOKUP(Nutrients_from_current_land_use!$B$5,Value_look_up_tables!$A$366:$B$367,2,FALSE)&amp;"|"&amp;$A26&amp;"|"&amp;VLOOKUP(Nutrients_from_current_land_use!$B$8,Value_look_up_tables!$A$380:$B$381,2,FALSE)&amp;"|"&amp;VLOOKUP(Nutrients_from_current_land_use!$B$7,Value_look_up_tables!$A$340:$C$362,3,FALSE)&amp;"|"&amp;VLOOKUP($B$6,Value_look_up_tables!$A$371:$B$376,2,FALSE)))),Value_look_up_tables!$F$49:$H$336,3,FALSE),
IFERROR(IFERROR($B26*VLOOKUP($A26&amp;"|"&amp;VLOOKUP(Nutrients_from_current_land_use!$B$8,Value_look_up_tables!$A$380:$B$381,2,FALSE)&amp;"|"&amp;VLOOKUP(Nutrients_from_current_land_use!$B$7,Value_look_up_tables!$A$340:$C$362,3,FALSE)&amp;"|"&amp;VLOOKUP($B$6,Value_look_up_tables!$A$371:$B$376,2,FALSE),Value_look_up_tables!$F$49:$H$336,3,FALSE),IFERROR($B26*VLOOKUP($A26&amp;"|"&amp;"TRUE"&amp;"|"&amp;VLOOKUP(Nutrients_from_current_land_use!$B$7,Value_look_up_tables!$A$340:$C$362,3,FALSE)&amp;"|"&amp;VLOOKUP($B$6,Value_look_up_tables!$A$371:$B$376,2,FALSE),Value_look_up_tables!$F$49:$H$336,3,FALSE),$B26*VLOOKUP($A26&amp;"|"&amp;VLOOKUP(Nutrients_from_current_land_use!$B$8,Value_look_up_tables!$A$380:$B$381,2,FALSE)&amp;"|"&amp;VLOOKUP(Nutrients_from_current_land_use!$B$7,Value_look_up_tables!$A$340:$C$362,3,FALSE)&amp;"|"&amp;"DrainedArGr",Value_look_up_tables!$F$49:$H$336,3,FALSE))),IFERROR($B26*VLOOKUP($A26&amp;"|"&amp;VLOOKUP(Nutrients_from_current_land_use!$B$7,Value_look_up_tables!$A$340:$C$362,3,FALSE),Value_look_up_tables!$I$49:$K$328,3,FALSE),$B26*VLOOKUP($A26,Value_look_up_tables!$B$49:$M$328,12,FALSE)))))</f>
        <v>0</v>
      </c>
      <c r="D26" s="148"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$366:$B$367,2,FALSE)&amp;"|"&amp;$A26&amp;"|"&amp;VLOOKUP(Nutrients_from_current_land_use!$B$8,Value_look_up_tables!$A$380:$B$381,2,FALSE)&amp;"|"&amp;VLOOKUP(Nutrients_from_current_land_use!$B$7,Value_look_up_tables!$A$340:$C$362,3,FALSE)&amp;"|"&amp;VLOOKUP($B$6,Value_look_up_tables!$A$371:$B$376,2,FALSE)))),Value_look_up_tables!$F$49:$H$336,3,FALSE),
IFERROR($B26*VLOOKUP($A26&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3" customHeight="1" x14ac:dyDescent="0.4">
      <c r="A27" s="54"/>
      <c r="B27" s="33"/>
      <c r="C27" s="149">
        <f>IF(OR(ISBLANK($A27),ISBLANK($B27),ISBLANK($B$6),ISBLANK($B$7)),0,IFERROR($B27*VLOOKUP((IF(OR($A27="Residential urban land",$A27="Commercial/industrial urban land",$A27="Open urban land",$A27="Greenspace",$A27="Community food growing",$A27="Woodland",$A27="Shrub", $A27="Water"), "|||"&amp;$A27, (VLOOKUP(Nutrients_from_current_land_use!$B$5,Value_look_up_tables!$A$366:$B$367,2,FALSE)&amp;"|"&amp;$A27&amp;"|"&amp;VLOOKUP(Nutrients_from_current_land_use!$B$8,Value_look_up_tables!$A$380:$B$381,2,FALSE)&amp;"|"&amp;VLOOKUP(Nutrients_from_current_land_use!$B$7,Value_look_up_tables!$A$340:$C$362,3,FALSE)&amp;"|"&amp;VLOOKUP($B$6,Value_look_up_tables!$A$371:$B$376,2,FALSE)))),Value_look_up_tables!$F$49:$H$336,3,FALSE),
IFERROR(IFERROR($B27*VLOOKUP($A27&amp;"|"&amp;VLOOKUP(Nutrients_from_current_land_use!$B$8,Value_look_up_tables!$A$380:$B$381,2,FALSE)&amp;"|"&amp;VLOOKUP(Nutrients_from_current_land_use!$B$7,Value_look_up_tables!$A$340:$C$362,3,FALSE)&amp;"|"&amp;VLOOKUP($B$6,Value_look_up_tables!$A$371:$B$376,2,FALSE),Value_look_up_tables!$F$49:$H$336,3,FALSE),IFERROR($B27*VLOOKUP($A27&amp;"|"&amp;"TRUE"&amp;"|"&amp;VLOOKUP(Nutrients_from_current_land_use!$B$7,Value_look_up_tables!$A$340:$C$362,3,FALSE)&amp;"|"&amp;VLOOKUP($B$6,Value_look_up_tables!$A$371:$B$376,2,FALSE),Value_look_up_tables!$F$49:$H$336,3,FALSE),$B27*VLOOKUP($A27&amp;"|"&amp;VLOOKUP(Nutrients_from_current_land_use!$B$8,Value_look_up_tables!$A$380:$B$381,2,FALSE)&amp;"|"&amp;VLOOKUP(Nutrients_from_current_land_use!$B$7,Value_look_up_tables!$A$340:$C$362,3,FALSE)&amp;"|"&amp;"DrainedArGr",Value_look_up_tables!$F$49:$H$336,3,FALSE))),IFERROR($B27*VLOOKUP($A27&amp;"|"&amp;VLOOKUP(Nutrients_from_current_land_use!$B$7,Value_look_up_tables!$A$340:$C$362,3,FALSE),Value_look_up_tables!$I$49:$K$328,3,FALSE),$B27*VLOOKUP($A27,Value_look_up_tables!$B$49:$M$328,12,FALSE)))))</f>
        <v>0</v>
      </c>
      <c r="D27" s="148"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$366:$B$367,2,FALSE)&amp;"|"&amp;$A27&amp;"|"&amp;VLOOKUP(Nutrients_from_current_land_use!$B$8,Value_look_up_tables!$A$380:$B$381,2,FALSE)&amp;"|"&amp;VLOOKUP(Nutrients_from_current_land_use!$B$7,Value_look_up_tables!$A$340:$C$362,3,FALSE)&amp;"|"&amp;VLOOKUP($B$6,Value_look_up_tables!$A$371:$B$376,2,FALSE)))),Value_look_up_tables!$F$49:$H$336,3,FALSE),
IFERROR($B27*VLOOKUP($A27&amp;"|"&amp;VLOOKUP(Nutrients_from_current_land_use!$B$8,Value_look_up_tables!$A$380:$B$381,2,FALSE)&amp;"|"&amp;VLOOKUP(Nutrients_from_current_land_use!$B$7,Value_look_up_tables!$A$340:$C$362,3,FALSE)&amp;"|"&amp;VLOOKUP($B$6,Value_look_up_tables!$A$371:$B$376,2,FALSE),Value_look_up_tables!$F$49:$H$336,3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4">
      <c r="A28" s="3" t="s">
        <v>138</v>
      </c>
      <c r="B28" s="48">
        <f>SUM(B11:B27)</f>
        <v>0</v>
      </c>
      <c r="C28" s="48">
        <f>SUM(C11:C27)</f>
        <v>0</v>
      </c>
      <c r="D28" s="55"/>
    </row>
    <row r="30" spans="1:6" x14ac:dyDescent="0.4">
      <c r="F30" s="49"/>
    </row>
  </sheetData>
  <sheetProtection algorithmName="SHA-512" hashValue="/JwmMKDMuNxTTw4PaLc1780iDOnsOdcJbAIWwPvUADRPUyiXjIzdSQ2msRoUBsFwm0PTNaVKea5s7Biz4Q2F+Q==" saltValue="9uYoKbDTw3PanAE0m7wQ4A=="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91"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Value_look_up_tables!$A$344:$A$355</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Value_look_up_tables!$A$380:$A$381</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Value_look_up_tables!$A$371:$A$376</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Value_look_up_tables!$A$366:$A$367</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Value_look_up_tables!$A$405:$A$421</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5234375" defaultRowHeight="14.15" x14ac:dyDescent="0.35"/>
  <cols>
    <col min="1" max="1" width="67.69140625" style="58" customWidth="1"/>
    <col min="2" max="2" width="22.84375" style="58" customWidth="1"/>
    <col min="3" max="3" width="24.53515625" style="58" customWidth="1"/>
    <col min="4" max="473" width="8.53515625" style="58" customWidth="1"/>
    <col min="474" max="16384" width="9.15234375" style="58"/>
  </cols>
  <sheetData>
    <row r="1" spans="1:3" ht="50.25" customHeight="1" x14ac:dyDescent="0.35">
      <c r="A1" s="31" t="s">
        <v>107</v>
      </c>
      <c r="B1" s="57"/>
      <c r="C1" s="57"/>
    </row>
    <row r="2" spans="1:3" ht="373.5" customHeight="1" x14ac:dyDescent="0.35">
      <c r="A2" s="75" t="s">
        <v>254</v>
      </c>
      <c r="B2" s="59"/>
      <c r="C2" s="57"/>
    </row>
    <row r="3" spans="1:3" ht="51" customHeight="1" x14ac:dyDescent="0.4">
      <c r="A3" s="8" t="s">
        <v>136</v>
      </c>
      <c r="B3" s="60"/>
      <c r="C3" s="60"/>
    </row>
    <row r="4" spans="1:3" ht="56.25" customHeight="1" x14ac:dyDescent="0.35">
      <c r="A4" s="65" t="s">
        <v>222</v>
      </c>
      <c r="B4" s="65" t="s">
        <v>221</v>
      </c>
      <c r="C4" s="65" t="s">
        <v>168</v>
      </c>
    </row>
    <row r="5" spans="1:3" ht="23.25" customHeight="1" x14ac:dyDescent="0.35">
      <c r="A5" s="67"/>
      <c r="B5" s="33"/>
      <c r="C5" s="56">
        <f>IFERROR(IF(OR(ISBLANK(A5),ISBLANK(B5)),0,B5*VLOOKUP((IF(OR(A5="Residential urban land",A5="Commercial/industrial urban land",A5="Open urban land",A5="Greenspace",A5="Community food growing",A5="Woodland",A5="Shrub", A5="Water"), "|||"&amp;A5, (VLOOKUP(Nutrients_from_current_land_use!$B$5,Value_look_up_tables!$A$367:$B$367,2,FALSE)&amp;"|"&amp;A5&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6" spans="1:3" ht="23.25" customHeight="1" x14ac:dyDescent="0.35">
      <c r="A6" s="68"/>
      <c r="B6" s="69"/>
      <c r="C6" s="56">
        <f>IFERROR(IF(OR(ISBLANK(A6),ISBLANK(B6)),0,B6*VLOOKUP((IF(OR(A6="Residential urban land",A6="Commercial/industrial urban land",A6="Open urban land",A6="Greenspace",A6="Community food growing",A6="Woodland",A6="Shrub", A6="Water"), "|||"&amp;A6, (VLOOKUP(Nutrients_from_current_land_use!$B$5,Value_look_up_tables!$A$367:$B$367,2,FALSE)&amp;"|"&amp;A6&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7" spans="1:3" ht="23.25" customHeight="1" x14ac:dyDescent="0.35">
      <c r="A7" s="68"/>
      <c r="B7" s="69"/>
      <c r="C7" s="56">
        <f>IFERROR(IF(OR(ISBLANK(A7),ISBLANK(B7)),0,B7*VLOOKUP((IF(OR(A7="Residential urban land",A7="Commercial/industrial urban land",A7="Open urban land",A7="Greenspace",A7="Community food growing",A7="Woodland",A7="Shrub", A7="Water"), "|||"&amp;A7, (VLOOKUP(Nutrients_from_current_land_use!$B$5,Value_look_up_tables!$A$367:$B$367,2,FALSE)&amp;"|"&amp;A7&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8" spans="1:3" ht="23.25" customHeight="1" x14ac:dyDescent="0.35">
      <c r="A8" s="68"/>
      <c r="B8" s="69"/>
      <c r="C8" s="56">
        <f>IFERROR(IF(OR(ISBLANK(A8),ISBLANK(B8)),0,B8*VLOOKUP((IF(OR(A8="Residential urban land",A8="Commercial/industrial urban land",A8="Open urban land",A8="Greenspace",A8="Community food growing",A8="Woodland",A8="Shrub", A8="Water"), "|||"&amp;A8, (VLOOKUP(Nutrients_from_current_land_use!$B$5,Value_look_up_tables!$A$367:$B$367,2,FALSE)&amp;"|"&amp;A8&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9" spans="1:3" ht="23.25" customHeight="1" x14ac:dyDescent="0.35">
      <c r="A9" s="68"/>
      <c r="B9" s="69"/>
      <c r="C9" s="56">
        <f>IFERROR(IF(OR(ISBLANK(A9),ISBLANK(B9)),0,B9*VLOOKUP((IF(OR(A9="Residential urban land",A9="Commercial/industrial urban land",A9="Open urban land",A9="Greenspace",A9="Community food growing",A9="Woodland",A9="Shrub", A9="Water"), "|||"&amp;A9, (VLOOKUP(Nutrients_from_current_land_use!$B$5,Value_look_up_tables!$A$367:$B$367,2,FALSE)&amp;"|"&amp;A9&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10" spans="1:3" ht="23.25" customHeight="1" x14ac:dyDescent="0.35">
      <c r="A10" s="68"/>
      <c r="B10" s="69"/>
      <c r="C10" s="56">
        <f>IFERROR(IF(OR(ISBLANK(A10),ISBLANK(B10)),0,B10*VLOOKUP((IF(OR(A10="Residential urban land",A10="Commercial/industrial urban land",A10="Open urban land",A10="Greenspace",A10="Community food growing",A10="Woodland",A10="Shrub", A10="Water"), "|||"&amp;A10, (VLOOKUP(Nutrients_from_current_land_use!$B$5,Value_look_up_tables!$A$367:$B$367,2,FALSE)&amp;"|"&amp;A10&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11" spans="1:3" ht="23.25" customHeight="1" x14ac:dyDescent="0.35">
      <c r="A11" s="68"/>
      <c r="B11" s="69"/>
      <c r="C11" s="56">
        <f>IFERROR(IF(OR(ISBLANK(A11),ISBLANK(B11)),0,B11*VLOOKUP((IF(OR(A11="Residential urban land",A11="Commercial/industrial urban land",A11="Open urban land",A11="Greenspace",A11="Community food growing",A11="Woodland",A11="Shrub", A11="Water"), "|||"&amp;A11, (VLOOKUP(Nutrients_from_current_land_use!$B$5,Value_look_up_tables!$A$367:$B$367,2,FALSE)&amp;"|"&amp;A11&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12" spans="1:3" ht="23.25" customHeight="1" x14ac:dyDescent="0.35">
      <c r="A12" s="68"/>
      <c r="B12" s="69"/>
      <c r="C12" s="56">
        <f>IFERROR(IF(OR(ISBLANK(A12),ISBLANK(B12)),0,B12*VLOOKUP((IF(OR(A12="Residential urban land",A12="Commercial/industrial urban land",A12="Open urban land",A12="Greenspace",A12="Community food growing",A12="Woodland",A12="Shrub", A12="Water"), "|||"&amp;A12, (VLOOKUP(Nutrients_from_current_land_use!$B$5,Value_look_up_tables!$A$367:$B$367,2,FALSE)&amp;"|"&amp;A12&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13" spans="1:3" ht="23.25" customHeight="1" x14ac:dyDescent="0.35">
      <c r="A13" s="68"/>
      <c r="B13" s="69"/>
      <c r="C13" s="56">
        <f>IFERROR(IF(OR(ISBLANK(A13),ISBLANK(B13)),0,B13*VLOOKUP((IF(OR(A13="Residential urban land",A13="Commercial/industrial urban land",A13="Open urban land",A13="Greenspace",A13="Community food growing",A13="Woodland",A13="Shrub", A13="Water"), "|||"&amp;A13, (VLOOKUP(Nutrients_from_current_land_use!$B$5,Value_look_up_tables!$A$367:$B$367,2,FALSE)&amp;"|"&amp;A13&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14" spans="1:3" ht="23.25" customHeight="1" x14ac:dyDescent="0.35">
      <c r="A14" s="68"/>
      <c r="B14" s="69"/>
      <c r="C14" s="56">
        <f>IFERROR(IF(OR(ISBLANK(A14),ISBLANK(B14)),0,B14*VLOOKUP((IF(OR(A14="Residential urban land",A14="Commercial/industrial urban land",A14="Open urban land",A14="Greenspace",A14="Community food growing",A14="Woodland",A14="Shrub", A14="Water"), "|||"&amp;A14, (VLOOKUP(Nutrients_from_current_land_use!$B$5,Value_look_up_tables!$A$367:$B$367,2,FALSE)&amp;"|"&amp;A14&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15" spans="1:3" ht="23.25" customHeight="1" x14ac:dyDescent="0.35">
      <c r="A15" s="68"/>
      <c r="B15" s="69"/>
      <c r="C15" s="56">
        <f>IFERROR(IF(OR(ISBLANK(A15),ISBLANK(B15)),0,B15*VLOOKUP((IF(OR(A15="Residential urban land",A15="Commercial/industrial urban land",A15="Open urban land",A15="Greenspace",A15="Community food growing",A15="Woodland",A15="Shrub", A15="Water"), "|||"&amp;A15, (VLOOKUP(Nutrients_from_current_land_use!$B$5,Value_look_up_tables!$A$367:$B$367,2,FALSE)&amp;"|"&amp;A15&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16" spans="1:3" ht="23.25" customHeight="1" x14ac:dyDescent="0.35">
      <c r="A16" s="68"/>
      <c r="B16" s="69"/>
      <c r="C16" s="56">
        <f>IFERROR(IF(OR(ISBLANK(A16),ISBLANK(B16)),0,B16*VLOOKUP((IF(OR(A16="Residential urban land",A16="Commercial/industrial urban land",A16="Open urban land",A16="Greenspace",A16="Community food growing",A16="Woodland",A16="Shrub", A16="Water"), "|||"&amp;A16, (VLOOKUP(Nutrients_from_current_land_use!$B$5,Value_look_up_tables!$A$367:$B$367,2,FALSE)&amp;"|"&amp;A16&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17" spans="1:5" ht="23.25" customHeight="1" x14ac:dyDescent="0.35">
      <c r="A17" s="68"/>
      <c r="B17" s="69"/>
      <c r="C17" s="56">
        <f>IFERROR(IF(OR(ISBLANK(A17),ISBLANK(B17)),0,B17*VLOOKUP((IF(OR(A17="Residential urban land",A17="Commercial/industrial urban land",A17="Open urban land",A17="Greenspace",A17="Community food growing",A17="Woodland",A17="Shrub", A17="Water"), "|||"&amp;A17, (VLOOKUP(Nutrients_from_current_land_use!$B$5,Value_look_up_tables!$A$367:$B$367,2,FALSE)&amp;"|"&amp;A17&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18" spans="1:5" ht="23.25" customHeight="1" x14ac:dyDescent="0.35">
      <c r="A18" s="68"/>
      <c r="B18" s="69"/>
      <c r="C18" s="56">
        <f>IFERROR(IF(OR(ISBLANK(A18),ISBLANK(B18)),0,B18*VLOOKUP((IF(OR(A18="Residential urban land",A18="Commercial/industrial urban land",A18="Open urban land",A18="Greenspace",A18="Community food growing",A18="Woodland",A18="Shrub", A18="Water"), "|||"&amp;A18, (VLOOKUP(Nutrients_from_current_land_use!$B$5,Value_look_up_tables!$A$367:$B$367,2,FALSE)&amp;"|"&amp;A18&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19" spans="1:5" ht="23.25" customHeight="1" x14ac:dyDescent="0.35">
      <c r="A19" s="68"/>
      <c r="B19" s="69"/>
      <c r="C19" s="56">
        <f>IFERROR(IF(OR(ISBLANK(A19),ISBLANK(B19)),0,B19*VLOOKUP((IF(OR(A19="Residential urban land",A19="Commercial/industrial urban land",A19="Open urban land",A19="Greenspace",A19="Community food growing",A19="Woodland",A19="Shrub", A19="Water"), "|||"&amp;A19, (VLOOKUP(Nutrients_from_current_land_use!$B$5,Value_look_up_tables!$A$367:$B$367,2,FALSE)&amp;"|"&amp;A19&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20" spans="1:5" ht="23.25" customHeight="1" x14ac:dyDescent="0.35">
      <c r="A20" s="68"/>
      <c r="B20" s="69"/>
      <c r="C20" s="56">
        <f>IFERROR(IF(OR(ISBLANK(A20),ISBLANK(B20)),0,B20*VLOOKUP((IF(OR(A20="Residential urban land",A20="Commercial/industrial urban land",A20="Open urban land",A20="Greenspace",A20="Community food growing",A20="Woodland",A20="Shrub", A20="Water"), "|||"&amp;A20, (VLOOKUP(Nutrients_from_current_land_use!$B$5,Value_look_up_tables!$A$367:$B$367,2,FALSE)&amp;"|"&amp;A20&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c r="E20" s="63"/>
    </row>
    <row r="21" spans="1:5" ht="23.25" customHeight="1" x14ac:dyDescent="0.35">
      <c r="A21" s="68"/>
      <c r="B21" s="69"/>
      <c r="C21" s="56">
        <f>IFERROR(IF(OR(ISBLANK(A21),ISBLANK(B21)),0,B21*VLOOKUP((IF(OR(A21="Residential urban land",A21="Commercial/industrial urban land",A21="Open urban land",A21="Greenspace",A21="Community food growing",A21="Woodland",A21="Shrub", A21="Water"), "|||"&amp;A21, (VLOOKUP(Nutrients_from_current_land_use!$B$5,Value_look_up_tables!$A$367:$B$367,2,FALSE)&amp;"|"&amp;A21&amp;"|"&amp;VLOOKUP(Nutrients_from_current_land_use!$B$8,Value_look_up_tables!$A$380:$B$381,2,FALSE)&amp;"|"&amp;VLOOKUP(Nutrients_from_current_land_use!$B$7,Value_look_up_tables!$A$340:$C$362,3,FALSE)&amp;"|"&amp;VLOOKUP(Nutrients_from_current_land_use!$B$6,Value_look_up_tables!$A$371:$B$376,2,FALSE)))),Value_look_up_tables!$F$49:$H$336,3,FALSE)),0)</f>
        <v>0</v>
      </c>
    </row>
    <row r="22" spans="1:5" ht="23.25" customHeight="1" x14ac:dyDescent="0.35">
      <c r="A22" s="70" t="s">
        <v>138</v>
      </c>
      <c r="B22" s="62">
        <f>SUM(B5:B21)</f>
        <v>0</v>
      </c>
      <c r="C22" s="62">
        <f>SUM(C5:C21)</f>
        <v>0</v>
      </c>
    </row>
  </sheetData>
  <sheetProtection algorithmName="SHA-512" hashValue="YjJghamNElWOzKtsK0lvuuI0M3CGuhSNYvQJvN6q0kpBdqwyydHnEO4205p4DYCujfxHiEb9k7P9AeymCBg07A==" saltValue="OwK6vMFfaVaB3hZieEaEw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Value_look_up_tables!$A$394:$A$401</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5234375" defaultRowHeight="14.15" x14ac:dyDescent="0.4"/>
  <cols>
    <col min="1" max="1" width="132.15234375" style="71" customWidth="1"/>
    <col min="2" max="3" width="19.84375" style="71" customWidth="1"/>
    <col min="4" max="4" width="22.15234375" style="71" customWidth="1"/>
    <col min="5" max="5" width="60.84375" style="71" customWidth="1"/>
    <col min="6" max="6" width="23" style="71" customWidth="1"/>
    <col min="7" max="7" width="23.69140625" style="71" customWidth="1"/>
    <col min="8" max="8" width="117.15234375" style="71" customWidth="1"/>
    <col min="9" max="471" width="8.53515625" style="71" customWidth="1"/>
    <col min="472" max="16384" width="9.15234375" style="71"/>
  </cols>
  <sheetData>
    <row r="1" spans="1:11" ht="67.5" customHeight="1" x14ac:dyDescent="0.4">
      <c r="A1" s="31" t="s">
        <v>230</v>
      </c>
      <c r="B1" s="57"/>
      <c r="C1" s="57"/>
      <c r="D1" s="57"/>
    </row>
    <row r="2" spans="1:11" ht="409.6" customHeight="1" x14ac:dyDescent="0.4">
      <c r="A2" s="75" t="s">
        <v>257</v>
      </c>
      <c r="B2" s="72"/>
      <c r="C2" s="72"/>
      <c r="D2" s="72"/>
    </row>
    <row r="3" spans="1:11" ht="53.25" customHeight="1" x14ac:dyDescent="0.4">
      <c r="A3" s="95" t="s">
        <v>228</v>
      </c>
      <c r="B3" s="72"/>
      <c r="C3" s="72"/>
      <c r="D3" s="72"/>
    </row>
    <row r="4" spans="1:11" ht="97.5" customHeight="1" x14ac:dyDescent="0.4">
      <c r="A4" s="66" t="s">
        <v>223</v>
      </c>
      <c r="B4" s="66" t="s">
        <v>224</v>
      </c>
      <c r="C4" s="66" t="s">
        <v>225</v>
      </c>
      <c r="D4" s="66" t="s">
        <v>165</v>
      </c>
      <c r="E4" s="66" t="s">
        <v>226</v>
      </c>
      <c r="F4" s="66" t="s">
        <v>227</v>
      </c>
      <c r="G4" s="66" t="s">
        <v>139</v>
      </c>
      <c r="H4" s="76" t="s">
        <v>130</v>
      </c>
    </row>
    <row r="5" spans="1:11" ht="36" customHeight="1" x14ac:dyDescent="0.4">
      <c r="A5" s="67"/>
      <c r="B5" s="33"/>
      <c r="C5" s="77"/>
      <c r="D5" s="56">
        <f>IFERROR(IF(ISBLANK(A5),0,IF(ISBLANK(B5),0,VLOOKUP(A5,Nutrients_from_future_land_use!$A$5:$C$21,3,FALSE)*(B5/VLOOKUP(A5,Nutrients_from_future_land_use!$A$5:$C$21,2,FALSE)))),0)</f>
        <v>0</v>
      </c>
      <c r="E5" s="77"/>
      <c r="F5" s="77"/>
      <c r="G5" s="56">
        <f>IFERROR(IF(OR(ISBLANK($A5),ISBLANK($B5),ISBLANK($F5)),0,$C5/100*D5*F5/100),0)</f>
        <v>0</v>
      </c>
      <c r="H5" s="81"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4">
      <c r="A6" s="68"/>
      <c r="B6" s="69"/>
      <c r="C6" s="77"/>
      <c r="D6" s="56">
        <f>IFERROR(IF(ISBLANK(A6),0,IF(ISBLANK(B6),0,VLOOKUP(A6,Nutrients_from_future_land_use!$A$5:$C$21,3,FALSE)*(B6/VLOOKUP(A6,Nutrients_from_future_land_use!$A$5:$C$21,2,FALSE)))),0)</f>
        <v>0</v>
      </c>
      <c r="E6" s="77"/>
      <c r="F6" s="77"/>
      <c r="G6" s="56">
        <f t="shared" ref="G6:G29" si="0">IFERROR(IF(OR(ISBLANK($A6),ISBLANK($B6),ISBLANK($F6)),0,$C6/100*D6*F6/100),0)</f>
        <v>0</v>
      </c>
      <c r="H6" s="81"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4">
      <c r="A7" s="68"/>
      <c r="B7" s="69"/>
      <c r="C7" s="77"/>
      <c r="D7" s="56">
        <f>IFERROR(IF(ISBLANK(A7),0,IF(ISBLANK(B7),0,VLOOKUP(A7,Nutrients_from_future_land_use!$A$5:$C$21,3,FALSE)*(B7/VLOOKUP(A7,Nutrients_from_future_land_use!$A$5:$C$21,2,FALSE)))),0)</f>
        <v>0</v>
      </c>
      <c r="E7" s="77"/>
      <c r="F7" s="77"/>
      <c r="G7" s="56">
        <f t="shared" si="0"/>
        <v>0</v>
      </c>
      <c r="H7" s="81"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4">
      <c r="A8" s="68"/>
      <c r="B8" s="69"/>
      <c r="C8" s="77"/>
      <c r="D8" s="56">
        <f>IFERROR(IF(ISBLANK(A8),0,IF(ISBLANK(B8),0,VLOOKUP(A8,Nutrients_from_future_land_use!$A$5:$C$21,3,FALSE)*(B8/VLOOKUP(A8,Nutrients_from_future_land_use!$A$5:$C$21,2,FALSE)))),0)</f>
        <v>0</v>
      </c>
      <c r="E8" s="77"/>
      <c r="F8" s="77"/>
      <c r="G8" s="56">
        <f t="shared" si="0"/>
        <v>0</v>
      </c>
      <c r="H8" s="81"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4">
      <c r="A9" s="68"/>
      <c r="B9" s="69"/>
      <c r="C9" s="77"/>
      <c r="D9" s="56">
        <f>IFERROR(IF(ISBLANK(A9),0,IF(ISBLANK(B9),0,VLOOKUP(A9,Nutrients_from_future_land_use!$A$5:$C$21,3,FALSE)*(B9/VLOOKUP(A9,Nutrients_from_future_land_use!$A$5:$C$21,2,FALSE)))),0)</f>
        <v>0</v>
      </c>
      <c r="E9" s="77"/>
      <c r="F9" s="77"/>
      <c r="G9" s="56">
        <f t="shared" si="0"/>
        <v>0</v>
      </c>
      <c r="H9" s="81" t="str">
        <f>IF(SUMIFS($B$5:$B$29,$A$5:$A$29,A9)&gt;SUMIFS(Nutrients_from_future_land_use!$B$5:$B$21,Nutrients_from_future_land_use!$A$5:$A$21,A9),"Area of new land covers within SuDS catchment area exceeds the area of new land covers proposed","Not applicable")</f>
        <v>Not applicable</v>
      </c>
      <c r="K9" s="73"/>
    </row>
    <row r="10" spans="1:11" ht="36" customHeight="1" x14ac:dyDescent="0.4">
      <c r="A10" s="68"/>
      <c r="B10" s="69"/>
      <c r="C10" s="77"/>
      <c r="D10" s="56">
        <f>IFERROR(IF(ISBLANK(A10),0,IF(ISBLANK(B10),0,VLOOKUP(A10,Nutrients_from_future_land_use!$A$5:$C$21,3,FALSE)*(B10/VLOOKUP(A10,Nutrients_from_future_land_use!$A$5:$C$21,2,FALSE)))),0)</f>
        <v>0</v>
      </c>
      <c r="E10" s="77"/>
      <c r="F10" s="77"/>
      <c r="G10" s="56">
        <f t="shared" si="0"/>
        <v>0</v>
      </c>
      <c r="H10" s="81" t="str">
        <f>IF(SUMIFS($B$5:$B$29,$A$5:$A$29,A10)&gt;SUMIFS(Nutrients_from_future_land_use!$B$5:$B$21,Nutrients_from_future_land_use!$A$5:$A$21,A10),"Area of new land covers within SuDS catchment area exceeds the area of new land covers proposed","Not applicable")</f>
        <v>Not applicable</v>
      </c>
      <c r="K10" s="73"/>
    </row>
    <row r="11" spans="1:11" ht="36" customHeight="1" x14ac:dyDescent="0.4">
      <c r="A11" s="68"/>
      <c r="B11" s="69"/>
      <c r="C11" s="77"/>
      <c r="D11" s="56">
        <f>IFERROR(IF(ISBLANK(A11),0,IF(ISBLANK(B11),0,VLOOKUP(A11,Nutrients_from_future_land_use!$A$5:$C$21,3,FALSE)*(B11/VLOOKUP(A11,Nutrients_from_future_land_use!$A$5:$C$21,2,FALSE)))),0)</f>
        <v>0</v>
      </c>
      <c r="E11" s="77"/>
      <c r="F11" s="77"/>
      <c r="G11" s="56">
        <f t="shared" si="0"/>
        <v>0</v>
      </c>
      <c r="H11" s="81" t="str">
        <f>IF(SUMIFS($B$5:$B$29,$A$5:$A$29,A11)&gt;SUMIFS(Nutrients_from_future_land_use!$B$5:$B$21,Nutrients_from_future_land_use!$A$5:$A$21,A11),"Area of new land covers within SuDS catchment area exceeds the area of new land covers proposed","Not applicable")</f>
        <v>Not applicable</v>
      </c>
      <c r="K11" s="73"/>
    </row>
    <row r="12" spans="1:11" ht="36" customHeight="1" x14ac:dyDescent="0.4">
      <c r="A12" s="68"/>
      <c r="B12" s="69"/>
      <c r="C12" s="77"/>
      <c r="D12" s="56">
        <f>IFERROR(IF(ISBLANK(A12),0,IF(ISBLANK(B12),0,VLOOKUP(A12,Nutrients_from_future_land_use!$A$5:$C$21,3,FALSE)*(B12/VLOOKUP(A12,Nutrients_from_future_land_use!$A$5:$C$21,2,FALSE)))),0)</f>
        <v>0</v>
      </c>
      <c r="E12" s="77"/>
      <c r="F12" s="77"/>
      <c r="G12" s="56">
        <f t="shared" si="0"/>
        <v>0</v>
      </c>
      <c r="H12" s="81" t="str">
        <f>IF(SUMIFS($B$5:$B$29,$A$5:$A$29,A12)&gt;SUMIFS(Nutrients_from_future_land_use!$B$5:$B$21,Nutrients_from_future_land_use!$A$5:$A$21,A12),"Area of new land covers within SuDS catchment area exceeds the area of new land covers proposed","Not applicable")</f>
        <v>Not applicable</v>
      </c>
      <c r="K12" s="73"/>
    </row>
    <row r="13" spans="1:11" ht="36" customHeight="1" x14ac:dyDescent="0.4">
      <c r="A13" s="68"/>
      <c r="B13" s="69"/>
      <c r="C13" s="77"/>
      <c r="D13" s="56">
        <f>IFERROR(IF(ISBLANK(A13),0,IF(ISBLANK(B13),0,VLOOKUP(A13,Nutrients_from_future_land_use!$A$5:$C$21,3,FALSE)*(B13/VLOOKUP(A13,Nutrients_from_future_land_use!$A$5:$C$21,2,FALSE)))),0)</f>
        <v>0</v>
      </c>
      <c r="E13" s="77"/>
      <c r="F13" s="77"/>
      <c r="G13" s="56">
        <f t="shared" si="0"/>
        <v>0</v>
      </c>
      <c r="H13" s="81" t="str">
        <f>IF(SUMIFS($B$5:$B$29,$A$5:$A$29,A13)&gt;SUMIFS(Nutrients_from_future_land_use!$B$5:$B$21,Nutrients_from_future_land_use!$A$5:$A$21,A13),"Area of new land covers within SuDS catchment area exceeds the area of new land covers proposed","Not applicable")</f>
        <v>Not applicable</v>
      </c>
      <c r="K13" s="73"/>
    </row>
    <row r="14" spans="1:11" ht="36" customHeight="1" x14ac:dyDescent="0.4">
      <c r="A14" s="68"/>
      <c r="B14" s="69"/>
      <c r="C14" s="77"/>
      <c r="D14" s="56">
        <f>IFERROR(IF(ISBLANK(A14),0,IF(ISBLANK(B14),0,VLOOKUP(A14,Nutrients_from_future_land_use!$A$5:$C$21,3,FALSE)*(B14/VLOOKUP(A14,Nutrients_from_future_land_use!$A$5:$C$21,2,FALSE)))),0)</f>
        <v>0</v>
      </c>
      <c r="E14" s="77"/>
      <c r="F14" s="77"/>
      <c r="G14" s="56">
        <f t="shared" si="0"/>
        <v>0</v>
      </c>
      <c r="H14" s="81" t="str">
        <f>IF(SUMIFS($B$5:$B$29,$A$5:$A$29,A14)&gt;SUMIFS(Nutrients_from_future_land_use!$B$5:$B$21,Nutrients_from_future_land_use!$A$5:$A$21,A14),"Area of new land covers within SuDS catchment area exceeds the area of new land covers proposed","Not applicable")</f>
        <v>Not applicable</v>
      </c>
      <c r="K14" s="73"/>
    </row>
    <row r="15" spans="1:11" ht="36" customHeight="1" x14ac:dyDescent="0.4">
      <c r="A15" s="68"/>
      <c r="B15" s="69"/>
      <c r="C15" s="77"/>
      <c r="D15" s="56">
        <f>IFERROR(IF(ISBLANK(A15),0,IF(ISBLANK(B15),0,VLOOKUP(A15,Nutrients_from_future_land_use!$A$5:$C$21,3,FALSE)*(B15/VLOOKUP(A15,Nutrients_from_future_land_use!$A$5:$C$21,2,FALSE)))),0)</f>
        <v>0</v>
      </c>
      <c r="E15" s="77"/>
      <c r="F15" s="77"/>
      <c r="G15" s="56">
        <f t="shared" si="0"/>
        <v>0</v>
      </c>
      <c r="H15" s="81"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4">
      <c r="A16" s="68"/>
      <c r="B16" s="69"/>
      <c r="C16" s="77"/>
      <c r="D16" s="56">
        <f>IFERROR(IF(ISBLANK(A16),0,IF(ISBLANK(B16),0,VLOOKUP(A16,Nutrients_from_future_land_use!$A$5:$C$21,3,FALSE)*(B16/VLOOKUP(A16,Nutrients_from_future_land_use!$A$5:$C$21,2,FALSE)))),0)</f>
        <v>0</v>
      </c>
      <c r="E16" s="77"/>
      <c r="F16" s="77"/>
      <c r="G16" s="56">
        <f t="shared" si="0"/>
        <v>0</v>
      </c>
      <c r="H16" s="81"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4">
      <c r="A17" s="68"/>
      <c r="B17" s="69"/>
      <c r="C17" s="77"/>
      <c r="D17" s="56">
        <f>IFERROR(IF(ISBLANK(A17),0,IF(ISBLANK(B17),0,VLOOKUP(A17,Nutrients_from_future_land_use!$A$5:$C$21,3,FALSE)*(B17/VLOOKUP(A17,Nutrients_from_future_land_use!$A$5:$C$21,2,FALSE)))),0)</f>
        <v>0</v>
      </c>
      <c r="E17" s="77"/>
      <c r="F17" s="77"/>
      <c r="G17" s="56">
        <f t="shared" si="0"/>
        <v>0</v>
      </c>
      <c r="H17" s="81"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4">
      <c r="A18" s="68"/>
      <c r="B18" s="69"/>
      <c r="C18" s="77"/>
      <c r="D18" s="56">
        <f>IFERROR(IF(ISBLANK(A18),0,IF(ISBLANK(B18),0,VLOOKUP(A18,Nutrients_from_future_land_use!$A$5:$C$21,3,FALSE)*(B18/VLOOKUP(A18,Nutrients_from_future_land_use!$A$5:$C$21,2,FALSE)))),0)</f>
        <v>0</v>
      </c>
      <c r="E18" s="77"/>
      <c r="F18" s="77"/>
      <c r="G18" s="56">
        <f t="shared" si="0"/>
        <v>0</v>
      </c>
      <c r="H18" s="81"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4">
      <c r="A19" s="68"/>
      <c r="B19" s="69"/>
      <c r="C19" s="77"/>
      <c r="D19" s="56">
        <f>IFERROR(IF(ISBLANK(A19),0,IF(ISBLANK(B19),0,VLOOKUP(A19,Nutrients_from_future_land_use!$A$5:$C$21,3,FALSE)*(B19/VLOOKUP(A19,Nutrients_from_future_land_use!$A$5:$C$21,2,FALSE)))),0)</f>
        <v>0</v>
      </c>
      <c r="E19" s="77"/>
      <c r="F19" s="77"/>
      <c r="G19" s="56">
        <f t="shared" si="0"/>
        <v>0</v>
      </c>
      <c r="H19" s="81"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4">
      <c r="A20" s="68"/>
      <c r="B20" s="69"/>
      <c r="C20" s="77"/>
      <c r="D20" s="56">
        <f>IFERROR(IF(ISBLANK(A20),0,IF(ISBLANK(B20),0,VLOOKUP(A20,Nutrients_from_future_land_use!$A$5:$C$21,3,FALSE)*(B20/VLOOKUP(A20,Nutrients_from_future_land_use!$A$5:$C$21,2,FALSE)))),0)</f>
        <v>0</v>
      </c>
      <c r="E20" s="77"/>
      <c r="F20" s="77"/>
      <c r="G20" s="56">
        <f>IFERROR(IF(OR(ISBLANK($A20),ISBLANK($B20),ISBLANK($F20)),0,$C20/100*D20*F20/100),0)</f>
        <v>0</v>
      </c>
      <c r="H20" s="81"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4">
      <c r="A21" s="68"/>
      <c r="B21" s="69"/>
      <c r="C21" s="77"/>
      <c r="D21" s="56">
        <f>IFERROR(IF(ISBLANK(A21),0,IF(ISBLANK(B21),0,VLOOKUP(A21,Nutrients_from_future_land_use!$A$5:$C$21,3,FALSE)*(B21/VLOOKUP(A21,Nutrients_from_future_land_use!$A$5:$C$21,2,FALSE)))),0)</f>
        <v>0</v>
      </c>
      <c r="E21" s="77"/>
      <c r="F21" s="77"/>
      <c r="G21" s="56">
        <f t="shared" si="0"/>
        <v>0</v>
      </c>
      <c r="H21" s="81"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4">
      <c r="A22" s="68"/>
      <c r="B22" s="69"/>
      <c r="C22" s="77"/>
      <c r="D22" s="56">
        <f>IFERROR(IF(ISBLANK(A22),0,IF(ISBLANK(B22),0,VLOOKUP(A22,Nutrients_from_future_land_use!$A$5:$C$21,3,FALSE)*(B22/VLOOKUP(A22,Nutrients_from_future_land_use!$A$5:$C$21,2,FALSE)))),0)</f>
        <v>0</v>
      </c>
      <c r="E22" s="77"/>
      <c r="F22" s="77"/>
      <c r="G22" s="56">
        <f t="shared" si="0"/>
        <v>0</v>
      </c>
      <c r="H22" s="81"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4">
      <c r="A23" s="68"/>
      <c r="B23" s="69"/>
      <c r="C23" s="77"/>
      <c r="D23" s="56">
        <f>IFERROR(IF(ISBLANK(A23),0,IF(ISBLANK(B23),0,VLOOKUP(A23,Nutrients_from_future_land_use!$A$5:$C$21,3,FALSE)*(B23/VLOOKUP(A23,Nutrients_from_future_land_use!$A$5:$C$21,2,FALSE)))),0)</f>
        <v>0</v>
      </c>
      <c r="E23" s="77"/>
      <c r="F23" s="77"/>
      <c r="G23" s="56">
        <f t="shared" si="0"/>
        <v>0</v>
      </c>
      <c r="H23" s="81"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4">
      <c r="A24" s="68"/>
      <c r="B24" s="69"/>
      <c r="C24" s="77"/>
      <c r="D24" s="56">
        <f>IFERROR(IF(ISBLANK(A24),0,IF(ISBLANK(B24),0,VLOOKUP(A24,Nutrients_from_future_land_use!$A$5:$C$21,3,FALSE)*(B24/VLOOKUP(A24,Nutrients_from_future_land_use!$A$5:$C$21,2,FALSE)))),0)</f>
        <v>0</v>
      </c>
      <c r="E24" s="77"/>
      <c r="F24" s="77"/>
      <c r="G24" s="56">
        <f t="shared" si="0"/>
        <v>0</v>
      </c>
      <c r="H24" s="81"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4">
      <c r="A25" s="68"/>
      <c r="B25" s="69"/>
      <c r="C25" s="77"/>
      <c r="D25" s="56">
        <f>IFERROR(IF(ISBLANK(A25),0,IF(ISBLANK(B25),0,VLOOKUP(A25,Nutrients_from_future_land_use!$A$5:$C$21,3,FALSE)*(B25/VLOOKUP(A25,Nutrients_from_future_land_use!$A$5:$C$21,2,FALSE)))),0)</f>
        <v>0</v>
      </c>
      <c r="E25" s="77"/>
      <c r="F25" s="77"/>
      <c r="G25" s="56">
        <f t="shared" si="0"/>
        <v>0</v>
      </c>
      <c r="H25" s="81"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4">
      <c r="A26" s="68"/>
      <c r="B26" s="69"/>
      <c r="C26" s="77"/>
      <c r="D26" s="56">
        <f>IFERROR(IF(ISBLANK(A26),0,IF(ISBLANK(B26),0,VLOOKUP(A26,Nutrients_from_future_land_use!$A$5:$C$21,3,FALSE)*(B26/VLOOKUP(A26,Nutrients_from_future_land_use!$A$5:$C$21,2,FALSE)))),0)</f>
        <v>0</v>
      </c>
      <c r="E26" s="77"/>
      <c r="F26" s="77"/>
      <c r="G26" s="56">
        <f>IFERROR(IF(OR(ISBLANK($A26),ISBLANK($B26),ISBLANK($F26)),0,$C26/100*D26*F26/100),0)</f>
        <v>0</v>
      </c>
      <c r="H26" s="81"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4">
      <c r="A27" s="68"/>
      <c r="B27" s="69"/>
      <c r="C27" s="77"/>
      <c r="D27" s="56">
        <f>IFERROR(IF(ISBLANK(A27),0,IF(ISBLANK(B27),0,VLOOKUP(A27,Nutrients_from_future_land_use!$A$5:$C$21,3,FALSE)*(B27/VLOOKUP(A27,Nutrients_from_future_land_use!$A$5:$C$21,2,FALSE)))),0)</f>
        <v>0</v>
      </c>
      <c r="E27" s="77"/>
      <c r="F27" s="77"/>
      <c r="G27" s="56">
        <f t="shared" si="0"/>
        <v>0</v>
      </c>
      <c r="H27" s="81"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4">
      <c r="A28" s="68"/>
      <c r="B28" s="69"/>
      <c r="C28" s="77"/>
      <c r="D28" s="56">
        <f>IFERROR(IF(ISBLANK(A28),0,IF(ISBLANK(B28),0,VLOOKUP(A28,Nutrients_from_future_land_use!$A$5:$C$21,3,FALSE)*(B28/VLOOKUP(A28,Nutrients_from_future_land_use!$A$5:$C$21,2,FALSE)))),0)</f>
        <v>0</v>
      </c>
      <c r="E28" s="77"/>
      <c r="F28" s="77"/>
      <c r="G28" s="56">
        <f t="shared" si="0"/>
        <v>0</v>
      </c>
      <c r="H28" s="81"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4">
      <c r="A29" s="68"/>
      <c r="B29" s="69"/>
      <c r="C29" s="77"/>
      <c r="D29" s="56">
        <f>IFERROR(IF(ISBLANK(A29),0,IF(ISBLANK(B29),0,VLOOKUP(A29,Nutrients_from_future_land_use!$A$5:$C$21,3,FALSE)*(B29/VLOOKUP(A29,Nutrients_from_future_land_use!$A$5:$C$21,2,FALSE)))),0)</f>
        <v>0</v>
      </c>
      <c r="E29" s="77"/>
      <c r="F29" s="77"/>
      <c r="G29" s="56">
        <f t="shared" si="0"/>
        <v>0</v>
      </c>
      <c r="H29" s="81" t="str">
        <f>IF(SUMIFS($B$5:$B$29,$A$5:$A$29,A29)&gt;SUMIFS(Nutrients_from_future_land_use!$B$5:$B$21,Nutrients_from_future_land_use!$A$5:$A$21,A29),"Area of new land covers within SuDS catchment area exceeds the area of new land covers proposed","Not applicable")</f>
        <v>Not applicable</v>
      </c>
    </row>
    <row r="30" spans="1:8" ht="28.5" customHeight="1" x14ac:dyDescent="0.4">
      <c r="A30" s="70" t="s">
        <v>138</v>
      </c>
      <c r="B30" s="74">
        <f>SUM(B5:B29)</f>
        <v>0</v>
      </c>
      <c r="C30" s="78"/>
      <c r="D30" s="74">
        <f t="shared" ref="D30" si="1">SUM(D5:D29)</f>
        <v>0</v>
      </c>
      <c r="E30" s="79"/>
      <c r="F30" s="79"/>
      <c r="G30" s="62">
        <f>SUM(G5:G29)</f>
        <v>0</v>
      </c>
      <c r="H30" s="80"/>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_xlfn.ANCHORARRAY(Value_look_up_tables!$A$425)</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5234375" defaultRowHeight="14.15" x14ac:dyDescent="0.4"/>
  <cols>
    <col min="1" max="1" width="78.69140625" style="71" customWidth="1"/>
    <col min="2" max="2" width="30.84375" style="71" customWidth="1"/>
    <col min="3" max="4" width="40.53515625" style="71" customWidth="1"/>
    <col min="5" max="466" width="8.53515625" style="71" customWidth="1"/>
    <col min="467" max="16384" width="9.15234375" style="71"/>
  </cols>
  <sheetData>
    <row r="1" spans="1:4" ht="50.25" customHeight="1" x14ac:dyDescent="0.4">
      <c r="A1" s="31" t="s">
        <v>115</v>
      </c>
      <c r="B1" s="91"/>
      <c r="C1" s="92"/>
    </row>
    <row r="2" spans="1:4" ht="249" customHeight="1" x14ac:dyDescent="0.4">
      <c r="A2" s="61" t="s">
        <v>256</v>
      </c>
      <c r="B2" s="82"/>
      <c r="C2" s="81"/>
      <c r="D2" s="81"/>
    </row>
    <row r="3" spans="1:4" ht="50.25" customHeight="1" x14ac:dyDescent="0.4">
      <c r="A3" s="39" t="s">
        <v>114</v>
      </c>
      <c r="B3" s="83"/>
      <c r="C3" s="81"/>
      <c r="D3" s="81"/>
    </row>
    <row r="4" spans="1:4" ht="24.75" customHeight="1" x14ac:dyDescent="0.4">
      <c r="A4" s="35" t="s">
        <v>125</v>
      </c>
      <c r="B4" s="2" t="s">
        <v>126</v>
      </c>
    </row>
    <row r="5" spans="1:4" ht="24.75" customHeight="1" x14ac:dyDescent="0.4">
      <c r="A5" s="84" t="s">
        <v>132</v>
      </c>
      <c r="B5" s="85">
        <f>Nutrients_from_wastewater!B18</f>
        <v>0</v>
      </c>
    </row>
    <row r="6" spans="1:4" ht="24.75" customHeight="1" x14ac:dyDescent="0.4">
      <c r="A6" s="20" t="s">
        <v>131</v>
      </c>
      <c r="B6" s="86">
        <f>IFERROR(Nutrients_from_future_land_use!C22-SuDS!G30-Nutrients_from_current_land_use!C28,0)</f>
        <v>0</v>
      </c>
    </row>
    <row r="7" spans="1:4" ht="24.75" customHeight="1" x14ac:dyDescent="0.4">
      <c r="A7" s="20" t="s">
        <v>166</v>
      </c>
      <c r="B7" s="86">
        <f>IFERROR(B5+B6,0)</f>
        <v>0</v>
      </c>
    </row>
    <row r="8" spans="1:4" ht="24.75" customHeight="1" x14ac:dyDescent="0.4">
      <c r="A8" s="20" t="s">
        <v>167</v>
      </c>
      <c r="B8" s="86">
        <f>IFERROR(IF(B7&lt;0,B7,B7*1.2),0)</f>
        <v>0</v>
      </c>
    </row>
    <row r="9" spans="1:4" ht="24.75" customHeight="1" x14ac:dyDescent="0.4">
      <c r="A9" s="93" t="str">
        <f>IFERROR(IF(AND(Nutrients_from_wastewater!$B$5&lt;DATE(2025,1,1),OR((VLOOKUP(Nutrients_from_wastewater!$B$9,Value_look_up_tables!$A$5:$E$43,2,FALSE))&gt;(VLOOKUP(Nutrients_from_wastewater!$B$9,Value_look_up_tables!$A$5:$E$43,3,FALSE)),(VLOOKUP(Nutrients_from_wastewater!$B$9,Value_look_up_tables!$A$5:$E$43,2,FALSE))&gt;(VLOOKUP(Nutrients_from_wastewater!$B$9,Value_look_up_tables!$A$5:$E$43,3,FALSE)))),"Post-2030 annual nutrient budget","Annual nutrient budget"),"Annual nutrient budget")</f>
        <v>Annual nutrient budget</v>
      </c>
      <c r="B9" s="94"/>
    </row>
    <row r="10" spans="1:4" ht="24.75" customHeight="1" x14ac:dyDescent="0.4">
      <c r="A10" s="84" t="s">
        <v>133</v>
      </c>
      <c r="B10" s="86">
        <f>IFERROR(IF(ROUND(B8,2)&lt;0,0,ROUND(B8,2)),0)</f>
        <v>0</v>
      </c>
    </row>
    <row r="11" spans="1:4" ht="24.75" customHeight="1" x14ac:dyDescent="0.4">
      <c r="A11" s="93" t="str">
        <f>IF(Nutrients_from_wastewater!A19="Not applicable","Not applicable",IF(LEFT(Nutrients_from_wastewater!A19,9)="Pre-2030 ",LEFT(Nutrients_from_wastewater!A19,9),LEFT(Nutrients_from_wastewater!A19,10))&amp;"nutrient budget")</f>
        <v>Not applicable</v>
      </c>
      <c r="B11" s="94"/>
    </row>
    <row r="12" spans="1:4" ht="24.75" customHeight="1" x14ac:dyDescent="0.4">
      <c r="A12" s="84" t="str">
        <f>IF(A11&lt;&gt;"Not applicable","The total annual phosphorus load to mitigate is (kg TP/yr):","Not applicable")</f>
        <v>Not applicable</v>
      </c>
      <c r="B12" s="87" t="str">
        <f>IF(IFERROR(ROUND((Nutrients_from_wastewater!B20+$B$6)*1.2,2),"Not applicable")&lt;0,0,IFERROR(ROUND((Nutrients_from_wastewater!B20+$B$6)*1.2,2),"Not applicable"))</f>
        <v>Not applicable</v>
      </c>
    </row>
    <row r="13" spans="1:4" ht="24.75" customHeight="1" x14ac:dyDescent="0.4">
      <c r="A13" s="93" t="str">
        <f>IF(Nutrients_from_wastewater!A21="Not applicable","Not applicable",LEFT(Nutrients_from_wastewater!A21,9)&amp;"nutrient budget")</f>
        <v>Not applicable</v>
      </c>
      <c r="B13" s="94"/>
    </row>
    <row r="14" spans="1:4" ht="24.75" customHeight="1" x14ac:dyDescent="0.4">
      <c r="A14" s="88" t="str">
        <f>IF(A13&lt;&gt;"Not applicable","The total annual phosphorus load to mitigate is (kg TP/yr):","Not applicable")</f>
        <v>Not applicable</v>
      </c>
      <c r="B14" s="87"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x14ac:dyDescent="0.4">
      <c r="A15" s="89"/>
      <c r="B15" s="90"/>
    </row>
    <row r="16" spans="1:4" ht="15.45" x14ac:dyDescent="0.4">
      <c r="A16" s="89"/>
      <c r="B16" s="90"/>
      <c r="C16" s="64"/>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425"/>
  <sheetViews>
    <sheetView topLeftCell="A391" zoomScaleNormal="100" workbookViewId="0">
      <selection activeCell="C406" sqref="C406"/>
    </sheetView>
  </sheetViews>
  <sheetFormatPr defaultColWidth="65.4609375" defaultRowHeight="14.15" x14ac:dyDescent="0.35"/>
  <cols>
    <col min="1" max="1" width="47.23046875" style="99" customWidth="1"/>
    <col min="2" max="4" width="15.69140625" style="99" customWidth="1"/>
    <col min="5" max="5" width="25.69140625" style="99" customWidth="1"/>
    <col min="6" max="6" width="79.84375" style="99" customWidth="1"/>
    <col min="7" max="8" width="15.69140625" style="99" customWidth="1"/>
    <col min="9" max="9" width="25.69140625" style="99" customWidth="1"/>
    <col min="10" max="13" width="15.69140625" style="99" customWidth="1"/>
    <col min="14" max="16384" width="65.4609375" style="99"/>
  </cols>
  <sheetData>
    <row r="1" spans="1:14" ht="50.25" customHeight="1" x14ac:dyDescent="0.35">
      <c r="A1" s="126" t="s">
        <v>105</v>
      </c>
      <c r="B1" s="97"/>
      <c r="C1" s="98"/>
      <c r="D1" s="98"/>
      <c r="E1" s="98"/>
      <c r="F1" s="98"/>
      <c r="G1" s="98"/>
      <c r="H1" s="98"/>
      <c r="I1" s="98"/>
      <c r="J1" s="98"/>
      <c r="K1" s="98"/>
      <c r="L1" s="98"/>
      <c r="M1" s="98"/>
      <c r="N1" s="98"/>
    </row>
    <row r="2" spans="1:14" ht="57.75" customHeight="1" x14ac:dyDescent="0.35">
      <c r="A2" s="145" t="s">
        <v>145</v>
      </c>
    </row>
    <row r="3" spans="1:14" ht="37.5" customHeight="1" x14ac:dyDescent="0.35">
      <c r="A3" s="125" t="s">
        <v>3</v>
      </c>
      <c r="B3" s="100"/>
    </row>
    <row r="4" spans="1:14" ht="75.75" customHeight="1" x14ac:dyDescent="0.35">
      <c r="A4" s="136" t="s">
        <v>4</v>
      </c>
      <c r="B4" s="137" t="s">
        <v>5</v>
      </c>
      <c r="C4" s="137" t="s">
        <v>6</v>
      </c>
      <c r="D4" s="138" t="s">
        <v>117</v>
      </c>
      <c r="E4" s="101"/>
      <c r="F4" s="102"/>
      <c r="G4" s="102"/>
      <c r="H4" s="101"/>
      <c r="I4" s="101"/>
      <c r="J4" s="102"/>
      <c r="L4" s="103"/>
      <c r="M4" s="103"/>
    </row>
    <row r="5" spans="1:14" x14ac:dyDescent="0.35">
      <c r="A5" s="104" t="s">
        <v>260</v>
      </c>
      <c r="B5" s="105">
        <v>5</v>
      </c>
      <c r="C5" s="105">
        <v>5</v>
      </c>
      <c r="D5" s="106">
        <v>5</v>
      </c>
      <c r="E5" s="103"/>
      <c r="F5" s="103"/>
      <c r="G5" s="103"/>
      <c r="H5" s="103"/>
      <c r="I5" s="103"/>
      <c r="J5" s="103"/>
      <c r="L5" s="103"/>
      <c r="M5" s="103"/>
    </row>
    <row r="6" spans="1:14" x14ac:dyDescent="0.35">
      <c r="A6" s="104" t="s">
        <v>261</v>
      </c>
      <c r="B6" s="105">
        <v>5</v>
      </c>
      <c r="C6" s="105">
        <v>5</v>
      </c>
      <c r="D6" s="106">
        <v>5</v>
      </c>
      <c r="E6" s="103"/>
      <c r="F6" s="103"/>
      <c r="G6" s="103"/>
      <c r="H6" s="103"/>
      <c r="I6" s="103"/>
      <c r="J6" s="103"/>
      <c r="L6" s="103"/>
      <c r="M6" s="103"/>
    </row>
    <row r="7" spans="1:14" x14ac:dyDescent="0.35">
      <c r="A7" s="104" t="s">
        <v>262</v>
      </c>
      <c r="B7" s="105">
        <v>5</v>
      </c>
      <c r="C7" s="105">
        <v>5</v>
      </c>
      <c r="D7" s="106">
        <v>5</v>
      </c>
      <c r="E7" s="103"/>
      <c r="F7" s="103"/>
      <c r="G7" s="103"/>
      <c r="H7" s="103"/>
      <c r="I7" s="103"/>
      <c r="J7" s="103"/>
      <c r="L7" s="103"/>
      <c r="M7" s="103"/>
    </row>
    <row r="8" spans="1:14" x14ac:dyDescent="0.35">
      <c r="A8" s="104" t="s">
        <v>263</v>
      </c>
      <c r="B8" s="105">
        <v>5</v>
      </c>
      <c r="C8" s="105">
        <v>5</v>
      </c>
      <c r="D8" s="106">
        <v>5</v>
      </c>
      <c r="E8" s="103"/>
      <c r="F8" s="103"/>
      <c r="G8" s="103"/>
      <c r="H8" s="103"/>
      <c r="I8" s="103"/>
      <c r="J8" s="103"/>
      <c r="L8" s="103"/>
      <c r="M8" s="103"/>
    </row>
    <row r="9" spans="1:14" x14ac:dyDescent="0.35">
      <c r="A9" s="104" t="s">
        <v>264</v>
      </c>
      <c r="B9" s="105">
        <v>1</v>
      </c>
      <c r="C9" s="105">
        <v>1</v>
      </c>
      <c r="D9" s="106">
        <v>1</v>
      </c>
      <c r="E9" s="103"/>
      <c r="F9" s="103"/>
      <c r="G9" s="103"/>
      <c r="H9" s="103"/>
      <c r="I9" s="103"/>
      <c r="J9" s="103"/>
      <c r="L9" s="103"/>
      <c r="M9" s="103"/>
    </row>
    <row r="10" spans="1:14" x14ac:dyDescent="0.35">
      <c r="A10" s="104" t="s">
        <v>265</v>
      </c>
      <c r="B10" s="105">
        <v>5</v>
      </c>
      <c r="C10" s="105">
        <v>5</v>
      </c>
      <c r="D10" s="106">
        <v>5</v>
      </c>
      <c r="E10" s="103"/>
      <c r="F10" s="103"/>
      <c r="G10" s="103"/>
      <c r="H10" s="103"/>
      <c r="I10" s="103"/>
      <c r="J10" s="103"/>
      <c r="L10" s="103"/>
      <c r="M10" s="103"/>
    </row>
    <row r="11" spans="1:14" x14ac:dyDescent="0.35">
      <c r="A11" s="104" t="s">
        <v>266</v>
      </c>
      <c r="B11" s="105">
        <v>5</v>
      </c>
      <c r="C11" s="105">
        <v>5</v>
      </c>
      <c r="D11" s="106">
        <v>5</v>
      </c>
      <c r="E11" s="103"/>
      <c r="F11" s="103"/>
      <c r="G11" s="103"/>
      <c r="H11" s="103"/>
      <c r="I11" s="103"/>
      <c r="J11" s="103"/>
      <c r="L11" s="103"/>
      <c r="M11" s="103"/>
    </row>
    <row r="12" spans="1:14" x14ac:dyDescent="0.35">
      <c r="A12" s="104" t="s">
        <v>267</v>
      </c>
      <c r="B12" s="105">
        <v>5</v>
      </c>
      <c r="C12" s="105">
        <v>5</v>
      </c>
      <c r="D12" s="106">
        <v>5</v>
      </c>
      <c r="E12" s="103"/>
      <c r="F12" s="103"/>
      <c r="G12" s="103"/>
      <c r="H12" s="103"/>
      <c r="I12" s="103"/>
      <c r="J12" s="103"/>
      <c r="L12" s="103"/>
      <c r="M12" s="103"/>
    </row>
    <row r="13" spans="1:14" x14ac:dyDescent="0.35">
      <c r="A13" s="104" t="s">
        <v>268</v>
      </c>
      <c r="B13" s="105">
        <v>5</v>
      </c>
      <c r="C13" s="105">
        <v>5</v>
      </c>
      <c r="D13" s="106">
        <v>5</v>
      </c>
      <c r="E13" s="103"/>
      <c r="F13" s="103"/>
      <c r="G13" s="103"/>
      <c r="H13" s="103"/>
      <c r="I13" s="103"/>
      <c r="J13" s="103"/>
      <c r="L13" s="103"/>
      <c r="M13" s="103"/>
    </row>
    <row r="14" spans="1:14" x14ac:dyDescent="0.35">
      <c r="A14" s="104" t="s">
        <v>269</v>
      </c>
      <c r="B14" s="105">
        <v>5</v>
      </c>
      <c r="C14" s="105">
        <v>5</v>
      </c>
      <c r="D14" s="106">
        <v>5</v>
      </c>
      <c r="E14" s="103"/>
      <c r="F14" s="103"/>
      <c r="G14" s="103"/>
      <c r="H14" s="103"/>
      <c r="I14" s="103"/>
      <c r="J14" s="103"/>
      <c r="L14" s="103"/>
      <c r="M14" s="103"/>
    </row>
    <row r="15" spans="1:14" x14ac:dyDescent="0.35">
      <c r="A15" s="104" t="s">
        <v>270</v>
      </c>
      <c r="B15" s="105">
        <v>5</v>
      </c>
      <c r="C15" s="105">
        <v>5</v>
      </c>
      <c r="D15" s="106">
        <v>5</v>
      </c>
      <c r="E15" s="103"/>
      <c r="F15" s="103"/>
      <c r="G15" s="103"/>
      <c r="H15" s="103"/>
      <c r="I15" s="103"/>
      <c r="J15" s="103"/>
      <c r="L15" s="103"/>
      <c r="M15" s="103"/>
    </row>
    <row r="16" spans="1:14" x14ac:dyDescent="0.35">
      <c r="A16" s="104" t="s">
        <v>271</v>
      </c>
      <c r="B16" s="105">
        <v>5</v>
      </c>
      <c r="C16" s="105">
        <v>5</v>
      </c>
      <c r="D16" s="106">
        <v>5</v>
      </c>
      <c r="E16" s="103"/>
      <c r="F16" s="103"/>
      <c r="G16" s="103"/>
      <c r="H16" s="103"/>
      <c r="I16" s="103"/>
      <c r="J16" s="103"/>
      <c r="L16" s="103"/>
      <c r="M16" s="103"/>
    </row>
    <row r="17" spans="1:13" x14ac:dyDescent="0.35">
      <c r="A17" s="104" t="s">
        <v>272</v>
      </c>
      <c r="B17" s="105">
        <v>5</v>
      </c>
      <c r="C17" s="105">
        <v>5</v>
      </c>
      <c r="D17" s="106">
        <v>5</v>
      </c>
      <c r="E17" s="103"/>
      <c r="F17" s="103"/>
      <c r="G17" s="103"/>
      <c r="H17" s="103"/>
      <c r="I17" s="103"/>
      <c r="J17" s="103"/>
      <c r="L17" s="103"/>
      <c r="M17" s="103"/>
    </row>
    <row r="18" spans="1:13" x14ac:dyDescent="0.35">
      <c r="A18" s="104" t="s">
        <v>273</v>
      </c>
      <c r="B18" s="105">
        <v>1</v>
      </c>
      <c r="C18" s="105">
        <v>1</v>
      </c>
      <c r="D18" s="106">
        <v>1</v>
      </c>
      <c r="E18" s="103"/>
      <c r="F18" s="103"/>
      <c r="G18" s="103"/>
      <c r="H18" s="103"/>
      <c r="I18" s="103"/>
      <c r="J18" s="103"/>
      <c r="L18" s="103"/>
      <c r="M18" s="103"/>
    </row>
    <row r="19" spans="1:13" x14ac:dyDescent="0.35">
      <c r="A19" s="104" t="s">
        <v>274</v>
      </c>
      <c r="B19" s="105">
        <v>1</v>
      </c>
      <c r="C19" s="105">
        <v>0.5</v>
      </c>
      <c r="D19" s="106">
        <v>0.5</v>
      </c>
      <c r="E19" s="103"/>
      <c r="F19" s="103"/>
      <c r="G19" s="103"/>
      <c r="H19" s="103"/>
      <c r="I19" s="103"/>
      <c r="J19" s="103"/>
      <c r="L19" s="103"/>
      <c r="M19" s="103"/>
    </row>
    <row r="20" spans="1:13" x14ac:dyDescent="0.35">
      <c r="A20" s="104" t="s">
        <v>275</v>
      </c>
      <c r="B20" s="105">
        <v>5</v>
      </c>
      <c r="C20" s="105">
        <v>5</v>
      </c>
      <c r="D20" s="106">
        <v>5</v>
      </c>
      <c r="E20" s="103"/>
      <c r="F20" s="103"/>
      <c r="G20" s="103"/>
      <c r="H20" s="103"/>
      <c r="I20" s="103"/>
      <c r="J20" s="103"/>
      <c r="L20" s="103"/>
      <c r="M20" s="103"/>
    </row>
    <row r="21" spans="1:13" x14ac:dyDescent="0.35">
      <c r="A21" s="104" t="s">
        <v>276</v>
      </c>
      <c r="B21" s="105">
        <v>5</v>
      </c>
      <c r="C21" s="105">
        <v>5</v>
      </c>
      <c r="D21" s="106">
        <v>5</v>
      </c>
      <c r="E21" s="103"/>
      <c r="F21" s="103"/>
      <c r="G21" s="103"/>
      <c r="H21" s="103"/>
      <c r="I21" s="103"/>
      <c r="J21" s="103"/>
      <c r="L21" s="103"/>
      <c r="M21" s="103"/>
    </row>
    <row r="22" spans="1:13" x14ac:dyDescent="0.35">
      <c r="A22" s="104" t="s">
        <v>277</v>
      </c>
      <c r="B22" s="105">
        <v>5</v>
      </c>
      <c r="C22" s="105">
        <v>5</v>
      </c>
      <c r="D22" s="106">
        <v>5</v>
      </c>
      <c r="E22" s="103"/>
      <c r="F22" s="103"/>
      <c r="G22" s="103"/>
      <c r="H22" s="103"/>
      <c r="I22" s="103"/>
      <c r="J22" s="103"/>
      <c r="L22" s="103"/>
      <c r="M22" s="103"/>
    </row>
    <row r="23" spans="1:13" x14ac:dyDescent="0.35">
      <c r="A23" s="104" t="s">
        <v>278</v>
      </c>
      <c r="B23" s="105">
        <v>5</v>
      </c>
      <c r="C23" s="105">
        <v>5</v>
      </c>
      <c r="D23" s="106">
        <v>5</v>
      </c>
      <c r="E23" s="103"/>
      <c r="F23" s="103"/>
      <c r="G23" s="103"/>
      <c r="H23" s="103"/>
      <c r="I23" s="103"/>
      <c r="J23" s="103"/>
      <c r="L23" s="103"/>
      <c r="M23" s="103"/>
    </row>
    <row r="24" spans="1:13" x14ac:dyDescent="0.35">
      <c r="A24" s="104" t="s">
        <v>279</v>
      </c>
      <c r="B24" s="105">
        <v>5</v>
      </c>
      <c r="C24" s="105">
        <v>5</v>
      </c>
      <c r="D24" s="106">
        <v>5</v>
      </c>
      <c r="E24" s="103"/>
      <c r="F24" s="103"/>
      <c r="G24" s="103"/>
      <c r="H24" s="103"/>
      <c r="I24" s="103"/>
      <c r="J24" s="103"/>
      <c r="L24" s="103"/>
      <c r="M24" s="103"/>
    </row>
    <row r="25" spans="1:13" x14ac:dyDescent="0.35">
      <c r="A25" s="104" t="s">
        <v>280</v>
      </c>
      <c r="B25" s="105">
        <v>1</v>
      </c>
      <c r="C25" s="105">
        <v>1</v>
      </c>
      <c r="D25" s="106">
        <v>1</v>
      </c>
      <c r="E25" s="103"/>
      <c r="F25" s="103"/>
      <c r="G25" s="103"/>
      <c r="H25" s="103"/>
      <c r="I25" s="103"/>
      <c r="J25" s="103"/>
      <c r="L25" s="103"/>
      <c r="M25" s="103"/>
    </row>
    <row r="26" spans="1:13" x14ac:dyDescent="0.35">
      <c r="A26" s="104" t="s">
        <v>281</v>
      </c>
      <c r="B26" s="105">
        <v>5</v>
      </c>
      <c r="C26" s="105">
        <v>5</v>
      </c>
      <c r="D26" s="106">
        <v>5</v>
      </c>
      <c r="E26" s="103"/>
      <c r="F26" s="103"/>
      <c r="G26" s="103"/>
      <c r="H26" s="103"/>
      <c r="I26" s="103"/>
      <c r="J26" s="103"/>
      <c r="L26" s="103"/>
      <c r="M26" s="103"/>
    </row>
    <row r="27" spans="1:13" x14ac:dyDescent="0.35">
      <c r="A27" s="104" t="s">
        <v>282</v>
      </c>
      <c r="B27" s="105">
        <v>5</v>
      </c>
      <c r="C27" s="105">
        <v>5</v>
      </c>
      <c r="D27" s="106">
        <v>5</v>
      </c>
      <c r="E27" s="103"/>
      <c r="F27" s="103"/>
      <c r="G27" s="103"/>
      <c r="H27" s="103"/>
      <c r="I27" s="103"/>
      <c r="J27" s="103"/>
      <c r="L27" s="103"/>
      <c r="M27" s="103"/>
    </row>
    <row r="28" spans="1:13" x14ac:dyDescent="0.35">
      <c r="A28" s="104" t="s">
        <v>283</v>
      </c>
      <c r="B28" s="105">
        <v>5</v>
      </c>
      <c r="C28" s="105">
        <v>5</v>
      </c>
      <c r="D28" s="106">
        <v>5</v>
      </c>
      <c r="E28" s="103"/>
      <c r="F28" s="103"/>
      <c r="G28" s="103"/>
      <c r="H28" s="103"/>
      <c r="I28" s="103"/>
      <c r="J28" s="103"/>
      <c r="L28" s="103"/>
      <c r="M28" s="103"/>
    </row>
    <row r="29" spans="1:13" x14ac:dyDescent="0.35">
      <c r="A29" s="104" t="s">
        <v>284</v>
      </c>
      <c r="B29" s="105">
        <v>5</v>
      </c>
      <c r="C29" s="105">
        <v>5</v>
      </c>
      <c r="D29" s="106">
        <v>5</v>
      </c>
      <c r="E29" s="103"/>
      <c r="F29" s="103"/>
      <c r="G29" s="103"/>
      <c r="H29" s="103"/>
      <c r="I29" s="103"/>
      <c r="J29" s="103"/>
      <c r="L29" s="103"/>
      <c r="M29" s="103"/>
    </row>
    <row r="30" spans="1:13" x14ac:dyDescent="0.35">
      <c r="A30" s="104" t="s">
        <v>285</v>
      </c>
      <c r="B30" s="105">
        <v>5</v>
      </c>
      <c r="C30" s="105">
        <v>5</v>
      </c>
      <c r="D30" s="106">
        <v>5</v>
      </c>
      <c r="E30" s="103"/>
      <c r="F30" s="103"/>
      <c r="G30" s="103"/>
      <c r="H30" s="103"/>
      <c r="I30" s="103"/>
      <c r="J30" s="103"/>
      <c r="L30" s="103"/>
      <c r="M30" s="103"/>
    </row>
    <row r="31" spans="1:13" x14ac:dyDescent="0.35">
      <c r="A31" s="104" t="s">
        <v>286</v>
      </c>
      <c r="B31" s="105">
        <v>5</v>
      </c>
      <c r="C31" s="105">
        <v>5</v>
      </c>
      <c r="D31" s="106">
        <v>5</v>
      </c>
      <c r="E31" s="103"/>
      <c r="F31" s="103"/>
      <c r="G31" s="103"/>
      <c r="H31" s="103"/>
      <c r="I31" s="103"/>
      <c r="J31" s="103"/>
      <c r="L31" s="103"/>
      <c r="M31" s="103"/>
    </row>
    <row r="32" spans="1:13" x14ac:dyDescent="0.35">
      <c r="A32" s="104" t="s">
        <v>287</v>
      </c>
      <c r="B32" s="105">
        <v>5</v>
      </c>
      <c r="C32" s="105">
        <v>5</v>
      </c>
      <c r="D32" s="106">
        <v>5</v>
      </c>
      <c r="E32" s="103"/>
      <c r="F32" s="103"/>
      <c r="G32" s="103"/>
      <c r="H32" s="103"/>
      <c r="I32" s="103"/>
      <c r="J32" s="103"/>
      <c r="L32" s="103"/>
      <c r="M32" s="103"/>
    </row>
    <row r="33" spans="1:13" x14ac:dyDescent="0.35">
      <c r="A33" s="104" t="s">
        <v>288</v>
      </c>
      <c r="B33" s="105">
        <v>5</v>
      </c>
      <c r="C33" s="105">
        <v>5</v>
      </c>
      <c r="D33" s="106">
        <v>5</v>
      </c>
      <c r="E33" s="103"/>
      <c r="F33" s="103"/>
      <c r="G33" s="103"/>
      <c r="H33" s="103"/>
      <c r="I33" s="103"/>
      <c r="J33" s="103"/>
      <c r="L33" s="103"/>
      <c r="M33" s="103"/>
    </row>
    <row r="34" spans="1:13" x14ac:dyDescent="0.35">
      <c r="A34" s="104" t="s">
        <v>289</v>
      </c>
      <c r="B34" s="105">
        <v>5</v>
      </c>
      <c r="C34" s="105">
        <v>5</v>
      </c>
      <c r="D34" s="106">
        <v>5</v>
      </c>
      <c r="E34" s="103"/>
      <c r="F34" s="103"/>
      <c r="G34" s="103"/>
      <c r="H34" s="103"/>
      <c r="I34" s="103"/>
      <c r="J34" s="103"/>
      <c r="L34" s="103"/>
      <c r="M34" s="103"/>
    </row>
    <row r="35" spans="1:13" x14ac:dyDescent="0.35">
      <c r="A35" s="104" t="s">
        <v>290</v>
      </c>
      <c r="B35" s="105">
        <v>5</v>
      </c>
      <c r="C35" s="105">
        <v>5</v>
      </c>
      <c r="D35" s="106">
        <v>5</v>
      </c>
      <c r="E35" s="103"/>
      <c r="F35" s="103"/>
      <c r="G35" s="103"/>
      <c r="H35" s="103"/>
      <c r="I35" s="103"/>
      <c r="J35" s="103"/>
      <c r="L35" s="103"/>
      <c r="M35" s="103"/>
    </row>
    <row r="36" spans="1:13" x14ac:dyDescent="0.35">
      <c r="A36" s="104" t="s">
        <v>291</v>
      </c>
      <c r="B36" s="105">
        <v>5</v>
      </c>
      <c r="C36" s="105">
        <v>5</v>
      </c>
      <c r="D36" s="106">
        <v>5</v>
      </c>
      <c r="E36" s="103"/>
      <c r="F36" s="103"/>
      <c r="G36" s="103"/>
      <c r="H36" s="103"/>
      <c r="I36" s="103"/>
      <c r="J36" s="103"/>
      <c r="L36" s="103"/>
      <c r="M36" s="103"/>
    </row>
    <row r="37" spans="1:13" x14ac:dyDescent="0.35">
      <c r="A37" s="104" t="s">
        <v>292</v>
      </c>
      <c r="B37" s="105">
        <v>5</v>
      </c>
      <c r="C37" s="105">
        <v>5</v>
      </c>
      <c r="D37" s="106">
        <v>5</v>
      </c>
      <c r="E37" s="103"/>
      <c r="F37" s="103"/>
      <c r="G37" s="103"/>
      <c r="H37" s="103"/>
      <c r="I37" s="103"/>
      <c r="J37" s="103"/>
      <c r="L37" s="103"/>
      <c r="M37" s="103"/>
    </row>
    <row r="38" spans="1:13" x14ac:dyDescent="0.35">
      <c r="A38" s="104" t="s">
        <v>293</v>
      </c>
      <c r="B38" s="105">
        <v>5</v>
      </c>
      <c r="C38" s="105">
        <v>5</v>
      </c>
      <c r="D38" s="106">
        <v>5</v>
      </c>
      <c r="E38" s="103"/>
      <c r="F38" s="103"/>
      <c r="G38" s="103"/>
      <c r="H38" s="103"/>
      <c r="I38" s="103"/>
      <c r="J38" s="103"/>
      <c r="L38" s="103"/>
      <c r="M38" s="103"/>
    </row>
    <row r="39" spans="1:13" x14ac:dyDescent="0.35">
      <c r="A39" s="104" t="s">
        <v>294</v>
      </c>
      <c r="B39" s="105">
        <v>5</v>
      </c>
      <c r="C39" s="105">
        <v>1.5</v>
      </c>
      <c r="D39" s="106">
        <v>1.5</v>
      </c>
      <c r="E39" s="103"/>
      <c r="F39" s="103"/>
      <c r="G39" s="103"/>
      <c r="H39" s="103"/>
      <c r="I39" s="103"/>
      <c r="J39" s="103"/>
      <c r="L39" s="103"/>
      <c r="M39" s="103"/>
    </row>
    <row r="40" spans="1:13" x14ac:dyDescent="0.35">
      <c r="A40" s="104" t="s">
        <v>295</v>
      </c>
      <c r="B40" s="105">
        <v>5</v>
      </c>
      <c r="C40" s="105">
        <v>5</v>
      </c>
      <c r="D40" s="106">
        <v>5</v>
      </c>
      <c r="E40" s="103"/>
      <c r="F40" s="103"/>
      <c r="G40" s="103"/>
      <c r="H40" s="103"/>
      <c r="I40" s="103"/>
      <c r="J40" s="103"/>
      <c r="L40" s="103"/>
      <c r="M40" s="103"/>
    </row>
    <row r="41" spans="1:13" x14ac:dyDescent="0.35">
      <c r="A41" s="104" t="s">
        <v>296</v>
      </c>
      <c r="B41" s="105">
        <v>5</v>
      </c>
      <c r="C41" s="105">
        <v>5</v>
      </c>
      <c r="D41" s="106">
        <v>5</v>
      </c>
      <c r="E41" s="103"/>
      <c r="F41" s="103"/>
      <c r="G41" s="103"/>
      <c r="H41" s="103"/>
      <c r="I41" s="103"/>
      <c r="J41" s="103"/>
      <c r="L41" s="103"/>
      <c r="M41" s="103"/>
    </row>
    <row r="42" spans="1:13" x14ac:dyDescent="0.35">
      <c r="A42" s="104" t="s">
        <v>7</v>
      </c>
      <c r="B42" s="105">
        <v>9.6999999999999993</v>
      </c>
      <c r="C42" s="105">
        <v>9.6999999999999993</v>
      </c>
      <c r="D42" s="106">
        <v>9.6999999999999993</v>
      </c>
      <c r="E42" s="103"/>
      <c r="F42" s="103"/>
      <c r="G42" s="103"/>
      <c r="H42" s="103"/>
      <c r="I42" s="103"/>
      <c r="J42" s="103"/>
      <c r="L42" s="103"/>
      <c r="M42" s="103"/>
    </row>
    <row r="43" spans="1:13" x14ac:dyDescent="0.35">
      <c r="A43" s="104" t="s">
        <v>1</v>
      </c>
      <c r="B43" s="105">
        <v>11.6</v>
      </c>
      <c r="C43" s="105">
        <v>11.6</v>
      </c>
      <c r="D43" s="106">
        <v>11.6</v>
      </c>
      <c r="E43" s="103"/>
      <c r="F43" s="103"/>
      <c r="G43" s="103"/>
      <c r="H43" s="103"/>
      <c r="I43" s="103"/>
      <c r="J43" s="103"/>
      <c r="L43" s="103"/>
      <c r="M43" s="103"/>
    </row>
    <row r="44" spans="1:13" x14ac:dyDescent="0.35">
      <c r="A44" s="104" t="s">
        <v>8</v>
      </c>
      <c r="B44" s="105"/>
      <c r="C44" s="105"/>
      <c r="D44" s="106"/>
      <c r="E44" s="103"/>
      <c r="F44" s="103"/>
      <c r="G44" s="103"/>
      <c r="H44" s="103"/>
      <c r="I44" s="103"/>
      <c r="J44" s="103"/>
      <c r="L44" s="103"/>
      <c r="M44" s="103"/>
    </row>
    <row r="45" spans="1:13" x14ac:dyDescent="0.35">
      <c r="A45" s="107" t="s">
        <v>9</v>
      </c>
      <c r="B45" s="108"/>
      <c r="C45" s="108"/>
      <c r="D45" s="109"/>
      <c r="E45" s="103"/>
      <c r="F45" s="103"/>
      <c r="G45" s="103"/>
      <c r="H45" s="103"/>
      <c r="I45" s="103"/>
      <c r="J45" s="103"/>
      <c r="L45" s="103"/>
      <c r="M45" s="103"/>
    </row>
    <row r="46" spans="1:13" x14ac:dyDescent="0.35">
      <c r="A46" s="103"/>
      <c r="B46" s="103"/>
      <c r="C46" s="103"/>
      <c r="D46" s="103"/>
      <c r="E46" s="103"/>
      <c r="F46" s="103"/>
      <c r="G46" s="103"/>
      <c r="H46" s="103"/>
      <c r="I46" s="103"/>
      <c r="J46" s="103"/>
      <c r="K46" s="103"/>
      <c r="L46" s="103"/>
      <c r="M46" s="103"/>
    </row>
    <row r="47" spans="1:13" ht="37.5" customHeight="1" x14ac:dyDescent="0.35">
      <c r="A47" s="121" t="s">
        <v>10</v>
      </c>
      <c r="B47" s="123"/>
      <c r="C47" s="103"/>
      <c r="D47" s="103"/>
      <c r="E47" s="103"/>
      <c r="F47" s="103"/>
      <c r="G47" s="103"/>
      <c r="H47" s="103"/>
      <c r="I47" s="103"/>
      <c r="J47" s="103"/>
      <c r="K47" s="103"/>
      <c r="L47" s="103"/>
      <c r="M47" s="103"/>
    </row>
    <row r="48" spans="1:13" ht="56.6" x14ac:dyDescent="0.35">
      <c r="A48" s="135" t="s">
        <v>11</v>
      </c>
      <c r="B48" s="135" t="s">
        <v>12</v>
      </c>
      <c r="C48" s="135" t="s">
        <v>13</v>
      </c>
      <c r="D48" s="135" t="s">
        <v>14</v>
      </c>
      <c r="E48" s="135" t="s">
        <v>15</v>
      </c>
      <c r="F48" s="135" t="s">
        <v>16</v>
      </c>
      <c r="G48" s="135" t="s">
        <v>149</v>
      </c>
      <c r="H48" s="135" t="s">
        <v>17</v>
      </c>
      <c r="I48" s="135" t="s">
        <v>18</v>
      </c>
      <c r="J48" s="135" t="s">
        <v>147</v>
      </c>
      <c r="K48" s="135" t="s">
        <v>19</v>
      </c>
      <c r="L48" s="135" t="s">
        <v>148</v>
      </c>
      <c r="M48" s="135" t="s">
        <v>20</v>
      </c>
    </row>
    <row r="49" spans="1:13" x14ac:dyDescent="0.35">
      <c r="A49" s="110" t="s">
        <v>297</v>
      </c>
      <c r="B49" s="110" t="s">
        <v>21</v>
      </c>
      <c r="C49" s="110" t="b">
        <v>1</v>
      </c>
      <c r="D49" s="110" t="s">
        <v>58</v>
      </c>
      <c r="E49" s="110" t="s">
        <v>23</v>
      </c>
      <c r="F49" s="105" t="s">
        <v>298</v>
      </c>
      <c r="G49" s="118"/>
      <c r="H49" s="118">
        <v>5.2636888827832254E-2</v>
      </c>
      <c r="I49" s="105" t="s">
        <v>299</v>
      </c>
      <c r="J49" s="105"/>
      <c r="K49" s="105">
        <v>0.17515612982182477</v>
      </c>
      <c r="L49" s="105"/>
      <c r="M49" s="105">
        <v>0.50321692585940914</v>
      </c>
    </row>
    <row r="50" spans="1:13" x14ac:dyDescent="0.35">
      <c r="A50" s="110" t="s">
        <v>297</v>
      </c>
      <c r="B50" s="110" t="s">
        <v>21</v>
      </c>
      <c r="C50" s="110" t="b">
        <v>1</v>
      </c>
      <c r="D50" s="110" t="s">
        <v>58</v>
      </c>
      <c r="E50" s="110" t="s">
        <v>24</v>
      </c>
      <c r="F50" s="105" t="s">
        <v>300</v>
      </c>
      <c r="G50" s="118"/>
      <c r="H50" s="118">
        <v>0.2976753708158173</v>
      </c>
      <c r="I50" s="105" t="s">
        <v>299</v>
      </c>
      <c r="J50" s="105"/>
      <c r="K50" s="105"/>
      <c r="L50" s="105"/>
      <c r="M50" s="105"/>
    </row>
    <row r="51" spans="1:13" x14ac:dyDescent="0.35">
      <c r="A51" s="110" t="s">
        <v>297</v>
      </c>
      <c r="B51" s="110" t="s">
        <v>21</v>
      </c>
      <c r="C51" s="110" t="b">
        <v>0</v>
      </c>
      <c r="D51" s="110" t="s">
        <v>22</v>
      </c>
      <c r="E51" s="110" t="s">
        <v>23</v>
      </c>
      <c r="F51" s="105" t="s">
        <v>301</v>
      </c>
      <c r="G51" s="118"/>
      <c r="H51" s="118">
        <v>0.14289999325874086</v>
      </c>
      <c r="I51" s="105" t="s">
        <v>302</v>
      </c>
      <c r="J51" s="105"/>
      <c r="K51" s="105">
        <v>0.56187540403196501</v>
      </c>
      <c r="L51" s="105"/>
      <c r="M51" s="105"/>
    </row>
    <row r="52" spans="1:13" x14ac:dyDescent="0.35">
      <c r="A52" s="110" t="s">
        <v>297</v>
      </c>
      <c r="B52" s="110" t="s">
        <v>21</v>
      </c>
      <c r="C52" s="110" t="b">
        <v>1</v>
      </c>
      <c r="D52" s="110" t="s">
        <v>22</v>
      </c>
      <c r="E52" s="110" t="s">
        <v>23</v>
      </c>
      <c r="F52" s="105" t="s">
        <v>303</v>
      </c>
      <c r="G52" s="118"/>
      <c r="H52" s="118">
        <v>0.14288913058467281</v>
      </c>
      <c r="I52" s="105" t="s">
        <v>302</v>
      </c>
      <c r="J52" s="105"/>
      <c r="K52" s="105"/>
      <c r="L52" s="105"/>
      <c r="M52" s="105"/>
    </row>
    <row r="53" spans="1:13" x14ac:dyDescent="0.35">
      <c r="A53" s="110" t="s">
        <v>297</v>
      </c>
      <c r="B53" s="110" t="s">
        <v>21</v>
      </c>
      <c r="C53" s="110" t="b">
        <v>0</v>
      </c>
      <c r="D53" s="110" t="s">
        <v>22</v>
      </c>
      <c r="E53" s="110" t="s">
        <v>24</v>
      </c>
      <c r="F53" s="105" t="s">
        <v>304</v>
      </c>
      <c r="G53" s="118"/>
      <c r="H53" s="118">
        <v>0.64425852656367799</v>
      </c>
      <c r="I53" s="105" t="s">
        <v>302</v>
      </c>
      <c r="J53" s="105"/>
      <c r="K53" s="105"/>
      <c r="L53" s="105"/>
      <c r="M53" s="105"/>
    </row>
    <row r="54" spans="1:13" x14ac:dyDescent="0.35">
      <c r="A54" s="110" t="s">
        <v>297</v>
      </c>
      <c r="B54" s="110" t="s">
        <v>21</v>
      </c>
      <c r="C54" s="110" t="b">
        <v>1</v>
      </c>
      <c r="D54" s="110" t="s">
        <v>22</v>
      </c>
      <c r="E54" s="110" t="s">
        <v>24</v>
      </c>
      <c r="F54" s="105" t="s">
        <v>305</v>
      </c>
      <c r="G54" s="118"/>
      <c r="H54" s="118">
        <v>0.6442083180157826</v>
      </c>
      <c r="I54" s="105" t="s">
        <v>302</v>
      </c>
      <c r="J54" s="105"/>
      <c r="K54" s="105"/>
      <c r="L54" s="105"/>
      <c r="M54" s="105"/>
    </row>
    <row r="55" spans="1:13" x14ac:dyDescent="0.35">
      <c r="A55" s="110" t="s">
        <v>297</v>
      </c>
      <c r="B55" s="110" t="s">
        <v>21</v>
      </c>
      <c r="C55" s="110" t="b">
        <v>0</v>
      </c>
      <c r="D55" s="110" t="s">
        <v>22</v>
      </c>
      <c r="E55" s="110" t="s">
        <v>25</v>
      </c>
      <c r="F55" s="105" t="s">
        <v>306</v>
      </c>
      <c r="G55" s="118"/>
      <c r="H55" s="118">
        <v>0.89847855494754425</v>
      </c>
      <c r="I55" s="105" t="s">
        <v>302</v>
      </c>
      <c r="J55" s="105"/>
      <c r="K55" s="105"/>
      <c r="L55" s="105"/>
      <c r="M55" s="105"/>
    </row>
    <row r="56" spans="1:13" x14ac:dyDescent="0.35">
      <c r="A56" s="110" t="s">
        <v>297</v>
      </c>
      <c r="B56" s="110" t="s">
        <v>21</v>
      </c>
      <c r="C56" s="110" t="b">
        <v>1</v>
      </c>
      <c r="D56" s="110" t="s">
        <v>22</v>
      </c>
      <c r="E56" s="110" t="s">
        <v>25</v>
      </c>
      <c r="F56" s="105" t="s">
        <v>307</v>
      </c>
      <c r="G56" s="118"/>
      <c r="H56" s="118">
        <v>0.89835445347462417</v>
      </c>
      <c r="I56" s="105" t="s">
        <v>302</v>
      </c>
      <c r="J56" s="105"/>
      <c r="K56" s="105"/>
      <c r="L56" s="105"/>
      <c r="M56" s="105"/>
    </row>
    <row r="57" spans="1:13" x14ac:dyDescent="0.35">
      <c r="A57" s="110" t="s">
        <v>297</v>
      </c>
      <c r="B57" s="110" t="s">
        <v>21</v>
      </c>
      <c r="C57" s="110" t="b">
        <v>0</v>
      </c>
      <c r="D57" s="110" t="s">
        <v>26</v>
      </c>
      <c r="E57" s="110" t="s">
        <v>23</v>
      </c>
      <c r="F57" s="105" t="s">
        <v>308</v>
      </c>
      <c r="G57" s="118"/>
      <c r="H57" s="118">
        <v>0.24698816812907826</v>
      </c>
      <c r="I57" s="105" t="s">
        <v>237</v>
      </c>
      <c r="J57" s="105"/>
      <c r="K57" s="105">
        <v>0.9789113607691956</v>
      </c>
      <c r="L57" s="105"/>
      <c r="M57" s="105"/>
    </row>
    <row r="58" spans="1:13" x14ac:dyDescent="0.35">
      <c r="A58" s="110" t="s">
        <v>297</v>
      </c>
      <c r="B58" s="110" t="s">
        <v>21</v>
      </c>
      <c r="C58" s="110" t="b">
        <v>1</v>
      </c>
      <c r="D58" s="110" t="s">
        <v>26</v>
      </c>
      <c r="E58" s="110" t="s">
        <v>23</v>
      </c>
      <c r="F58" s="105" t="s">
        <v>309</v>
      </c>
      <c r="G58" s="118"/>
      <c r="H58" s="118">
        <v>0.24697470213641265</v>
      </c>
      <c r="I58" s="105" t="s">
        <v>237</v>
      </c>
      <c r="J58" s="105"/>
      <c r="K58" s="105"/>
      <c r="L58" s="105"/>
      <c r="M58" s="105"/>
    </row>
    <row r="59" spans="1:13" x14ac:dyDescent="0.35">
      <c r="A59" s="110" t="s">
        <v>297</v>
      </c>
      <c r="B59" s="110" t="s">
        <v>21</v>
      </c>
      <c r="C59" s="110" t="b">
        <v>1</v>
      </c>
      <c r="D59" s="110" t="s">
        <v>26</v>
      </c>
      <c r="E59" s="110" t="s">
        <v>24</v>
      </c>
      <c r="F59" s="105" t="s">
        <v>310</v>
      </c>
      <c r="G59" s="118"/>
      <c r="H59" s="118">
        <v>1.2163835686985738</v>
      </c>
      <c r="I59" s="105" t="s">
        <v>237</v>
      </c>
      <c r="J59" s="105"/>
      <c r="K59" s="105"/>
      <c r="L59" s="105"/>
      <c r="M59" s="105"/>
    </row>
    <row r="60" spans="1:13" x14ac:dyDescent="0.35">
      <c r="A60" s="110" t="s">
        <v>297</v>
      </c>
      <c r="B60" s="110" t="s">
        <v>27</v>
      </c>
      <c r="C60" s="110" t="b">
        <v>1</v>
      </c>
      <c r="D60" s="110" t="s">
        <v>58</v>
      </c>
      <c r="E60" s="110" t="s">
        <v>23</v>
      </c>
      <c r="F60" s="105" t="s">
        <v>311</v>
      </c>
      <c r="G60" s="118"/>
      <c r="H60" s="118">
        <v>4.4876686606708384E-2</v>
      </c>
      <c r="I60" s="105" t="s">
        <v>312</v>
      </c>
      <c r="J60" s="105"/>
      <c r="K60" s="105">
        <v>0.24471737092323623</v>
      </c>
      <c r="L60" s="105"/>
      <c r="M60" s="105">
        <v>0.42207560077286743</v>
      </c>
    </row>
    <row r="61" spans="1:13" x14ac:dyDescent="0.35">
      <c r="A61" s="110" t="s">
        <v>297</v>
      </c>
      <c r="B61" s="110" t="s">
        <v>27</v>
      </c>
      <c r="C61" s="110" t="b">
        <v>1</v>
      </c>
      <c r="D61" s="110" t="s">
        <v>58</v>
      </c>
      <c r="E61" s="110" t="s">
        <v>24</v>
      </c>
      <c r="F61" s="105" t="s">
        <v>313</v>
      </c>
      <c r="G61" s="118"/>
      <c r="H61" s="118">
        <v>0.24166881140783503</v>
      </c>
      <c r="I61" s="105" t="s">
        <v>312</v>
      </c>
      <c r="J61" s="105"/>
      <c r="K61" s="105"/>
      <c r="L61" s="105"/>
      <c r="M61" s="105"/>
    </row>
    <row r="62" spans="1:13" x14ac:dyDescent="0.35">
      <c r="A62" s="110" t="s">
        <v>297</v>
      </c>
      <c r="B62" s="110" t="s">
        <v>27</v>
      </c>
      <c r="C62" s="110" t="b">
        <v>0</v>
      </c>
      <c r="D62" s="110" t="s">
        <v>22</v>
      </c>
      <c r="E62" s="110" t="s">
        <v>23</v>
      </c>
      <c r="F62" s="105" t="s">
        <v>314</v>
      </c>
      <c r="G62" s="118"/>
      <c r="H62" s="118">
        <v>0.11908406369723411</v>
      </c>
      <c r="I62" s="105" t="s">
        <v>240</v>
      </c>
      <c r="J62" s="105"/>
      <c r="K62" s="105">
        <v>0.46379517718731628</v>
      </c>
      <c r="L62" s="105"/>
      <c r="M62" s="105"/>
    </row>
    <row r="63" spans="1:13" x14ac:dyDescent="0.35">
      <c r="A63" s="110" t="s">
        <v>297</v>
      </c>
      <c r="B63" s="110" t="s">
        <v>27</v>
      </c>
      <c r="C63" s="110" t="b">
        <v>1</v>
      </c>
      <c r="D63" s="110" t="s">
        <v>22</v>
      </c>
      <c r="E63" s="110" t="s">
        <v>23</v>
      </c>
      <c r="F63" s="105" t="s">
        <v>315</v>
      </c>
      <c r="G63" s="118"/>
      <c r="H63" s="118">
        <v>0.11908406369723411</v>
      </c>
      <c r="I63" s="105" t="s">
        <v>240</v>
      </c>
      <c r="J63" s="105"/>
      <c r="K63" s="105"/>
      <c r="L63" s="105"/>
      <c r="M63" s="105"/>
    </row>
    <row r="64" spans="1:13" x14ac:dyDescent="0.35">
      <c r="A64" s="110" t="s">
        <v>297</v>
      </c>
      <c r="B64" s="110" t="s">
        <v>27</v>
      </c>
      <c r="C64" s="110" t="b">
        <v>0</v>
      </c>
      <c r="D64" s="110" t="s">
        <v>22</v>
      </c>
      <c r="E64" s="110" t="s">
        <v>24</v>
      </c>
      <c r="F64" s="105" t="s">
        <v>316</v>
      </c>
      <c r="G64" s="118"/>
      <c r="H64" s="118">
        <v>0.50444240143349439</v>
      </c>
      <c r="I64" s="105" t="s">
        <v>240</v>
      </c>
      <c r="J64" s="105"/>
      <c r="K64" s="105"/>
      <c r="L64" s="105"/>
      <c r="M64" s="105"/>
    </row>
    <row r="65" spans="1:13" x14ac:dyDescent="0.35">
      <c r="A65" s="110" t="s">
        <v>297</v>
      </c>
      <c r="B65" s="110" t="s">
        <v>27</v>
      </c>
      <c r="C65" s="110" t="b">
        <v>1</v>
      </c>
      <c r="D65" s="110" t="s">
        <v>22</v>
      </c>
      <c r="E65" s="110" t="s">
        <v>24</v>
      </c>
      <c r="F65" s="105" t="s">
        <v>317</v>
      </c>
      <c r="G65" s="118"/>
      <c r="H65" s="118">
        <v>0.50444240143349439</v>
      </c>
      <c r="I65" s="105" t="s">
        <v>240</v>
      </c>
      <c r="J65" s="105"/>
      <c r="K65" s="105"/>
      <c r="L65" s="105"/>
      <c r="M65" s="105"/>
    </row>
    <row r="66" spans="1:13" x14ac:dyDescent="0.35">
      <c r="A66" s="110" t="s">
        <v>297</v>
      </c>
      <c r="B66" s="110" t="s">
        <v>27</v>
      </c>
      <c r="C66" s="110" t="b">
        <v>0</v>
      </c>
      <c r="D66" s="110" t="s">
        <v>22</v>
      </c>
      <c r="E66" s="110" t="s">
        <v>25</v>
      </c>
      <c r="F66" s="105" t="s">
        <v>318</v>
      </c>
      <c r="G66" s="118"/>
      <c r="H66" s="118">
        <v>0.76785906643122026</v>
      </c>
      <c r="I66" s="105" t="s">
        <v>240</v>
      </c>
      <c r="J66" s="105"/>
      <c r="K66" s="105"/>
      <c r="L66" s="105"/>
      <c r="M66" s="105"/>
    </row>
    <row r="67" spans="1:13" x14ac:dyDescent="0.35">
      <c r="A67" s="110" t="s">
        <v>297</v>
      </c>
      <c r="B67" s="110" t="s">
        <v>27</v>
      </c>
      <c r="C67" s="110" t="b">
        <v>1</v>
      </c>
      <c r="D67" s="110" t="s">
        <v>22</v>
      </c>
      <c r="E67" s="110" t="s">
        <v>25</v>
      </c>
      <c r="F67" s="105" t="s">
        <v>319</v>
      </c>
      <c r="G67" s="118"/>
      <c r="H67" s="118">
        <v>0.76785906643122026</v>
      </c>
      <c r="I67" s="105" t="s">
        <v>240</v>
      </c>
      <c r="J67" s="105"/>
      <c r="K67" s="105"/>
      <c r="L67" s="105"/>
      <c r="M67" s="105"/>
    </row>
    <row r="68" spans="1:13" x14ac:dyDescent="0.35">
      <c r="A68" s="110" t="s">
        <v>297</v>
      </c>
      <c r="B68" s="110" t="s">
        <v>27</v>
      </c>
      <c r="C68" s="110" t="b">
        <v>0</v>
      </c>
      <c r="D68" s="110" t="s">
        <v>26</v>
      </c>
      <c r="E68" s="110" t="s">
        <v>23</v>
      </c>
      <c r="F68" s="105" t="s">
        <v>320</v>
      </c>
      <c r="G68" s="118"/>
      <c r="H68" s="118">
        <v>0.21303287141270724</v>
      </c>
      <c r="I68" s="105" t="s">
        <v>154</v>
      </c>
      <c r="J68" s="105"/>
      <c r="K68" s="105">
        <v>0.81142836216019987</v>
      </c>
      <c r="L68" s="105"/>
      <c r="M68" s="105"/>
    </row>
    <row r="69" spans="1:13" x14ac:dyDescent="0.35">
      <c r="A69" s="110" t="s">
        <v>297</v>
      </c>
      <c r="B69" s="110" t="s">
        <v>27</v>
      </c>
      <c r="C69" s="110" t="b">
        <v>1</v>
      </c>
      <c r="D69" s="110" t="s">
        <v>26</v>
      </c>
      <c r="E69" s="110" t="s">
        <v>23</v>
      </c>
      <c r="F69" s="105" t="s">
        <v>321</v>
      </c>
      <c r="G69" s="118"/>
      <c r="H69" s="118">
        <v>0.21303287141270724</v>
      </c>
      <c r="I69" s="105" t="s">
        <v>154</v>
      </c>
      <c r="J69" s="105"/>
      <c r="K69" s="105"/>
      <c r="L69" s="105"/>
      <c r="M69" s="105"/>
    </row>
    <row r="70" spans="1:13" x14ac:dyDescent="0.35">
      <c r="A70" s="110" t="s">
        <v>297</v>
      </c>
      <c r="B70" s="110" t="s">
        <v>28</v>
      </c>
      <c r="C70" s="110" t="b">
        <v>1</v>
      </c>
      <c r="D70" s="110" t="s">
        <v>58</v>
      </c>
      <c r="E70" s="110" t="s">
        <v>23</v>
      </c>
      <c r="F70" s="105" t="s">
        <v>322</v>
      </c>
      <c r="G70" s="118"/>
      <c r="H70" s="118">
        <v>2.7553289579959547E-2</v>
      </c>
      <c r="I70" s="105" t="s">
        <v>323</v>
      </c>
      <c r="J70" s="105"/>
      <c r="K70" s="105">
        <v>0.16546442696295277</v>
      </c>
      <c r="L70" s="105"/>
      <c r="M70" s="105">
        <v>0.29274286973140384</v>
      </c>
    </row>
    <row r="71" spans="1:13" x14ac:dyDescent="0.35">
      <c r="A71" s="110" t="s">
        <v>297</v>
      </c>
      <c r="B71" s="110" t="s">
        <v>28</v>
      </c>
      <c r="C71" s="110" t="b">
        <v>1</v>
      </c>
      <c r="D71" s="110" t="s">
        <v>58</v>
      </c>
      <c r="E71" s="110" t="s">
        <v>24</v>
      </c>
      <c r="F71" s="105" t="s">
        <v>324</v>
      </c>
      <c r="G71" s="118"/>
      <c r="H71" s="118">
        <v>0.16410862816180838</v>
      </c>
      <c r="I71" s="105" t="s">
        <v>323</v>
      </c>
      <c r="J71" s="105"/>
      <c r="K71" s="105"/>
      <c r="L71" s="105"/>
      <c r="M71" s="105"/>
    </row>
    <row r="72" spans="1:13" x14ac:dyDescent="0.35">
      <c r="A72" s="110" t="s">
        <v>297</v>
      </c>
      <c r="B72" s="110" t="s">
        <v>28</v>
      </c>
      <c r="C72" s="110" t="b">
        <v>0</v>
      </c>
      <c r="D72" s="110" t="s">
        <v>22</v>
      </c>
      <c r="E72" s="110" t="s">
        <v>23</v>
      </c>
      <c r="F72" s="105" t="s">
        <v>325</v>
      </c>
      <c r="G72" s="118"/>
      <c r="H72" s="118">
        <v>7.7329646536422034E-2</v>
      </c>
      <c r="I72" s="105" t="s">
        <v>326</v>
      </c>
      <c r="J72" s="105"/>
      <c r="K72" s="105">
        <v>0.30972367872331313</v>
      </c>
      <c r="L72" s="105"/>
      <c r="M72" s="105"/>
    </row>
    <row r="73" spans="1:13" x14ac:dyDescent="0.35">
      <c r="A73" s="110" t="s">
        <v>297</v>
      </c>
      <c r="B73" s="110" t="s">
        <v>28</v>
      </c>
      <c r="C73" s="110" t="b">
        <v>1</v>
      </c>
      <c r="D73" s="110" t="s">
        <v>22</v>
      </c>
      <c r="E73" s="110" t="s">
        <v>23</v>
      </c>
      <c r="F73" s="105" t="s">
        <v>327</v>
      </c>
      <c r="G73" s="118"/>
      <c r="H73" s="118">
        <v>7.7329646536422034E-2</v>
      </c>
      <c r="I73" s="105" t="s">
        <v>326</v>
      </c>
      <c r="J73" s="105"/>
      <c r="K73" s="105"/>
      <c r="L73" s="105"/>
      <c r="M73" s="105"/>
    </row>
    <row r="74" spans="1:13" x14ac:dyDescent="0.35">
      <c r="A74" s="110" t="s">
        <v>297</v>
      </c>
      <c r="B74" s="110" t="s">
        <v>28</v>
      </c>
      <c r="C74" s="110" t="b">
        <v>1</v>
      </c>
      <c r="D74" s="110" t="s">
        <v>22</v>
      </c>
      <c r="E74" s="110" t="s">
        <v>24</v>
      </c>
      <c r="F74" s="105" t="s">
        <v>328</v>
      </c>
      <c r="G74" s="118"/>
      <c r="H74" s="118">
        <v>0.34856935896024577</v>
      </c>
      <c r="I74" s="105" t="s">
        <v>326</v>
      </c>
      <c r="J74" s="105"/>
      <c r="K74" s="105"/>
      <c r="L74" s="105"/>
      <c r="M74" s="105"/>
    </row>
    <row r="75" spans="1:13" x14ac:dyDescent="0.35">
      <c r="A75" s="110" t="s">
        <v>297</v>
      </c>
      <c r="B75" s="110" t="s">
        <v>28</v>
      </c>
      <c r="C75" s="110" t="b">
        <v>1</v>
      </c>
      <c r="D75" s="110" t="s">
        <v>22</v>
      </c>
      <c r="E75" s="110" t="s">
        <v>25</v>
      </c>
      <c r="F75" s="105" t="s">
        <v>329</v>
      </c>
      <c r="G75" s="118"/>
      <c r="H75" s="118">
        <v>0.50327203067327164</v>
      </c>
      <c r="I75" s="105" t="s">
        <v>326</v>
      </c>
      <c r="J75" s="105"/>
      <c r="K75" s="105"/>
      <c r="L75" s="105"/>
      <c r="M75" s="105"/>
    </row>
    <row r="76" spans="1:13" x14ac:dyDescent="0.35">
      <c r="A76" s="110" t="s">
        <v>297</v>
      </c>
      <c r="B76" s="110" t="s">
        <v>28</v>
      </c>
      <c r="C76" s="110" t="b">
        <v>0</v>
      </c>
      <c r="D76" s="110" t="s">
        <v>26</v>
      </c>
      <c r="E76" s="110" t="s">
        <v>23</v>
      </c>
      <c r="F76" s="105" t="s">
        <v>330</v>
      </c>
      <c r="G76" s="118"/>
      <c r="H76" s="118">
        <v>0.14279750335131497</v>
      </c>
      <c r="I76" s="105" t="s">
        <v>236</v>
      </c>
      <c r="J76" s="105"/>
      <c r="K76" s="105">
        <v>0.55840723256894176</v>
      </c>
      <c r="L76" s="105"/>
      <c r="M76" s="105"/>
    </row>
    <row r="77" spans="1:13" x14ac:dyDescent="0.35">
      <c r="A77" s="110" t="s">
        <v>297</v>
      </c>
      <c r="B77" s="110" t="s">
        <v>28</v>
      </c>
      <c r="C77" s="110" t="b">
        <v>1</v>
      </c>
      <c r="D77" s="110" t="s">
        <v>26</v>
      </c>
      <c r="E77" s="110" t="s">
        <v>23</v>
      </c>
      <c r="F77" s="105" t="s">
        <v>331</v>
      </c>
      <c r="G77" s="118"/>
      <c r="H77" s="118">
        <v>0.14279750335131497</v>
      </c>
      <c r="I77" s="105" t="s">
        <v>236</v>
      </c>
      <c r="J77" s="105"/>
      <c r="K77" s="105"/>
      <c r="L77" s="105"/>
      <c r="M77" s="105"/>
    </row>
    <row r="78" spans="1:13" x14ac:dyDescent="0.35">
      <c r="A78" s="110" t="s">
        <v>297</v>
      </c>
      <c r="B78" s="110" t="s">
        <v>28</v>
      </c>
      <c r="C78" s="110" t="b">
        <v>0</v>
      </c>
      <c r="D78" s="110" t="s">
        <v>26</v>
      </c>
      <c r="E78" s="110" t="s">
        <v>24</v>
      </c>
      <c r="F78" s="105" t="s">
        <v>332</v>
      </c>
      <c r="G78" s="118"/>
      <c r="H78" s="118">
        <v>0.66185889847431112</v>
      </c>
      <c r="I78" s="105" t="s">
        <v>236</v>
      </c>
      <c r="J78" s="105"/>
      <c r="K78" s="105"/>
      <c r="L78" s="105"/>
      <c r="M78" s="105"/>
    </row>
    <row r="79" spans="1:13" x14ac:dyDescent="0.35">
      <c r="A79" s="110" t="s">
        <v>297</v>
      </c>
      <c r="B79" s="110" t="s">
        <v>33</v>
      </c>
      <c r="C79" s="110" t="b">
        <v>1</v>
      </c>
      <c r="D79" s="110" t="s">
        <v>58</v>
      </c>
      <c r="E79" s="110" t="s">
        <v>24</v>
      </c>
      <c r="F79" s="105" t="s">
        <v>333</v>
      </c>
      <c r="G79" s="118"/>
      <c r="H79" s="118">
        <v>0.26017441490178012</v>
      </c>
      <c r="I79" s="105" t="s">
        <v>334</v>
      </c>
      <c r="J79" s="105"/>
      <c r="K79" s="105">
        <v>0.26017441490178012</v>
      </c>
      <c r="L79" s="105"/>
      <c r="M79" s="105">
        <v>0.38843413762526247</v>
      </c>
    </row>
    <row r="80" spans="1:13" x14ac:dyDescent="0.35">
      <c r="A80" s="110" t="s">
        <v>297</v>
      </c>
      <c r="B80" s="110" t="s">
        <v>33</v>
      </c>
      <c r="C80" s="110" t="b">
        <v>1</v>
      </c>
      <c r="D80" s="110" t="s">
        <v>22</v>
      </c>
      <c r="E80" s="110" t="s">
        <v>23</v>
      </c>
      <c r="F80" s="105" t="s">
        <v>335</v>
      </c>
      <c r="G80" s="118"/>
      <c r="H80" s="118">
        <v>0.15112234192854432</v>
      </c>
      <c r="I80" s="105" t="s">
        <v>336</v>
      </c>
      <c r="J80" s="105"/>
      <c r="K80" s="105">
        <v>0.56100169873328787</v>
      </c>
      <c r="L80" s="105"/>
      <c r="M80" s="105"/>
    </row>
    <row r="81" spans="1:13" x14ac:dyDescent="0.35">
      <c r="A81" s="110" t="s">
        <v>297</v>
      </c>
      <c r="B81" s="110" t="s">
        <v>33</v>
      </c>
      <c r="C81" s="110" t="b">
        <v>1</v>
      </c>
      <c r="D81" s="110" t="s">
        <v>22</v>
      </c>
      <c r="E81" s="110" t="s">
        <v>24</v>
      </c>
      <c r="F81" s="105" t="s">
        <v>337</v>
      </c>
      <c r="G81" s="118"/>
      <c r="H81" s="118">
        <v>0.54678087868779701</v>
      </c>
      <c r="I81" s="105" t="s">
        <v>336</v>
      </c>
      <c r="J81" s="105"/>
      <c r="K81" s="105"/>
      <c r="L81" s="105"/>
      <c r="M81" s="105"/>
    </row>
    <row r="82" spans="1:13" x14ac:dyDescent="0.35">
      <c r="A82" s="110" t="s">
        <v>297</v>
      </c>
      <c r="B82" s="110" t="s">
        <v>33</v>
      </c>
      <c r="C82" s="110" t="b">
        <v>0</v>
      </c>
      <c r="D82" s="110" t="s">
        <v>22</v>
      </c>
      <c r="E82" s="110" t="s">
        <v>25</v>
      </c>
      <c r="F82" s="105" t="s">
        <v>338</v>
      </c>
      <c r="G82" s="118"/>
      <c r="H82" s="118">
        <v>0.98510187558352236</v>
      </c>
      <c r="I82" s="105" t="s">
        <v>336</v>
      </c>
      <c r="J82" s="105"/>
      <c r="K82" s="105"/>
      <c r="L82" s="105"/>
      <c r="M82" s="105"/>
    </row>
    <row r="83" spans="1:13" x14ac:dyDescent="0.35">
      <c r="A83" s="110" t="s">
        <v>297</v>
      </c>
      <c r="B83" s="110" t="s">
        <v>33</v>
      </c>
      <c r="C83" s="110" t="b">
        <v>0</v>
      </c>
      <c r="D83" s="110" t="s">
        <v>26</v>
      </c>
      <c r="E83" s="110" t="s">
        <v>23</v>
      </c>
      <c r="F83" s="105" t="s">
        <v>339</v>
      </c>
      <c r="G83" s="118"/>
      <c r="H83" s="118">
        <v>0.25402686487833392</v>
      </c>
      <c r="I83" s="105" t="s">
        <v>340</v>
      </c>
      <c r="J83" s="105"/>
      <c r="K83" s="105">
        <v>0.64437859898873751</v>
      </c>
      <c r="L83" s="105"/>
      <c r="M83" s="105"/>
    </row>
    <row r="84" spans="1:13" x14ac:dyDescent="0.35">
      <c r="A84" s="110" t="s">
        <v>297</v>
      </c>
      <c r="B84" s="110" t="s">
        <v>29</v>
      </c>
      <c r="C84" s="110" t="b">
        <v>1</v>
      </c>
      <c r="D84" s="110" t="s">
        <v>58</v>
      </c>
      <c r="E84" s="110" t="s">
        <v>24</v>
      </c>
      <c r="F84" s="105" t="s">
        <v>341</v>
      </c>
      <c r="G84" s="118"/>
      <c r="H84" s="118">
        <v>0.38480227309799309</v>
      </c>
      <c r="I84" s="105" t="s">
        <v>342</v>
      </c>
      <c r="J84" s="105"/>
      <c r="K84" s="105">
        <v>0.27037942349455557</v>
      </c>
      <c r="L84" s="105"/>
      <c r="M84" s="105">
        <v>0.69765188777285514</v>
      </c>
    </row>
    <row r="85" spans="1:13" x14ac:dyDescent="0.35">
      <c r="A85" s="110" t="s">
        <v>297</v>
      </c>
      <c r="B85" s="110" t="s">
        <v>29</v>
      </c>
      <c r="C85" s="110" t="b">
        <v>0</v>
      </c>
      <c r="D85" s="110" t="s">
        <v>22</v>
      </c>
      <c r="E85" s="110" t="s">
        <v>23</v>
      </c>
      <c r="F85" s="105" t="s">
        <v>343</v>
      </c>
      <c r="G85" s="118"/>
      <c r="H85" s="118">
        <v>0.3659399887139097</v>
      </c>
      <c r="I85" s="105" t="s">
        <v>344</v>
      </c>
      <c r="J85" s="105"/>
      <c r="K85" s="105">
        <v>0.86731625333187912</v>
      </c>
      <c r="L85" s="105"/>
      <c r="M85" s="105"/>
    </row>
    <row r="86" spans="1:13" x14ac:dyDescent="0.35">
      <c r="A86" s="110" t="s">
        <v>297</v>
      </c>
      <c r="B86" s="110" t="s">
        <v>29</v>
      </c>
      <c r="C86" s="110" t="b">
        <v>1</v>
      </c>
      <c r="D86" s="110" t="s">
        <v>22</v>
      </c>
      <c r="E86" s="110" t="s">
        <v>23</v>
      </c>
      <c r="F86" s="105" t="s">
        <v>345</v>
      </c>
      <c r="G86" s="118"/>
      <c r="H86" s="118">
        <v>0.35255492370739089</v>
      </c>
      <c r="I86" s="105" t="s">
        <v>344</v>
      </c>
      <c r="J86" s="105"/>
      <c r="K86" s="105"/>
      <c r="L86" s="105"/>
      <c r="M86" s="105"/>
    </row>
    <row r="87" spans="1:13" x14ac:dyDescent="0.35">
      <c r="A87" s="110" t="s">
        <v>297</v>
      </c>
      <c r="B87" s="110" t="s">
        <v>29</v>
      </c>
      <c r="C87" s="110" t="b">
        <v>0</v>
      </c>
      <c r="D87" s="110" t="s">
        <v>22</v>
      </c>
      <c r="E87" s="110" t="s">
        <v>24</v>
      </c>
      <c r="F87" s="105" t="s">
        <v>346</v>
      </c>
      <c r="G87" s="118"/>
      <c r="H87" s="118">
        <v>0.8111536471499694</v>
      </c>
      <c r="I87" s="105" t="s">
        <v>344</v>
      </c>
      <c r="J87" s="105"/>
      <c r="K87" s="105"/>
      <c r="L87" s="105"/>
      <c r="M87" s="105"/>
    </row>
    <row r="88" spans="1:13" x14ac:dyDescent="0.35">
      <c r="A88" s="110" t="s">
        <v>297</v>
      </c>
      <c r="B88" s="110" t="s">
        <v>29</v>
      </c>
      <c r="C88" s="110" t="b">
        <v>1</v>
      </c>
      <c r="D88" s="110" t="s">
        <v>22</v>
      </c>
      <c r="E88" s="110" t="s">
        <v>24</v>
      </c>
      <c r="F88" s="105" t="s">
        <v>347</v>
      </c>
      <c r="G88" s="118"/>
      <c r="H88" s="118">
        <v>0.74196499309114161</v>
      </c>
      <c r="I88" s="105" t="s">
        <v>344</v>
      </c>
      <c r="J88" s="105"/>
      <c r="K88" s="105"/>
      <c r="L88" s="105"/>
      <c r="M88" s="105"/>
    </row>
    <row r="89" spans="1:13" x14ac:dyDescent="0.35">
      <c r="A89" s="110" t="s">
        <v>297</v>
      </c>
      <c r="B89" s="110" t="s">
        <v>29</v>
      </c>
      <c r="C89" s="110" t="b">
        <v>0</v>
      </c>
      <c r="D89" s="110" t="s">
        <v>22</v>
      </c>
      <c r="E89" s="110" t="s">
        <v>25</v>
      </c>
      <c r="F89" s="105" t="s">
        <v>348</v>
      </c>
      <c r="G89" s="118"/>
      <c r="H89" s="118">
        <v>1.4248551241317582</v>
      </c>
      <c r="I89" s="105" t="s">
        <v>344</v>
      </c>
      <c r="J89" s="105"/>
      <c r="K89" s="105"/>
      <c r="L89" s="105"/>
      <c r="M89" s="105"/>
    </row>
    <row r="90" spans="1:13" x14ac:dyDescent="0.35">
      <c r="A90" s="110" t="s">
        <v>297</v>
      </c>
      <c r="B90" s="110" t="s">
        <v>29</v>
      </c>
      <c r="C90" s="110" t="b">
        <v>1</v>
      </c>
      <c r="D90" s="110" t="s">
        <v>22</v>
      </c>
      <c r="E90" s="110" t="s">
        <v>25</v>
      </c>
      <c r="F90" s="105" t="s">
        <v>349</v>
      </c>
      <c r="G90" s="118"/>
      <c r="H90" s="118">
        <v>1.3308354150300044</v>
      </c>
      <c r="I90" s="105" t="s">
        <v>344</v>
      </c>
      <c r="J90" s="105"/>
      <c r="K90" s="105"/>
      <c r="L90" s="105"/>
      <c r="M90" s="105"/>
    </row>
    <row r="91" spans="1:13" x14ac:dyDescent="0.35">
      <c r="A91" s="110" t="s">
        <v>297</v>
      </c>
      <c r="B91" s="110" t="s">
        <v>29</v>
      </c>
      <c r="C91" s="110" t="b">
        <v>1</v>
      </c>
      <c r="D91" s="110" t="s">
        <v>26</v>
      </c>
      <c r="E91" s="110" t="s">
        <v>23</v>
      </c>
      <c r="F91" s="105" t="s">
        <v>350</v>
      </c>
      <c r="G91" s="118"/>
      <c r="H91" s="118">
        <v>0.5173695293119196</v>
      </c>
      <c r="I91" s="105" t="s">
        <v>155</v>
      </c>
      <c r="J91" s="105"/>
      <c r="K91" s="105">
        <v>1.2963098755677083</v>
      </c>
      <c r="L91" s="105"/>
      <c r="M91" s="105"/>
    </row>
    <row r="92" spans="1:13" x14ac:dyDescent="0.35">
      <c r="A92" s="110" t="s">
        <v>297</v>
      </c>
      <c r="B92" s="110" t="s">
        <v>30</v>
      </c>
      <c r="C92" s="110" t="b">
        <v>1</v>
      </c>
      <c r="D92" s="110" t="s">
        <v>58</v>
      </c>
      <c r="E92" s="110" t="s">
        <v>23</v>
      </c>
      <c r="F92" s="105" t="s">
        <v>351</v>
      </c>
      <c r="G92" s="118"/>
      <c r="H92" s="118">
        <v>0.12006853234356803</v>
      </c>
      <c r="I92" s="105" t="s">
        <v>352</v>
      </c>
      <c r="J92" s="105"/>
      <c r="K92" s="105">
        <v>0.3969544614402909</v>
      </c>
      <c r="L92" s="105"/>
      <c r="M92" s="105">
        <v>0.35775460116545293</v>
      </c>
    </row>
    <row r="93" spans="1:13" x14ac:dyDescent="0.35">
      <c r="A93" s="110" t="s">
        <v>297</v>
      </c>
      <c r="B93" s="110" t="s">
        <v>30</v>
      </c>
      <c r="C93" s="110" t="b">
        <v>1</v>
      </c>
      <c r="D93" s="110" t="s">
        <v>58</v>
      </c>
      <c r="E93" s="110" t="s">
        <v>24</v>
      </c>
      <c r="F93" s="105" t="s">
        <v>353</v>
      </c>
      <c r="G93" s="118"/>
      <c r="H93" s="118">
        <v>0.21847063241835024</v>
      </c>
      <c r="I93" s="105" t="s">
        <v>352</v>
      </c>
      <c r="J93" s="105"/>
      <c r="K93" s="105"/>
      <c r="L93" s="105"/>
      <c r="M93" s="105"/>
    </row>
    <row r="94" spans="1:13" x14ac:dyDescent="0.35">
      <c r="A94" s="110" t="s">
        <v>297</v>
      </c>
      <c r="B94" s="110" t="s">
        <v>30</v>
      </c>
      <c r="C94" s="110" t="b">
        <v>0</v>
      </c>
      <c r="D94" s="110" t="s">
        <v>22</v>
      </c>
      <c r="E94" s="110" t="s">
        <v>23</v>
      </c>
      <c r="F94" s="105" t="s">
        <v>354</v>
      </c>
      <c r="G94" s="118"/>
      <c r="H94" s="118">
        <v>0.19329770799101531</v>
      </c>
      <c r="I94" s="105" t="s">
        <v>244</v>
      </c>
      <c r="J94" s="105"/>
      <c r="K94" s="105">
        <v>0.6111686068155513</v>
      </c>
      <c r="L94" s="105"/>
      <c r="M94" s="105"/>
    </row>
    <row r="95" spans="1:13" x14ac:dyDescent="0.35">
      <c r="A95" s="110" t="s">
        <v>297</v>
      </c>
      <c r="B95" s="110" t="s">
        <v>30</v>
      </c>
      <c r="C95" s="110" t="b">
        <v>1</v>
      </c>
      <c r="D95" s="110" t="s">
        <v>22</v>
      </c>
      <c r="E95" s="110" t="s">
        <v>23</v>
      </c>
      <c r="F95" s="105" t="s">
        <v>355</v>
      </c>
      <c r="G95" s="118"/>
      <c r="H95" s="118">
        <v>0.19125652765530649</v>
      </c>
      <c r="I95" s="105" t="s">
        <v>244</v>
      </c>
      <c r="J95" s="105"/>
      <c r="K95" s="105"/>
      <c r="L95" s="105"/>
      <c r="M95" s="105"/>
    </row>
    <row r="96" spans="1:13" x14ac:dyDescent="0.35">
      <c r="A96" s="110" t="s">
        <v>297</v>
      </c>
      <c r="B96" s="110" t="s">
        <v>30</v>
      </c>
      <c r="C96" s="110" t="b">
        <v>1</v>
      </c>
      <c r="D96" s="110" t="s">
        <v>22</v>
      </c>
      <c r="E96" s="110" t="s">
        <v>24</v>
      </c>
      <c r="F96" s="105" t="s">
        <v>356</v>
      </c>
      <c r="G96" s="118"/>
      <c r="H96" s="118">
        <v>0.38576543993362877</v>
      </c>
      <c r="I96" s="105" t="s">
        <v>244</v>
      </c>
      <c r="J96" s="105"/>
      <c r="K96" s="105"/>
      <c r="L96" s="105"/>
      <c r="M96" s="105"/>
    </row>
    <row r="97" spans="1:13" x14ac:dyDescent="0.35">
      <c r="A97" s="110" t="s">
        <v>297</v>
      </c>
      <c r="B97" s="110" t="s">
        <v>93</v>
      </c>
      <c r="C97" s="110" t="b">
        <v>1</v>
      </c>
      <c r="D97" s="110" t="s">
        <v>58</v>
      </c>
      <c r="E97" s="110" t="s">
        <v>23</v>
      </c>
      <c r="F97" s="105" t="s">
        <v>357</v>
      </c>
      <c r="G97" s="118"/>
      <c r="H97" s="118">
        <v>5.9176472727217766E-2</v>
      </c>
      <c r="I97" s="105" t="s">
        <v>358</v>
      </c>
      <c r="J97" s="105"/>
      <c r="K97" s="105">
        <v>6.5437749578275695E-2</v>
      </c>
      <c r="L97" s="105"/>
      <c r="M97" s="105">
        <v>0.17473576375507843</v>
      </c>
    </row>
    <row r="98" spans="1:13" x14ac:dyDescent="0.35">
      <c r="A98" s="110" t="s">
        <v>297</v>
      </c>
      <c r="B98" s="110" t="s">
        <v>93</v>
      </c>
      <c r="C98" s="110" t="b">
        <v>1</v>
      </c>
      <c r="D98" s="110" t="s">
        <v>58</v>
      </c>
      <c r="E98" s="110" t="s">
        <v>24</v>
      </c>
      <c r="F98" s="105" t="s">
        <v>359</v>
      </c>
      <c r="G98" s="118"/>
      <c r="H98" s="118">
        <v>7.1699026429333637E-2</v>
      </c>
      <c r="I98" s="105" t="s">
        <v>358</v>
      </c>
      <c r="J98" s="105"/>
      <c r="K98" s="105"/>
      <c r="L98" s="105"/>
      <c r="M98" s="105"/>
    </row>
    <row r="99" spans="1:13" x14ac:dyDescent="0.35">
      <c r="A99" s="110" t="s">
        <v>297</v>
      </c>
      <c r="B99" s="110" t="s">
        <v>93</v>
      </c>
      <c r="C99" s="110" t="b">
        <v>0</v>
      </c>
      <c r="D99" s="110" t="s">
        <v>22</v>
      </c>
      <c r="E99" s="110" t="s">
        <v>23</v>
      </c>
      <c r="F99" s="105" t="s">
        <v>360</v>
      </c>
      <c r="G99" s="118"/>
      <c r="H99" s="118">
        <v>0.10202590985247978</v>
      </c>
      <c r="I99" s="105" t="s">
        <v>247</v>
      </c>
      <c r="J99" s="105"/>
      <c r="K99" s="105">
        <v>0.31247606075183892</v>
      </c>
      <c r="L99" s="105"/>
      <c r="M99" s="105"/>
    </row>
    <row r="100" spans="1:13" x14ac:dyDescent="0.35">
      <c r="A100" s="110" t="s">
        <v>297</v>
      </c>
      <c r="B100" s="110" t="s">
        <v>93</v>
      </c>
      <c r="C100" s="110" t="b">
        <v>1</v>
      </c>
      <c r="D100" s="110" t="s">
        <v>22</v>
      </c>
      <c r="E100" s="110" t="s">
        <v>23</v>
      </c>
      <c r="F100" s="105" t="s">
        <v>361</v>
      </c>
      <c r="G100" s="118"/>
      <c r="H100" s="118">
        <v>0.10202578871559825</v>
      </c>
      <c r="I100" s="105" t="s">
        <v>247</v>
      </c>
      <c r="J100" s="105"/>
      <c r="K100" s="105"/>
      <c r="L100" s="105"/>
      <c r="M100" s="105"/>
    </row>
    <row r="101" spans="1:13" x14ac:dyDescent="0.35">
      <c r="A101" s="110" t="s">
        <v>297</v>
      </c>
      <c r="B101" s="110" t="s">
        <v>93</v>
      </c>
      <c r="C101" s="110" t="b">
        <v>0</v>
      </c>
      <c r="D101" s="110" t="s">
        <v>22</v>
      </c>
      <c r="E101" s="110" t="s">
        <v>24</v>
      </c>
      <c r="F101" s="105" t="s">
        <v>362</v>
      </c>
      <c r="G101" s="118"/>
      <c r="H101" s="118">
        <v>0.11679086896553439</v>
      </c>
      <c r="I101" s="105" t="s">
        <v>247</v>
      </c>
      <c r="J101" s="105"/>
      <c r="K101" s="105"/>
      <c r="L101" s="105"/>
      <c r="M101" s="105"/>
    </row>
    <row r="102" spans="1:13" x14ac:dyDescent="0.35">
      <c r="A102" s="110" t="s">
        <v>297</v>
      </c>
      <c r="B102" s="110" t="s">
        <v>93</v>
      </c>
      <c r="C102" s="110" t="b">
        <v>1</v>
      </c>
      <c r="D102" s="110" t="s">
        <v>22</v>
      </c>
      <c r="E102" s="110" t="s">
        <v>24</v>
      </c>
      <c r="F102" s="105" t="s">
        <v>363</v>
      </c>
      <c r="G102" s="118"/>
      <c r="H102" s="118">
        <v>0.11679071867428391</v>
      </c>
      <c r="I102" s="105" t="s">
        <v>247</v>
      </c>
      <c r="J102" s="105"/>
      <c r="K102" s="105"/>
      <c r="L102" s="105"/>
      <c r="M102" s="105"/>
    </row>
    <row r="103" spans="1:13" x14ac:dyDescent="0.35">
      <c r="A103" s="110" t="s">
        <v>297</v>
      </c>
      <c r="B103" s="110" t="s">
        <v>93</v>
      </c>
      <c r="C103" s="110" t="b">
        <v>0</v>
      </c>
      <c r="D103" s="110" t="s">
        <v>22</v>
      </c>
      <c r="E103" s="110" t="s">
        <v>25</v>
      </c>
      <c r="F103" s="105" t="s">
        <v>364</v>
      </c>
      <c r="G103" s="118"/>
      <c r="H103" s="118">
        <v>0.71861140343750252</v>
      </c>
      <c r="I103" s="105" t="s">
        <v>247</v>
      </c>
      <c r="J103" s="105"/>
      <c r="K103" s="105"/>
      <c r="L103" s="105"/>
      <c r="M103" s="105"/>
    </row>
    <row r="104" spans="1:13" x14ac:dyDescent="0.35">
      <c r="A104" s="110" t="s">
        <v>297</v>
      </c>
      <c r="B104" s="110" t="s">
        <v>93</v>
      </c>
      <c r="C104" s="110" t="b">
        <v>0</v>
      </c>
      <c r="D104" s="110" t="s">
        <v>26</v>
      </c>
      <c r="E104" s="110" t="s">
        <v>23</v>
      </c>
      <c r="F104" s="105" t="s">
        <v>365</v>
      </c>
      <c r="G104" s="118"/>
      <c r="H104" s="118">
        <v>0.15735134568557096</v>
      </c>
      <c r="I104" s="105" t="s">
        <v>169</v>
      </c>
      <c r="J104" s="105"/>
      <c r="K104" s="105">
        <v>0.3513596252382763</v>
      </c>
      <c r="L104" s="105"/>
      <c r="M104" s="105"/>
    </row>
    <row r="105" spans="1:13" x14ac:dyDescent="0.35">
      <c r="A105" s="110" t="s">
        <v>297</v>
      </c>
      <c r="B105" s="110" t="s">
        <v>93</v>
      </c>
      <c r="C105" s="110" t="b">
        <v>0</v>
      </c>
      <c r="D105" s="110" t="s">
        <v>26</v>
      </c>
      <c r="E105" s="110" t="s">
        <v>24</v>
      </c>
      <c r="F105" s="105" t="s">
        <v>366</v>
      </c>
      <c r="G105" s="118"/>
      <c r="H105" s="118">
        <v>0.1877988080689415</v>
      </c>
      <c r="I105" s="105" t="s">
        <v>169</v>
      </c>
      <c r="J105" s="105"/>
      <c r="K105" s="105"/>
      <c r="L105" s="105"/>
      <c r="M105" s="105"/>
    </row>
    <row r="106" spans="1:13" x14ac:dyDescent="0.35">
      <c r="A106" s="110" t="s">
        <v>297</v>
      </c>
      <c r="B106" s="110" t="s">
        <v>31</v>
      </c>
      <c r="C106" s="110" t="b">
        <v>1</v>
      </c>
      <c r="D106" s="110" t="s">
        <v>58</v>
      </c>
      <c r="E106" s="110" t="s">
        <v>23</v>
      </c>
      <c r="F106" s="105" t="s">
        <v>367</v>
      </c>
      <c r="G106" s="118"/>
      <c r="H106" s="118">
        <v>7.3302234261812468E-2</v>
      </c>
      <c r="I106" s="105" t="s">
        <v>368</v>
      </c>
      <c r="J106" s="105"/>
      <c r="K106" s="105">
        <v>0.24973885625282657</v>
      </c>
      <c r="L106" s="105"/>
      <c r="M106" s="105">
        <v>0.35669908558652574</v>
      </c>
    </row>
    <row r="107" spans="1:13" x14ac:dyDescent="0.35">
      <c r="A107" s="110" t="s">
        <v>297</v>
      </c>
      <c r="B107" s="110" t="s">
        <v>31</v>
      </c>
      <c r="C107" s="110" t="b">
        <v>1</v>
      </c>
      <c r="D107" s="110" t="s">
        <v>58</v>
      </c>
      <c r="E107" s="110" t="s">
        <v>24</v>
      </c>
      <c r="F107" s="105" t="s">
        <v>369</v>
      </c>
      <c r="G107" s="118"/>
      <c r="H107" s="118">
        <v>0.12422986207146063</v>
      </c>
      <c r="I107" s="105" t="s">
        <v>368</v>
      </c>
      <c r="J107" s="105"/>
      <c r="K107" s="105"/>
      <c r="L107" s="105"/>
      <c r="M107" s="105"/>
    </row>
    <row r="108" spans="1:13" x14ac:dyDescent="0.35">
      <c r="A108" s="110" t="s">
        <v>297</v>
      </c>
      <c r="B108" s="110" t="s">
        <v>31</v>
      </c>
      <c r="C108" s="110" t="b">
        <v>0</v>
      </c>
      <c r="D108" s="110" t="s">
        <v>22</v>
      </c>
      <c r="E108" s="110" t="s">
        <v>23</v>
      </c>
      <c r="F108" s="105" t="s">
        <v>370</v>
      </c>
      <c r="G108" s="118"/>
      <c r="H108" s="118">
        <v>0.12649478706653108</v>
      </c>
      <c r="I108" s="105" t="s">
        <v>249</v>
      </c>
      <c r="J108" s="105"/>
      <c r="K108" s="105">
        <v>0.40791259995052814</v>
      </c>
      <c r="L108" s="105"/>
      <c r="M108" s="105"/>
    </row>
    <row r="109" spans="1:13" x14ac:dyDescent="0.35">
      <c r="A109" s="110" t="s">
        <v>297</v>
      </c>
      <c r="B109" s="110" t="s">
        <v>31</v>
      </c>
      <c r="C109" s="110" t="b">
        <v>1</v>
      </c>
      <c r="D109" s="110" t="s">
        <v>22</v>
      </c>
      <c r="E109" s="110" t="s">
        <v>23</v>
      </c>
      <c r="F109" s="105" t="s">
        <v>371</v>
      </c>
      <c r="G109" s="118"/>
      <c r="H109" s="118">
        <v>0.12649455935680207</v>
      </c>
      <c r="I109" s="105" t="s">
        <v>249</v>
      </c>
      <c r="J109" s="105"/>
      <c r="K109" s="105"/>
      <c r="L109" s="105"/>
      <c r="M109" s="105"/>
    </row>
    <row r="110" spans="1:13" x14ac:dyDescent="0.35">
      <c r="A110" s="110" t="s">
        <v>297</v>
      </c>
      <c r="B110" s="110" t="s">
        <v>31</v>
      </c>
      <c r="C110" s="110" t="b">
        <v>0</v>
      </c>
      <c r="D110" s="110" t="s">
        <v>22</v>
      </c>
      <c r="E110" s="110" t="s">
        <v>24</v>
      </c>
      <c r="F110" s="105" t="s">
        <v>372</v>
      </c>
      <c r="G110" s="118"/>
      <c r="H110" s="118">
        <v>0.22038827305147934</v>
      </c>
      <c r="I110" s="105" t="s">
        <v>249</v>
      </c>
      <c r="J110" s="105"/>
      <c r="K110" s="105"/>
      <c r="L110" s="105"/>
      <c r="M110" s="105"/>
    </row>
    <row r="111" spans="1:13" x14ac:dyDescent="0.35">
      <c r="A111" s="110" t="s">
        <v>297</v>
      </c>
      <c r="B111" s="110" t="s">
        <v>31</v>
      </c>
      <c r="C111" s="110" t="b">
        <v>1</v>
      </c>
      <c r="D111" s="110" t="s">
        <v>22</v>
      </c>
      <c r="E111" s="110" t="s">
        <v>24</v>
      </c>
      <c r="F111" s="105" t="s">
        <v>373</v>
      </c>
      <c r="G111" s="118"/>
      <c r="H111" s="118">
        <v>0.2203879905381812</v>
      </c>
      <c r="I111" s="105" t="s">
        <v>249</v>
      </c>
      <c r="J111" s="105"/>
      <c r="K111" s="105"/>
      <c r="L111" s="105"/>
      <c r="M111" s="105"/>
    </row>
    <row r="112" spans="1:13" x14ac:dyDescent="0.35">
      <c r="A112" s="110" t="s">
        <v>297</v>
      </c>
      <c r="B112" s="110" t="s">
        <v>31</v>
      </c>
      <c r="C112" s="110" t="b">
        <v>0</v>
      </c>
      <c r="D112" s="110" t="s">
        <v>22</v>
      </c>
      <c r="E112" s="110" t="s">
        <v>25</v>
      </c>
      <c r="F112" s="105" t="s">
        <v>374</v>
      </c>
      <c r="G112" s="118"/>
      <c r="H112" s="118">
        <v>0.87685473973357386</v>
      </c>
      <c r="I112" s="105" t="s">
        <v>249</v>
      </c>
      <c r="J112" s="105"/>
      <c r="K112" s="105"/>
      <c r="L112" s="105"/>
      <c r="M112" s="105"/>
    </row>
    <row r="113" spans="1:13" x14ac:dyDescent="0.35">
      <c r="A113" s="110" t="s">
        <v>297</v>
      </c>
      <c r="B113" s="110" t="s">
        <v>31</v>
      </c>
      <c r="C113" s="110" t="b">
        <v>1</v>
      </c>
      <c r="D113" s="110" t="s">
        <v>22</v>
      </c>
      <c r="E113" s="110" t="s">
        <v>25</v>
      </c>
      <c r="F113" s="105" t="s">
        <v>375</v>
      </c>
      <c r="G113" s="118"/>
      <c r="H113" s="118">
        <v>0.87682529854483982</v>
      </c>
      <c r="I113" s="105" t="s">
        <v>249</v>
      </c>
      <c r="J113" s="105"/>
      <c r="K113" s="105"/>
      <c r="L113" s="105"/>
      <c r="M113" s="105"/>
    </row>
    <row r="114" spans="1:13" x14ac:dyDescent="0.35">
      <c r="A114" s="110" t="s">
        <v>297</v>
      </c>
      <c r="B114" s="110" t="s">
        <v>31</v>
      </c>
      <c r="C114" s="110" t="b">
        <v>0</v>
      </c>
      <c r="D114" s="110" t="s">
        <v>26</v>
      </c>
      <c r="E114" s="110" t="s">
        <v>23</v>
      </c>
      <c r="F114" s="105" t="s">
        <v>376</v>
      </c>
      <c r="G114" s="118"/>
      <c r="H114" s="118">
        <v>0.19425737937480042</v>
      </c>
      <c r="I114" s="105" t="s">
        <v>157</v>
      </c>
      <c r="J114" s="105"/>
      <c r="K114" s="105">
        <v>0.65096143963645392</v>
      </c>
      <c r="L114" s="105"/>
      <c r="M114" s="105"/>
    </row>
    <row r="115" spans="1:13" x14ac:dyDescent="0.35">
      <c r="A115" s="110" t="s">
        <v>297</v>
      </c>
      <c r="B115" s="110" t="s">
        <v>31</v>
      </c>
      <c r="C115" s="110" t="b">
        <v>1</v>
      </c>
      <c r="D115" s="110" t="s">
        <v>26</v>
      </c>
      <c r="E115" s="110" t="s">
        <v>23</v>
      </c>
      <c r="F115" s="105" t="s">
        <v>377</v>
      </c>
      <c r="G115" s="118"/>
      <c r="H115" s="118">
        <v>0.19425708861190838</v>
      </c>
      <c r="I115" s="105" t="s">
        <v>157</v>
      </c>
      <c r="J115" s="105"/>
      <c r="K115" s="105"/>
      <c r="L115" s="105"/>
      <c r="M115" s="105"/>
    </row>
    <row r="116" spans="1:13" x14ac:dyDescent="0.35">
      <c r="A116" s="110" t="s">
        <v>297</v>
      </c>
      <c r="B116" s="110" t="s">
        <v>31</v>
      </c>
      <c r="C116" s="110" t="b">
        <v>0</v>
      </c>
      <c r="D116" s="110" t="s">
        <v>26</v>
      </c>
      <c r="E116" s="110" t="s">
        <v>24</v>
      </c>
      <c r="F116" s="105" t="s">
        <v>378</v>
      </c>
      <c r="G116" s="118"/>
      <c r="H116" s="118">
        <v>0.37656989363963755</v>
      </c>
      <c r="I116" s="105" t="s">
        <v>157</v>
      </c>
      <c r="J116" s="105"/>
      <c r="K116" s="105"/>
      <c r="L116" s="105"/>
      <c r="M116" s="105"/>
    </row>
    <row r="117" spans="1:13" x14ac:dyDescent="0.35">
      <c r="A117" s="110" t="s">
        <v>297</v>
      </c>
      <c r="B117" s="110" t="s">
        <v>32</v>
      </c>
      <c r="C117" s="110" t="b">
        <v>1</v>
      </c>
      <c r="D117" s="110" t="s">
        <v>58</v>
      </c>
      <c r="E117" s="110" t="s">
        <v>23</v>
      </c>
      <c r="F117" s="105" t="s">
        <v>379</v>
      </c>
      <c r="G117" s="118"/>
      <c r="H117" s="118">
        <v>6.7131863150048043E-2</v>
      </c>
      <c r="I117" s="105" t="s">
        <v>380</v>
      </c>
      <c r="J117" s="105"/>
      <c r="K117" s="105">
        <v>0.29875698526154698</v>
      </c>
      <c r="L117" s="105"/>
      <c r="M117" s="105">
        <v>0.49962573565387952</v>
      </c>
    </row>
    <row r="118" spans="1:13" x14ac:dyDescent="0.35">
      <c r="A118" s="110" t="s">
        <v>297</v>
      </c>
      <c r="B118" s="110" t="s">
        <v>32</v>
      </c>
      <c r="C118" s="110" t="b">
        <v>1</v>
      </c>
      <c r="D118" s="110" t="s">
        <v>58</v>
      </c>
      <c r="E118" s="110" t="s">
        <v>24</v>
      </c>
      <c r="F118" s="105" t="s">
        <v>381</v>
      </c>
      <c r="G118" s="118"/>
      <c r="H118" s="118">
        <v>0.23598960942863326</v>
      </c>
      <c r="I118" s="105" t="s">
        <v>380</v>
      </c>
      <c r="J118" s="105"/>
      <c r="K118" s="105"/>
      <c r="L118" s="105"/>
      <c r="M118" s="105"/>
    </row>
    <row r="119" spans="1:13" x14ac:dyDescent="0.35">
      <c r="A119" s="110" t="s">
        <v>297</v>
      </c>
      <c r="B119" s="110" t="s">
        <v>32</v>
      </c>
      <c r="C119" s="110" t="b">
        <v>0</v>
      </c>
      <c r="D119" s="110" t="s">
        <v>22</v>
      </c>
      <c r="E119" s="110" t="s">
        <v>23</v>
      </c>
      <c r="F119" s="105" t="s">
        <v>382</v>
      </c>
      <c r="G119" s="118"/>
      <c r="H119" s="118">
        <v>0.14975067549617108</v>
      </c>
      <c r="I119" s="105" t="s">
        <v>383</v>
      </c>
      <c r="J119" s="105"/>
      <c r="K119" s="105">
        <v>0.54729223640326774</v>
      </c>
      <c r="L119" s="105"/>
      <c r="M119" s="105"/>
    </row>
    <row r="120" spans="1:13" x14ac:dyDescent="0.35">
      <c r="A120" s="110" t="s">
        <v>297</v>
      </c>
      <c r="B120" s="110" t="s">
        <v>32</v>
      </c>
      <c r="C120" s="110" t="b">
        <v>1</v>
      </c>
      <c r="D120" s="110" t="s">
        <v>22</v>
      </c>
      <c r="E120" s="110" t="s">
        <v>23</v>
      </c>
      <c r="F120" s="105" t="s">
        <v>384</v>
      </c>
      <c r="G120" s="118"/>
      <c r="H120" s="118">
        <v>0.14933887308741006</v>
      </c>
      <c r="I120" s="105" t="s">
        <v>383</v>
      </c>
      <c r="J120" s="105"/>
      <c r="K120" s="105"/>
      <c r="L120" s="105"/>
      <c r="M120" s="105"/>
    </row>
    <row r="121" spans="1:13" x14ac:dyDescent="0.35">
      <c r="A121" s="110" t="s">
        <v>297</v>
      </c>
      <c r="B121" s="110" t="s">
        <v>32</v>
      </c>
      <c r="C121" s="110" t="b">
        <v>0</v>
      </c>
      <c r="D121" s="110" t="s">
        <v>22</v>
      </c>
      <c r="E121" s="110" t="s">
        <v>24</v>
      </c>
      <c r="F121" s="105" t="s">
        <v>385</v>
      </c>
      <c r="G121" s="118"/>
      <c r="H121" s="118">
        <v>0.50086284255158997</v>
      </c>
      <c r="I121" s="105" t="s">
        <v>383</v>
      </c>
      <c r="J121" s="105"/>
      <c r="K121" s="105"/>
      <c r="L121" s="105"/>
      <c r="M121" s="105"/>
    </row>
    <row r="122" spans="1:13" x14ac:dyDescent="0.35">
      <c r="A122" s="110" t="s">
        <v>297</v>
      </c>
      <c r="B122" s="110" t="s">
        <v>32</v>
      </c>
      <c r="C122" s="110" t="b">
        <v>1</v>
      </c>
      <c r="D122" s="110" t="s">
        <v>22</v>
      </c>
      <c r="E122" s="110" t="s">
        <v>24</v>
      </c>
      <c r="F122" s="105" t="s">
        <v>386</v>
      </c>
      <c r="G122" s="118"/>
      <c r="H122" s="118">
        <v>0.49877985582030404</v>
      </c>
      <c r="I122" s="105" t="s">
        <v>383</v>
      </c>
      <c r="J122" s="105"/>
      <c r="K122" s="105"/>
      <c r="L122" s="105"/>
      <c r="M122" s="105"/>
    </row>
    <row r="123" spans="1:13" x14ac:dyDescent="0.35">
      <c r="A123" s="110" t="s">
        <v>297</v>
      </c>
      <c r="B123" s="110" t="s">
        <v>32</v>
      </c>
      <c r="C123" s="110" t="b">
        <v>0</v>
      </c>
      <c r="D123" s="110" t="s">
        <v>22</v>
      </c>
      <c r="E123" s="110" t="s">
        <v>25</v>
      </c>
      <c r="F123" s="105" t="s">
        <v>387</v>
      </c>
      <c r="G123" s="118"/>
      <c r="H123" s="118">
        <v>0.99126319116204209</v>
      </c>
      <c r="I123" s="105" t="s">
        <v>383</v>
      </c>
      <c r="J123" s="105"/>
      <c r="K123" s="105"/>
      <c r="L123" s="105"/>
      <c r="M123" s="105"/>
    </row>
    <row r="124" spans="1:13" x14ac:dyDescent="0.35">
      <c r="A124" s="110" t="s">
        <v>297</v>
      </c>
      <c r="B124" s="110" t="s">
        <v>32</v>
      </c>
      <c r="C124" s="110" t="b">
        <v>1</v>
      </c>
      <c r="D124" s="110" t="s">
        <v>22</v>
      </c>
      <c r="E124" s="110" t="s">
        <v>25</v>
      </c>
      <c r="F124" s="105" t="s">
        <v>388</v>
      </c>
      <c r="G124" s="118"/>
      <c r="H124" s="118">
        <v>0.98675743342474675</v>
      </c>
      <c r="I124" s="105" t="s">
        <v>383</v>
      </c>
      <c r="J124" s="105"/>
      <c r="K124" s="105"/>
      <c r="L124" s="105"/>
      <c r="M124" s="105"/>
    </row>
    <row r="125" spans="1:13" x14ac:dyDescent="0.35">
      <c r="A125" s="110" t="s">
        <v>297</v>
      </c>
      <c r="B125" s="110" t="s">
        <v>32</v>
      </c>
      <c r="C125" s="110" t="b">
        <v>0</v>
      </c>
      <c r="D125" s="110" t="s">
        <v>26</v>
      </c>
      <c r="E125" s="110" t="s">
        <v>23</v>
      </c>
      <c r="F125" s="105" t="s">
        <v>389</v>
      </c>
      <c r="G125" s="118"/>
      <c r="H125" s="118">
        <v>0.24773744842436873</v>
      </c>
      <c r="I125" s="105" t="s">
        <v>158</v>
      </c>
      <c r="J125" s="105"/>
      <c r="K125" s="105">
        <v>0.92312802318734233</v>
      </c>
      <c r="L125" s="105"/>
      <c r="M125" s="105"/>
    </row>
    <row r="126" spans="1:13" x14ac:dyDescent="0.35">
      <c r="A126" s="110" t="s">
        <v>297</v>
      </c>
      <c r="B126" s="110" t="s">
        <v>32</v>
      </c>
      <c r="C126" s="110" t="b">
        <v>1</v>
      </c>
      <c r="D126" s="110" t="s">
        <v>26</v>
      </c>
      <c r="E126" s="110" t="s">
        <v>23</v>
      </c>
      <c r="F126" s="105" t="s">
        <v>390</v>
      </c>
      <c r="G126" s="118"/>
      <c r="H126" s="118">
        <v>0.24723575486481378</v>
      </c>
      <c r="I126" s="105" t="s">
        <v>158</v>
      </c>
      <c r="J126" s="105"/>
      <c r="K126" s="105"/>
      <c r="L126" s="105"/>
      <c r="M126" s="105"/>
    </row>
    <row r="127" spans="1:13" x14ac:dyDescent="0.35">
      <c r="A127" s="110" t="s">
        <v>297</v>
      </c>
      <c r="B127" s="110" t="s">
        <v>32</v>
      </c>
      <c r="C127" s="110" t="b">
        <v>0</v>
      </c>
      <c r="D127" s="110" t="s">
        <v>26</v>
      </c>
      <c r="E127" s="110" t="s">
        <v>24</v>
      </c>
      <c r="F127" s="105" t="s">
        <v>391</v>
      </c>
      <c r="G127" s="118"/>
      <c r="H127" s="118">
        <v>0.9292404246010979</v>
      </c>
      <c r="I127" s="105" t="s">
        <v>158</v>
      </c>
      <c r="J127" s="105"/>
      <c r="K127" s="105"/>
      <c r="L127" s="105"/>
      <c r="M127" s="105"/>
    </row>
    <row r="128" spans="1:13" x14ac:dyDescent="0.35">
      <c r="A128" s="110" t="s">
        <v>392</v>
      </c>
      <c r="B128" s="110" t="s">
        <v>21</v>
      </c>
      <c r="C128" s="110" t="b">
        <v>1</v>
      </c>
      <c r="D128" s="110" t="s">
        <v>58</v>
      </c>
      <c r="E128" s="110" t="s">
        <v>23</v>
      </c>
      <c r="F128" s="105" t="s">
        <v>393</v>
      </c>
      <c r="G128" s="118"/>
      <c r="H128" s="118">
        <v>5.000716255954861E-2</v>
      </c>
      <c r="I128" s="105" t="s">
        <v>299</v>
      </c>
      <c r="J128" s="105"/>
      <c r="K128" s="105">
        <v>0.28518910883724186</v>
      </c>
      <c r="L128" s="105"/>
      <c r="M128" s="105"/>
    </row>
    <row r="129" spans="1:13" x14ac:dyDescent="0.35">
      <c r="A129" s="110" t="s">
        <v>392</v>
      </c>
      <c r="B129" s="110" t="s">
        <v>21</v>
      </c>
      <c r="C129" s="110" t="b">
        <v>1</v>
      </c>
      <c r="D129" s="110" t="s">
        <v>58</v>
      </c>
      <c r="E129" s="110" t="s">
        <v>24</v>
      </c>
      <c r="F129" s="105" t="s">
        <v>394</v>
      </c>
      <c r="G129" s="118"/>
      <c r="H129" s="118">
        <v>0.29796461028265736</v>
      </c>
      <c r="I129" s="105" t="s">
        <v>299</v>
      </c>
      <c r="J129" s="105"/>
      <c r="K129" s="105"/>
      <c r="L129" s="105"/>
      <c r="M129" s="105"/>
    </row>
    <row r="130" spans="1:13" x14ac:dyDescent="0.35">
      <c r="A130" s="110" t="s">
        <v>392</v>
      </c>
      <c r="B130" s="110" t="s">
        <v>21</v>
      </c>
      <c r="C130" s="110" t="b">
        <v>1</v>
      </c>
      <c r="D130" s="110" t="s">
        <v>58</v>
      </c>
      <c r="E130" s="110" t="s">
        <v>25</v>
      </c>
      <c r="F130" s="105" t="s">
        <v>395</v>
      </c>
      <c r="G130" s="118"/>
      <c r="H130" s="118">
        <v>0.50759555366951969</v>
      </c>
      <c r="I130" s="105" t="s">
        <v>299</v>
      </c>
      <c r="J130" s="105"/>
      <c r="K130" s="105"/>
      <c r="L130" s="105"/>
      <c r="M130" s="105"/>
    </row>
    <row r="131" spans="1:13" x14ac:dyDescent="0.35">
      <c r="A131" s="110" t="s">
        <v>392</v>
      </c>
      <c r="B131" s="110" t="s">
        <v>21</v>
      </c>
      <c r="C131" s="110" t="b">
        <v>0</v>
      </c>
      <c r="D131" s="110" t="s">
        <v>22</v>
      </c>
      <c r="E131" s="110" t="s">
        <v>23</v>
      </c>
      <c r="F131" s="105" t="s">
        <v>396</v>
      </c>
      <c r="G131" s="118"/>
      <c r="H131" s="118">
        <v>0.13271074500404542</v>
      </c>
      <c r="I131" s="105" t="s">
        <v>302</v>
      </c>
      <c r="J131" s="105"/>
      <c r="K131" s="105">
        <v>0.55871249360260411</v>
      </c>
      <c r="L131" s="105"/>
      <c r="M131" s="105"/>
    </row>
    <row r="132" spans="1:13" x14ac:dyDescent="0.35">
      <c r="A132" s="110" t="s">
        <v>392</v>
      </c>
      <c r="B132" s="110" t="s">
        <v>21</v>
      </c>
      <c r="C132" s="110" t="b">
        <v>1</v>
      </c>
      <c r="D132" s="110" t="s">
        <v>22</v>
      </c>
      <c r="E132" s="110" t="s">
        <v>23</v>
      </c>
      <c r="F132" s="105" t="s">
        <v>397</v>
      </c>
      <c r="G132" s="118"/>
      <c r="H132" s="118">
        <v>0.1326992617466865</v>
      </c>
      <c r="I132" s="105" t="s">
        <v>302</v>
      </c>
      <c r="J132" s="105"/>
      <c r="K132" s="105"/>
      <c r="L132" s="105"/>
      <c r="M132" s="105"/>
    </row>
    <row r="133" spans="1:13" x14ac:dyDescent="0.35">
      <c r="A133" s="110" t="s">
        <v>392</v>
      </c>
      <c r="B133" s="110" t="s">
        <v>21</v>
      </c>
      <c r="C133" s="110" t="b">
        <v>0</v>
      </c>
      <c r="D133" s="110" t="s">
        <v>22</v>
      </c>
      <c r="E133" s="110" t="s">
        <v>24</v>
      </c>
      <c r="F133" s="105" t="s">
        <v>398</v>
      </c>
      <c r="G133" s="118"/>
      <c r="H133" s="118">
        <v>0.64525301730995055</v>
      </c>
      <c r="I133" s="105" t="s">
        <v>302</v>
      </c>
      <c r="J133" s="105"/>
      <c r="K133" s="105"/>
      <c r="L133" s="105"/>
      <c r="M133" s="105"/>
    </row>
    <row r="134" spans="1:13" x14ac:dyDescent="0.35">
      <c r="A134" s="110" t="s">
        <v>392</v>
      </c>
      <c r="B134" s="110" t="s">
        <v>21</v>
      </c>
      <c r="C134" s="110" t="b">
        <v>1</v>
      </c>
      <c r="D134" s="110" t="s">
        <v>22</v>
      </c>
      <c r="E134" s="110" t="s">
        <v>24</v>
      </c>
      <c r="F134" s="105" t="s">
        <v>399</v>
      </c>
      <c r="G134" s="118"/>
      <c r="H134" s="118">
        <v>0.64519173438810196</v>
      </c>
      <c r="I134" s="105" t="s">
        <v>302</v>
      </c>
      <c r="J134" s="105"/>
      <c r="K134" s="105"/>
      <c r="L134" s="105"/>
      <c r="M134" s="105"/>
    </row>
    <row r="135" spans="1:13" x14ac:dyDescent="0.35">
      <c r="A135" s="110" t="s">
        <v>392</v>
      </c>
      <c r="B135" s="110" t="s">
        <v>21</v>
      </c>
      <c r="C135" s="110" t="b">
        <v>0</v>
      </c>
      <c r="D135" s="110" t="s">
        <v>22</v>
      </c>
      <c r="E135" s="110" t="s">
        <v>25</v>
      </c>
      <c r="F135" s="105" t="s">
        <v>400</v>
      </c>
      <c r="G135" s="118"/>
      <c r="H135" s="118">
        <v>0.89817371849381644</v>
      </c>
      <c r="I135" s="105" t="s">
        <v>302</v>
      </c>
      <c r="J135" s="105"/>
      <c r="K135" s="105"/>
      <c r="L135" s="105"/>
      <c r="M135" s="105"/>
    </row>
    <row r="136" spans="1:13" x14ac:dyDescent="0.35">
      <c r="A136" s="110" t="s">
        <v>392</v>
      </c>
      <c r="B136" s="110" t="s">
        <v>21</v>
      </c>
      <c r="C136" s="110" t="b">
        <v>1</v>
      </c>
      <c r="D136" s="110" t="s">
        <v>22</v>
      </c>
      <c r="E136" s="110" t="s">
        <v>25</v>
      </c>
      <c r="F136" s="105" t="s">
        <v>401</v>
      </c>
      <c r="G136" s="118"/>
      <c r="H136" s="118">
        <v>0.89802473253278836</v>
      </c>
      <c r="I136" s="105" t="s">
        <v>302</v>
      </c>
      <c r="J136" s="105"/>
      <c r="K136" s="105"/>
      <c r="L136" s="105"/>
      <c r="M136" s="105"/>
    </row>
    <row r="137" spans="1:13" x14ac:dyDescent="0.35">
      <c r="A137" s="110" t="s">
        <v>392</v>
      </c>
      <c r="B137" s="110" t="s">
        <v>21</v>
      </c>
      <c r="C137" s="110" t="b">
        <v>0</v>
      </c>
      <c r="D137" s="110" t="s">
        <v>26</v>
      </c>
      <c r="E137" s="110" t="s">
        <v>23</v>
      </c>
      <c r="F137" s="105" t="s">
        <v>402</v>
      </c>
      <c r="G137" s="118"/>
      <c r="H137" s="118">
        <v>0.2297486632397075</v>
      </c>
      <c r="I137" s="105" t="s">
        <v>237</v>
      </c>
      <c r="J137" s="105"/>
      <c r="K137" s="105">
        <v>0.97447756368345273</v>
      </c>
      <c r="L137" s="105"/>
      <c r="M137" s="105"/>
    </row>
    <row r="138" spans="1:13" x14ac:dyDescent="0.35">
      <c r="A138" s="110" t="s">
        <v>392</v>
      </c>
      <c r="B138" s="110" t="s">
        <v>21</v>
      </c>
      <c r="C138" s="110" t="b">
        <v>1</v>
      </c>
      <c r="D138" s="110" t="s">
        <v>26</v>
      </c>
      <c r="E138" s="110" t="s">
        <v>23</v>
      </c>
      <c r="F138" s="105" t="s">
        <v>403</v>
      </c>
      <c r="G138" s="118"/>
      <c r="H138" s="118">
        <v>0.22973447661638052</v>
      </c>
      <c r="I138" s="105" t="s">
        <v>237</v>
      </c>
      <c r="J138" s="105"/>
      <c r="K138" s="105"/>
      <c r="L138" s="105"/>
      <c r="M138" s="105"/>
    </row>
    <row r="139" spans="1:13" x14ac:dyDescent="0.35">
      <c r="A139" s="110" t="s">
        <v>392</v>
      </c>
      <c r="B139" s="110" t="s">
        <v>21</v>
      </c>
      <c r="C139" s="110" t="b">
        <v>0</v>
      </c>
      <c r="D139" s="110" t="s">
        <v>26</v>
      </c>
      <c r="E139" s="110" t="s">
        <v>25</v>
      </c>
      <c r="F139" s="105" t="s">
        <v>404</v>
      </c>
      <c r="G139" s="118"/>
      <c r="H139" s="118">
        <v>1.4751379434704499</v>
      </c>
      <c r="I139" s="105" t="s">
        <v>237</v>
      </c>
      <c r="J139" s="105"/>
      <c r="K139" s="105"/>
      <c r="L139" s="105"/>
      <c r="M139" s="105"/>
    </row>
    <row r="140" spans="1:13" x14ac:dyDescent="0.35">
      <c r="A140" s="110" t="s">
        <v>392</v>
      </c>
      <c r="B140" s="110" t="s">
        <v>27</v>
      </c>
      <c r="C140" s="110" t="b">
        <v>1</v>
      </c>
      <c r="D140" s="110" t="s">
        <v>58</v>
      </c>
      <c r="E140" s="110" t="s">
        <v>23</v>
      </c>
      <c r="F140" s="105" t="s">
        <v>405</v>
      </c>
      <c r="G140" s="118"/>
      <c r="H140" s="118">
        <v>4.3166790897091155E-2</v>
      </c>
      <c r="I140" s="105" t="s">
        <v>312</v>
      </c>
      <c r="J140" s="105"/>
      <c r="K140" s="105">
        <v>0.24910344093284917</v>
      </c>
      <c r="L140" s="105"/>
      <c r="M140" s="105"/>
    </row>
    <row r="141" spans="1:13" x14ac:dyDescent="0.35">
      <c r="A141" s="110" t="s">
        <v>392</v>
      </c>
      <c r="B141" s="110" t="s">
        <v>27</v>
      </c>
      <c r="C141" s="110" t="b">
        <v>1</v>
      </c>
      <c r="D141" s="110" t="s">
        <v>58</v>
      </c>
      <c r="E141" s="110" t="s">
        <v>24</v>
      </c>
      <c r="F141" s="105" t="s">
        <v>406</v>
      </c>
      <c r="G141" s="118"/>
      <c r="H141" s="118">
        <v>0.24952002420131042</v>
      </c>
      <c r="I141" s="105" t="s">
        <v>312</v>
      </c>
      <c r="J141" s="105"/>
      <c r="K141" s="105"/>
      <c r="L141" s="105"/>
      <c r="M141" s="105"/>
    </row>
    <row r="142" spans="1:13" x14ac:dyDescent="0.35">
      <c r="A142" s="110" t="s">
        <v>392</v>
      </c>
      <c r="B142" s="110" t="s">
        <v>27</v>
      </c>
      <c r="C142" s="110" t="b">
        <v>1</v>
      </c>
      <c r="D142" s="110" t="s">
        <v>58</v>
      </c>
      <c r="E142" s="110" t="s">
        <v>25</v>
      </c>
      <c r="F142" s="105" t="s">
        <v>407</v>
      </c>
      <c r="G142" s="118"/>
      <c r="H142" s="118">
        <v>0.45462350770014592</v>
      </c>
      <c r="I142" s="105" t="s">
        <v>312</v>
      </c>
      <c r="J142" s="105"/>
      <c r="K142" s="105"/>
      <c r="L142" s="105"/>
      <c r="M142" s="105"/>
    </row>
    <row r="143" spans="1:13" x14ac:dyDescent="0.35">
      <c r="A143" s="110" t="s">
        <v>392</v>
      </c>
      <c r="B143" s="110" t="s">
        <v>27</v>
      </c>
      <c r="C143" s="110" t="b">
        <v>0</v>
      </c>
      <c r="D143" s="110" t="s">
        <v>22</v>
      </c>
      <c r="E143" s="110" t="s">
        <v>23</v>
      </c>
      <c r="F143" s="105" t="s">
        <v>408</v>
      </c>
      <c r="G143" s="118"/>
      <c r="H143" s="118">
        <v>0.11190614157693289</v>
      </c>
      <c r="I143" s="105" t="s">
        <v>240</v>
      </c>
      <c r="J143" s="105"/>
      <c r="K143" s="105">
        <v>0.46966297751141872</v>
      </c>
      <c r="L143" s="105"/>
      <c r="M143" s="105"/>
    </row>
    <row r="144" spans="1:13" x14ac:dyDescent="0.35">
      <c r="A144" s="110" t="s">
        <v>392</v>
      </c>
      <c r="B144" s="110" t="s">
        <v>27</v>
      </c>
      <c r="C144" s="110" t="b">
        <v>1</v>
      </c>
      <c r="D144" s="110" t="s">
        <v>22</v>
      </c>
      <c r="E144" s="110" t="s">
        <v>23</v>
      </c>
      <c r="F144" s="105" t="s">
        <v>409</v>
      </c>
      <c r="G144" s="118"/>
      <c r="H144" s="118">
        <v>0.11190614157693289</v>
      </c>
      <c r="I144" s="105" t="s">
        <v>240</v>
      </c>
      <c r="J144" s="105"/>
      <c r="K144" s="105"/>
      <c r="L144" s="105"/>
      <c r="M144" s="105"/>
    </row>
    <row r="145" spans="1:13" x14ac:dyDescent="0.35">
      <c r="A145" s="110" t="s">
        <v>392</v>
      </c>
      <c r="B145" s="110" t="s">
        <v>27</v>
      </c>
      <c r="C145" s="110" t="b">
        <v>0</v>
      </c>
      <c r="D145" s="110" t="s">
        <v>22</v>
      </c>
      <c r="E145" s="110" t="s">
        <v>24</v>
      </c>
      <c r="F145" s="105" t="s">
        <v>410</v>
      </c>
      <c r="G145" s="118"/>
      <c r="H145" s="118">
        <v>0.51713769025881784</v>
      </c>
      <c r="I145" s="105" t="s">
        <v>240</v>
      </c>
      <c r="J145" s="105"/>
      <c r="K145" s="105"/>
      <c r="L145" s="105"/>
      <c r="M145" s="105"/>
    </row>
    <row r="146" spans="1:13" x14ac:dyDescent="0.35">
      <c r="A146" s="110" t="s">
        <v>392</v>
      </c>
      <c r="B146" s="110" t="s">
        <v>27</v>
      </c>
      <c r="C146" s="110" t="b">
        <v>1</v>
      </c>
      <c r="D146" s="110" t="s">
        <v>22</v>
      </c>
      <c r="E146" s="110" t="s">
        <v>24</v>
      </c>
      <c r="F146" s="105" t="s">
        <v>411</v>
      </c>
      <c r="G146" s="118"/>
      <c r="H146" s="118">
        <v>0.51713769025881784</v>
      </c>
      <c r="I146" s="105" t="s">
        <v>240</v>
      </c>
      <c r="J146" s="105"/>
      <c r="K146" s="105"/>
      <c r="L146" s="105"/>
      <c r="M146" s="105"/>
    </row>
    <row r="147" spans="1:13" x14ac:dyDescent="0.35">
      <c r="A147" s="110" t="s">
        <v>392</v>
      </c>
      <c r="B147" s="110" t="s">
        <v>27</v>
      </c>
      <c r="C147" s="110" t="b">
        <v>0</v>
      </c>
      <c r="D147" s="110" t="s">
        <v>22</v>
      </c>
      <c r="E147" s="110" t="s">
        <v>25</v>
      </c>
      <c r="F147" s="105" t="s">
        <v>412</v>
      </c>
      <c r="G147" s="118"/>
      <c r="H147" s="118">
        <v>0.77994510069850542</v>
      </c>
      <c r="I147" s="105" t="s">
        <v>240</v>
      </c>
      <c r="J147" s="105"/>
      <c r="K147" s="105"/>
      <c r="L147" s="105"/>
      <c r="M147" s="105"/>
    </row>
    <row r="148" spans="1:13" x14ac:dyDescent="0.35">
      <c r="A148" s="110" t="s">
        <v>392</v>
      </c>
      <c r="B148" s="110" t="s">
        <v>27</v>
      </c>
      <c r="C148" s="110" t="b">
        <v>1</v>
      </c>
      <c r="D148" s="110" t="s">
        <v>22</v>
      </c>
      <c r="E148" s="110" t="s">
        <v>25</v>
      </c>
      <c r="F148" s="105" t="s">
        <v>413</v>
      </c>
      <c r="G148" s="118"/>
      <c r="H148" s="118">
        <v>0.77994510069850542</v>
      </c>
      <c r="I148" s="105" t="s">
        <v>240</v>
      </c>
      <c r="J148" s="105"/>
      <c r="K148" s="105"/>
      <c r="L148" s="105"/>
      <c r="M148" s="105"/>
    </row>
    <row r="149" spans="1:13" x14ac:dyDescent="0.35">
      <c r="A149" s="110" t="s">
        <v>392</v>
      </c>
      <c r="B149" s="110" t="s">
        <v>27</v>
      </c>
      <c r="C149" s="110" t="b">
        <v>0</v>
      </c>
      <c r="D149" s="110" t="s">
        <v>26</v>
      </c>
      <c r="E149" s="110" t="s">
        <v>23</v>
      </c>
      <c r="F149" s="105" t="s">
        <v>414</v>
      </c>
      <c r="G149" s="118"/>
      <c r="H149" s="118">
        <v>0.19985653438008946</v>
      </c>
      <c r="I149" s="105" t="s">
        <v>154</v>
      </c>
      <c r="J149" s="105"/>
      <c r="K149" s="105">
        <v>0.8157372638549828</v>
      </c>
      <c r="L149" s="105"/>
      <c r="M149" s="105"/>
    </row>
    <row r="150" spans="1:13" x14ac:dyDescent="0.35">
      <c r="A150" s="110" t="s">
        <v>392</v>
      </c>
      <c r="B150" s="110" t="s">
        <v>27</v>
      </c>
      <c r="C150" s="110" t="b">
        <v>1</v>
      </c>
      <c r="D150" s="110" t="s">
        <v>26</v>
      </c>
      <c r="E150" s="110" t="s">
        <v>23</v>
      </c>
      <c r="F150" s="105" t="s">
        <v>415</v>
      </c>
      <c r="G150" s="118"/>
      <c r="H150" s="118">
        <v>0.19985653438008946</v>
      </c>
      <c r="I150" s="105" t="s">
        <v>154</v>
      </c>
      <c r="J150" s="105"/>
      <c r="K150" s="105"/>
      <c r="L150" s="105"/>
      <c r="M150" s="105"/>
    </row>
    <row r="151" spans="1:13" x14ac:dyDescent="0.35">
      <c r="A151" s="110" t="s">
        <v>392</v>
      </c>
      <c r="B151" s="110" t="s">
        <v>27</v>
      </c>
      <c r="C151" s="110" t="b">
        <v>1</v>
      </c>
      <c r="D151" s="110" t="s">
        <v>26</v>
      </c>
      <c r="E151" s="110" t="s">
        <v>24</v>
      </c>
      <c r="F151" s="105" t="s">
        <v>416</v>
      </c>
      <c r="G151" s="118"/>
      <c r="H151" s="118">
        <v>0.96842902464622105</v>
      </c>
      <c r="I151" s="105" t="s">
        <v>154</v>
      </c>
      <c r="J151" s="105"/>
      <c r="K151" s="105"/>
      <c r="L151" s="105"/>
      <c r="M151" s="105"/>
    </row>
    <row r="152" spans="1:13" x14ac:dyDescent="0.35">
      <c r="A152" s="110" t="s">
        <v>392</v>
      </c>
      <c r="B152" s="110" t="s">
        <v>27</v>
      </c>
      <c r="C152" s="110" t="b">
        <v>0</v>
      </c>
      <c r="D152" s="110" t="s">
        <v>26</v>
      </c>
      <c r="E152" s="110" t="s">
        <v>25</v>
      </c>
      <c r="F152" s="105" t="s">
        <v>417</v>
      </c>
      <c r="G152" s="118"/>
      <c r="H152" s="118">
        <v>1.2789262325386379</v>
      </c>
      <c r="I152" s="105" t="s">
        <v>154</v>
      </c>
      <c r="J152" s="105"/>
      <c r="K152" s="105"/>
      <c r="L152" s="105"/>
      <c r="M152" s="105"/>
    </row>
    <row r="153" spans="1:13" x14ac:dyDescent="0.35">
      <c r="A153" s="110" t="s">
        <v>392</v>
      </c>
      <c r="B153" s="110" t="s">
        <v>28</v>
      </c>
      <c r="C153" s="110" t="b">
        <v>1</v>
      </c>
      <c r="D153" s="110" t="s">
        <v>58</v>
      </c>
      <c r="E153" s="110" t="s">
        <v>23</v>
      </c>
      <c r="F153" s="105" t="s">
        <v>418</v>
      </c>
      <c r="G153" s="118"/>
      <c r="H153" s="118">
        <v>2.9449071359838954E-2</v>
      </c>
      <c r="I153" s="105" t="s">
        <v>323</v>
      </c>
      <c r="J153" s="105"/>
      <c r="K153" s="105">
        <v>0.18057573887757969</v>
      </c>
      <c r="L153" s="105"/>
      <c r="M153" s="105"/>
    </row>
    <row r="154" spans="1:13" x14ac:dyDescent="0.35">
      <c r="A154" s="110" t="s">
        <v>392</v>
      </c>
      <c r="B154" s="110" t="s">
        <v>28</v>
      </c>
      <c r="C154" s="110" t="b">
        <v>1</v>
      </c>
      <c r="D154" s="110" t="s">
        <v>58</v>
      </c>
      <c r="E154" s="110" t="s">
        <v>24</v>
      </c>
      <c r="F154" s="105" t="s">
        <v>419</v>
      </c>
      <c r="G154" s="118"/>
      <c r="H154" s="118">
        <v>0.18638488401910924</v>
      </c>
      <c r="I154" s="105" t="s">
        <v>323</v>
      </c>
      <c r="J154" s="105"/>
      <c r="K154" s="105"/>
      <c r="L154" s="105"/>
      <c r="M154" s="105"/>
    </row>
    <row r="155" spans="1:13" x14ac:dyDescent="0.35">
      <c r="A155" s="110" t="s">
        <v>392</v>
      </c>
      <c r="B155" s="110" t="s">
        <v>28</v>
      </c>
      <c r="C155" s="110" t="b">
        <v>1</v>
      </c>
      <c r="D155" s="110" t="s">
        <v>58</v>
      </c>
      <c r="E155" s="110" t="s">
        <v>25</v>
      </c>
      <c r="F155" s="105" t="s">
        <v>420</v>
      </c>
      <c r="G155" s="118"/>
      <c r="H155" s="118">
        <v>0.32589326125379081</v>
      </c>
      <c r="I155" s="105" t="s">
        <v>323</v>
      </c>
      <c r="J155" s="105"/>
      <c r="K155" s="105"/>
      <c r="L155" s="105"/>
      <c r="M155" s="105"/>
    </row>
    <row r="156" spans="1:13" x14ac:dyDescent="0.35">
      <c r="A156" s="110" t="s">
        <v>392</v>
      </c>
      <c r="B156" s="110" t="s">
        <v>28</v>
      </c>
      <c r="C156" s="110" t="b">
        <v>0</v>
      </c>
      <c r="D156" s="110" t="s">
        <v>22</v>
      </c>
      <c r="E156" s="110" t="s">
        <v>23</v>
      </c>
      <c r="F156" s="105" t="s">
        <v>421</v>
      </c>
      <c r="G156" s="118"/>
      <c r="H156" s="118">
        <v>8.0732535124593843E-2</v>
      </c>
      <c r="I156" s="105" t="s">
        <v>326</v>
      </c>
      <c r="J156" s="105"/>
      <c r="K156" s="105">
        <v>0.3483098446184611</v>
      </c>
      <c r="L156" s="105"/>
      <c r="M156" s="105"/>
    </row>
    <row r="157" spans="1:13" x14ac:dyDescent="0.35">
      <c r="A157" s="110" t="s">
        <v>392</v>
      </c>
      <c r="B157" s="110" t="s">
        <v>28</v>
      </c>
      <c r="C157" s="110" t="b">
        <v>1</v>
      </c>
      <c r="D157" s="110" t="s">
        <v>22</v>
      </c>
      <c r="E157" s="110" t="s">
        <v>23</v>
      </c>
      <c r="F157" s="105" t="s">
        <v>422</v>
      </c>
      <c r="G157" s="118"/>
      <c r="H157" s="118">
        <v>8.0732535124593843E-2</v>
      </c>
      <c r="I157" s="105" t="s">
        <v>326</v>
      </c>
      <c r="J157" s="105"/>
      <c r="K157" s="105"/>
      <c r="L157" s="105"/>
      <c r="M157" s="105"/>
    </row>
    <row r="158" spans="1:13" x14ac:dyDescent="0.35">
      <c r="A158" s="110" t="s">
        <v>392</v>
      </c>
      <c r="B158" s="110" t="s">
        <v>28</v>
      </c>
      <c r="C158" s="110" t="b">
        <v>0</v>
      </c>
      <c r="D158" s="110" t="s">
        <v>22</v>
      </c>
      <c r="E158" s="110" t="s">
        <v>24</v>
      </c>
      <c r="F158" s="105" t="s">
        <v>423</v>
      </c>
      <c r="G158" s="118"/>
      <c r="H158" s="118">
        <v>0.39584048616705786</v>
      </c>
      <c r="I158" s="105" t="s">
        <v>326</v>
      </c>
      <c r="J158" s="105"/>
      <c r="K158" s="105"/>
      <c r="L158" s="105"/>
      <c r="M158" s="105"/>
    </row>
    <row r="159" spans="1:13" x14ac:dyDescent="0.35">
      <c r="A159" s="110" t="s">
        <v>392</v>
      </c>
      <c r="B159" s="110" t="s">
        <v>28</v>
      </c>
      <c r="C159" s="110" t="b">
        <v>1</v>
      </c>
      <c r="D159" s="110" t="s">
        <v>22</v>
      </c>
      <c r="E159" s="110" t="s">
        <v>24</v>
      </c>
      <c r="F159" s="105" t="s">
        <v>424</v>
      </c>
      <c r="G159" s="118"/>
      <c r="H159" s="118">
        <v>0.39584048616705786</v>
      </c>
      <c r="I159" s="105" t="s">
        <v>326</v>
      </c>
      <c r="J159" s="105"/>
      <c r="K159" s="105"/>
      <c r="L159" s="105"/>
      <c r="M159" s="105"/>
    </row>
    <row r="160" spans="1:13" x14ac:dyDescent="0.35">
      <c r="A160" s="110" t="s">
        <v>392</v>
      </c>
      <c r="B160" s="110" t="s">
        <v>28</v>
      </c>
      <c r="C160" s="110" t="b">
        <v>0</v>
      </c>
      <c r="D160" s="110" t="s">
        <v>22</v>
      </c>
      <c r="E160" s="110" t="s">
        <v>25</v>
      </c>
      <c r="F160" s="105" t="s">
        <v>425</v>
      </c>
      <c r="G160" s="118"/>
      <c r="H160" s="118">
        <v>0.56835651256373154</v>
      </c>
      <c r="I160" s="105" t="s">
        <v>326</v>
      </c>
      <c r="J160" s="105"/>
      <c r="K160" s="105"/>
      <c r="L160" s="105"/>
      <c r="M160" s="105"/>
    </row>
    <row r="161" spans="1:13" x14ac:dyDescent="0.35">
      <c r="A161" s="110" t="s">
        <v>392</v>
      </c>
      <c r="B161" s="110" t="s">
        <v>28</v>
      </c>
      <c r="C161" s="110" t="b">
        <v>1</v>
      </c>
      <c r="D161" s="110" t="s">
        <v>22</v>
      </c>
      <c r="E161" s="110" t="s">
        <v>25</v>
      </c>
      <c r="F161" s="105" t="s">
        <v>426</v>
      </c>
      <c r="G161" s="118"/>
      <c r="H161" s="118">
        <v>0.56835651256373154</v>
      </c>
      <c r="I161" s="105" t="s">
        <v>326</v>
      </c>
      <c r="J161" s="105"/>
      <c r="K161" s="105"/>
      <c r="L161" s="105"/>
      <c r="M161" s="105"/>
    </row>
    <row r="162" spans="1:13" x14ac:dyDescent="0.35">
      <c r="A162" s="110" t="s">
        <v>392</v>
      </c>
      <c r="B162" s="110" t="s">
        <v>28</v>
      </c>
      <c r="C162" s="110" t="b">
        <v>0</v>
      </c>
      <c r="D162" s="110" t="s">
        <v>26</v>
      </c>
      <c r="E162" s="110" t="s">
        <v>23</v>
      </c>
      <c r="F162" s="105" t="s">
        <v>427</v>
      </c>
      <c r="G162" s="118"/>
      <c r="H162" s="118">
        <v>0.14860773560524315</v>
      </c>
      <c r="I162" s="105" t="s">
        <v>236</v>
      </c>
      <c r="J162" s="105"/>
      <c r="K162" s="105">
        <v>0.59293354667540366</v>
      </c>
      <c r="L162" s="105"/>
      <c r="M162" s="105"/>
    </row>
    <row r="163" spans="1:13" x14ac:dyDescent="0.35">
      <c r="A163" s="110" t="s">
        <v>392</v>
      </c>
      <c r="B163" s="110" t="s">
        <v>28</v>
      </c>
      <c r="C163" s="110" t="b">
        <v>0</v>
      </c>
      <c r="D163" s="110" t="s">
        <v>26</v>
      </c>
      <c r="E163" s="110" t="s">
        <v>25</v>
      </c>
      <c r="F163" s="105" t="s">
        <v>428</v>
      </c>
      <c r="G163" s="118"/>
      <c r="H163" s="118">
        <v>0.92904686905425704</v>
      </c>
      <c r="I163" s="105" t="s">
        <v>236</v>
      </c>
      <c r="J163" s="105"/>
      <c r="K163" s="105"/>
      <c r="L163" s="105"/>
      <c r="M163" s="105"/>
    </row>
    <row r="164" spans="1:13" x14ac:dyDescent="0.35">
      <c r="A164" s="110" t="s">
        <v>392</v>
      </c>
      <c r="B164" s="110" t="s">
        <v>33</v>
      </c>
      <c r="C164" s="110" t="b">
        <v>1</v>
      </c>
      <c r="D164" s="110" t="s">
        <v>22</v>
      </c>
      <c r="E164" s="110" t="s">
        <v>23</v>
      </c>
      <c r="F164" s="105" t="s">
        <v>429</v>
      </c>
      <c r="G164" s="118"/>
      <c r="H164" s="118">
        <v>0.13339844977159701</v>
      </c>
      <c r="I164" s="105" t="s">
        <v>336</v>
      </c>
      <c r="J164" s="105"/>
      <c r="K164" s="105">
        <v>0.55496951211614609</v>
      </c>
      <c r="L164" s="105"/>
      <c r="M164" s="105"/>
    </row>
    <row r="165" spans="1:13" x14ac:dyDescent="0.35">
      <c r="A165" s="110" t="s">
        <v>392</v>
      </c>
      <c r="B165" s="110" t="s">
        <v>29</v>
      </c>
      <c r="C165" s="110" t="b">
        <v>1</v>
      </c>
      <c r="D165" s="110" t="s">
        <v>58</v>
      </c>
      <c r="E165" s="110" t="s">
        <v>23</v>
      </c>
      <c r="F165" s="105" t="s">
        <v>430</v>
      </c>
      <c r="G165" s="118"/>
      <c r="H165" s="118">
        <v>0.11006988237116501</v>
      </c>
      <c r="I165" s="105" t="s">
        <v>342</v>
      </c>
      <c r="J165" s="105"/>
      <c r="K165" s="105">
        <v>0.21215686361149608</v>
      </c>
      <c r="L165" s="105"/>
      <c r="M165" s="105"/>
    </row>
    <row r="166" spans="1:13" x14ac:dyDescent="0.35">
      <c r="A166" s="110" t="s">
        <v>392</v>
      </c>
      <c r="B166" s="110" t="s">
        <v>29</v>
      </c>
      <c r="C166" s="110" t="b">
        <v>1</v>
      </c>
      <c r="D166" s="110" t="s">
        <v>58</v>
      </c>
      <c r="E166" s="110" t="s">
        <v>24</v>
      </c>
      <c r="F166" s="105" t="s">
        <v>431</v>
      </c>
      <c r="G166" s="118"/>
      <c r="H166" s="118">
        <v>0.31424384485182716</v>
      </c>
      <c r="I166" s="105" t="s">
        <v>342</v>
      </c>
      <c r="J166" s="105"/>
      <c r="K166" s="105"/>
      <c r="L166" s="105"/>
      <c r="M166" s="105"/>
    </row>
    <row r="167" spans="1:13" x14ac:dyDescent="0.35">
      <c r="A167" s="110" t="s">
        <v>392</v>
      </c>
      <c r="B167" s="110" t="s">
        <v>29</v>
      </c>
      <c r="C167" s="110" t="b">
        <v>0</v>
      </c>
      <c r="D167" s="110" t="s">
        <v>22</v>
      </c>
      <c r="E167" s="110" t="s">
        <v>23</v>
      </c>
      <c r="F167" s="105" t="s">
        <v>432</v>
      </c>
      <c r="G167" s="118"/>
      <c r="H167" s="118">
        <v>0.24112203653570294</v>
      </c>
      <c r="I167" s="105" t="s">
        <v>344</v>
      </c>
      <c r="J167" s="105"/>
      <c r="K167" s="105">
        <v>0.66898937025842387</v>
      </c>
      <c r="L167" s="105"/>
      <c r="M167" s="105"/>
    </row>
    <row r="168" spans="1:13" x14ac:dyDescent="0.35">
      <c r="A168" s="110" t="s">
        <v>392</v>
      </c>
      <c r="B168" s="110" t="s">
        <v>29</v>
      </c>
      <c r="C168" s="110" t="b">
        <v>1</v>
      </c>
      <c r="D168" s="110" t="s">
        <v>22</v>
      </c>
      <c r="E168" s="110" t="s">
        <v>23</v>
      </c>
      <c r="F168" s="105" t="s">
        <v>433</v>
      </c>
      <c r="G168" s="118"/>
      <c r="H168" s="118">
        <v>0.23248722323370674</v>
      </c>
      <c r="I168" s="105" t="s">
        <v>344</v>
      </c>
      <c r="J168" s="105"/>
      <c r="K168" s="105"/>
      <c r="L168" s="105"/>
      <c r="M168" s="105"/>
    </row>
    <row r="169" spans="1:13" x14ac:dyDescent="0.35">
      <c r="A169" s="110" t="s">
        <v>392</v>
      </c>
      <c r="B169" s="110" t="s">
        <v>29</v>
      </c>
      <c r="C169" s="110" t="b">
        <v>1</v>
      </c>
      <c r="D169" s="110" t="s">
        <v>22</v>
      </c>
      <c r="E169" s="110" t="s">
        <v>24</v>
      </c>
      <c r="F169" s="105" t="s">
        <v>434</v>
      </c>
      <c r="G169" s="118"/>
      <c r="H169" s="118">
        <v>0.61018054838322422</v>
      </c>
      <c r="I169" s="105" t="s">
        <v>344</v>
      </c>
      <c r="J169" s="105"/>
      <c r="K169" s="105"/>
      <c r="L169" s="105"/>
      <c r="M169" s="105"/>
    </row>
    <row r="170" spans="1:13" x14ac:dyDescent="0.35">
      <c r="A170" s="110" t="s">
        <v>392</v>
      </c>
      <c r="B170" s="110" t="s">
        <v>29</v>
      </c>
      <c r="C170" s="110" t="b">
        <v>0</v>
      </c>
      <c r="D170" s="110" t="s">
        <v>22</v>
      </c>
      <c r="E170" s="110" t="s">
        <v>25</v>
      </c>
      <c r="F170" s="105" t="s">
        <v>435</v>
      </c>
      <c r="G170" s="118"/>
      <c r="H170" s="118">
        <v>1.1556655258563446</v>
      </c>
      <c r="I170" s="105" t="s">
        <v>344</v>
      </c>
      <c r="J170" s="105"/>
      <c r="K170" s="105"/>
      <c r="L170" s="105"/>
      <c r="M170" s="105"/>
    </row>
    <row r="171" spans="1:13" x14ac:dyDescent="0.35">
      <c r="A171" s="110" t="s">
        <v>392</v>
      </c>
      <c r="B171" s="110" t="s">
        <v>29</v>
      </c>
      <c r="C171" s="110" t="b">
        <v>1</v>
      </c>
      <c r="D171" s="110" t="s">
        <v>22</v>
      </c>
      <c r="E171" s="110" t="s">
        <v>25</v>
      </c>
      <c r="F171" s="105" t="s">
        <v>436</v>
      </c>
      <c r="G171" s="118"/>
      <c r="H171" s="118">
        <v>1.0817916787046333</v>
      </c>
      <c r="I171" s="105" t="s">
        <v>344</v>
      </c>
      <c r="J171" s="105"/>
      <c r="K171" s="105"/>
      <c r="L171" s="105"/>
      <c r="M171" s="105"/>
    </row>
    <row r="172" spans="1:13" x14ac:dyDescent="0.35">
      <c r="A172" s="110" t="s">
        <v>392</v>
      </c>
      <c r="B172" s="110" t="s">
        <v>29</v>
      </c>
      <c r="C172" s="110" t="b">
        <v>0</v>
      </c>
      <c r="D172" s="110" t="s">
        <v>26</v>
      </c>
      <c r="E172" s="110" t="s">
        <v>23</v>
      </c>
      <c r="F172" s="105" t="s">
        <v>437</v>
      </c>
      <c r="G172" s="118"/>
      <c r="H172" s="118">
        <v>0.36243999210839356</v>
      </c>
      <c r="I172" s="105" t="s">
        <v>155</v>
      </c>
      <c r="J172" s="105"/>
      <c r="K172" s="105">
        <v>1.1662296241524466</v>
      </c>
      <c r="L172" s="105"/>
      <c r="M172" s="105"/>
    </row>
    <row r="173" spans="1:13" x14ac:dyDescent="0.35">
      <c r="A173" s="110" t="s">
        <v>392</v>
      </c>
      <c r="B173" s="110" t="s">
        <v>29</v>
      </c>
      <c r="C173" s="110" t="b">
        <v>0</v>
      </c>
      <c r="D173" s="110" t="s">
        <v>26</v>
      </c>
      <c r="E173" s="110" t="s">
        <v>25</v>
      </c>
      <c r="F173" s="105" t="s">
        <v>438</v>
      </c>
      <c r="G173" s="118"/>
      <c r="H173" s="118">
        <v>1.8226054658594517</v>
      </c>
      <c r="I173" s="105" t="s">
        <v>155</v>
      </c>
      <c r="J173" s="105"/>
      <c r="K173" s="105"/>
      <c r="L173" s="105"/>
      <c r="M173" s="105"/>
    </row>
    <row r="174" spans="1:13" x14ac:dyDescent="0.35">
      <c r="A174" s="110" t="s">
        <v>392</v>
      </c>
      <c r="B174" s="110" t="s">
        <v>30</v>
      </c>
      <c r="C174" s="110" t="b">
        <v>1</v>
      </c>
      <c r="D174" s="110" t="s">
        <v>58</v>
      </c>
      <c r="E174" s="110" t="s">
        <v>23</v>
      </c>
      <c r="F174" s="105" t="s">
        <v>439</v>
      </c>
      <c r="G174" s="118"/>
      <c r="H174" s="118">
        <v>0.10571047573065682</v>
      </c>
      <c r="I174" s="105" t="s">
        <v>352</v>
      </c>
      <c r="J174" s="105"/>
      <c r="K174" s="105">
        <v>0.38527979636116222</v>
      </c>
      <c r="L174" s="105"/>
      <c r="M174" s="105"/>
    </row>
    <row r="175" spans="1:13" x14ac:dyDescent="0.35">
      <c r="A175" s="110" t="s">
        <v>392</v>
      </c>
      <c r="B175" s="110" t="s">
        <v>30</v>
      </c>
      <c r="C175" s="110" t="b">
        <v>1</v>
      </c>
      <c r="D175" s="110" t="s">
        <v>58</v>
      </c>
      <c r="E175" s="110" t="s">
        <v>24</v>
      </c>
      <c r="F175" s="105" t="s">
        <v>440</v>
      </c>
      <c r="G175" s="118"/>
      <c r="H175" s="118">
        <v>0.19822613719987942</v>
      </c>
      <c r="I175" s="105" t="s">
        <v>352</v>
      </c>
      <c r="J175" s="105"/>
      <c r="K175" s="105"/>
      <c r="L175" s="105"/>
      <c r="M175" s="105"/>
    </row>
    <row r="176" spans="1:13" x14ac:dyDescent="0.35">
      <c r="A176" s="110" t="s">
        <v>392</v>
      </c>
      <c r="B176" s="110" t="s">
        <v>30</v>
      </c>
      <c r="C176" s="110" t="b">
        <v>1</v>
      </c>
      <c r="D176" s="110" t="s">
        <v>58</v>
      </c>
      <c r="E176" s="110" t="s">
        <v>25</v>
      </c>
      <c r="F176" s="105" t="s">
        <v>441</v>
      </c>
      <c r="G176" s="118"/>
      <c r="H176" s="118">
        <v>0.85190277615295029</v>
      </c>
      <c r="I176" s="105" t="s">
        <v>352</v>
      </c>
      <c r="J176" s="105"/>
      <c r="K176" s="105"/>
      <c r="L176" s="105"/>
      <c r="M176" s="105"/>
    </row>
    <row r="177" spans="1:13" x14ac:dyDescent="0.35">
      <c r="A177" s="110" t="s">
        <v>392</v>
      </c>
      <c r="B177" s="110" t="s">
        <v>30</v>
      </c>
      <c r="C177" s="110" t="b">
        <v>1</v>
      </c>
      <c r="D177" s="110" t="s">
        <v>22</v>
      </c>
      <c r="E177" s="110" t="s">
        <v>23</v>
      </c>
      <c r="F177" s="105" t="s">
        <v>442</v>
      </c>
      <c r="G177" s="118"/>
      <c r="H177" s="118">
        <v>0.16916573410880373</v>
      </c>
      <c r="I177" s="105" t="s">
        <v>244</v>
      </c>
      <c r="J177" s="105"/>
      <c r="K177" s="105">
        <v>0.5932798307398861</v>
      </c>
      <c r="L177" s="105"/>
      <c r="M177" s="105"/>
    </row>
    <row r="178" spans="1:13" x14ac:dyDescent="0.35">
      <c r="A178" s="110" t="s">
        <v>392</v>
      </c>
      <c r="B178" s="110" t="s">
        <v>30</v>
      </c>
      <c r="C178" s="110" t="b">
        <v>1</v>
      </c>
      <c r="D178" s="110" t="s">
        <v>22</v>
      </c>
      <c r="E178" s="110" t="s">
        <v>24</v>
      </c>
      <c r="F178" s="105" t="s">
        <v>443</v>
      </c>
      <c r="G178" s="118"/>
      <c r="H178" s="118">
        <v>0.35545015746159248</v>
      </c>
      <c r="I178" s="105" t="s">
        <v>244</v>
      </c>
      <c r="J178" s="105"/>
      <c r="K178" s="105"/>
      <c r="L178" s="105"/>
      <c r="M178" s="105"/>
    </row>
    <row r="179" spans="1:13" x14ac:dyDescent="0.35">
      <c r="A179" s="110" t="s">
        <v>392</v>
      </c>
      <c r="B179" s="110" t="s">
        <v>30</v>
      </c>
      <c r="C179" s="110" t="b">
        <v>1</v>
      </c>
      <c r="D179" s="110" t="s">
        <v>22</v>
      </c>
      <c r="E179" s="110" t="s">
        <v>25</v>
      </c>
      <c r="F179" s="105" t="s">
        <v>444</v>
      </c>
      <c r="G179" s="118"/>
      <c r="H179" s="118">
        <v>1.2552236006492621</v>
      </c>
      <c r="I179" s="105" t="s">
        <v>244</v>
      </c>
      <c r="J179" s="105"/>
      <c r="K179" s="105"/>
      <c r="L179" s="105"/>
      <c r="M179" s="105"/>
    </row>
    <row r="180" spans="1:13" x14ac:dyDescent="0.35">
      <c r="A180" s="110" t="s">
        <v>392</v>
      </c>
      <c r="B180" s="110" t="s">
        <v>30</v>
      </c>
      <c r="C180" s="110" t="b">
        <v>0</v>
      </c>
      <c r="D180" s="110" t="s">
        <v>26</v>
      </c>
      <c r="E180" s="110" t="s">
        <v>23</v>
      </c>
      <c r="F180" s="105" t="s">
        <v>445</v>
      </c>
      <c r="G180" s="118"/>
      <c r="H180" s="118">
        <v>0.24851749234042242</v>
      </c>
      <c r="I180" s="105" t="s">
        <v>156</v>
      </c>
      <c r="J180" s="105"/>
      <c r="K180" s="105">
        <v>0.44505211928450772</v>
      </c>
      <c r="L180" s="105"/>
      <c r="M180" s="105"/>
    </row>
    <row r="181" spans="1:13" x14ac:dyDescent="0.35">
      <c r="A181" s="110" t="s">
        <v>392</v>
      </c>
      <c r="B181" s="110" t="s">
        <v>93</v>
      </c>
      <c r="C181" s="110" t="b">
        <v>1</v>
      </c>
      <c r="D181" s="110" t="s">
        <v>58</v>
      </c>
      <c r="E181" s="110" t="s">
        <v>23</v>
      </c>
      <c r="F181" s="105" t="s">
        <v>446</v>
      </c>
      <c r="G181" s="118"/>
      <c r="H181" s="118">
        <v>5.0177667993040923E-2</v>
      </c>
      <c r="I181" s="105" t="s">
        <v>358</v>
      </c>
      <c r="J181" s="105"/>
      <c r="K181" s="105">
        <v>5.5539509775693413E-2</v>
      </c>
      <c r="L181" s="105"/>
      <c r="M181" s="105"/>
    </row>
    <row r="182" spans="1:13" x14ac:dyDescent="0.35">
      <c r="A182" s="110" t="s">
        <v>392</v>
      </c>
      <c r="B182" s="110" t="s">
        <v>93</v>
      </c>
      <c r="C182" s="110" t="b">
        <v>1</v>
      </c>
      <c r="D182" s="110" t="s">
        <v>58</v>
      </c>
      <c r="E182" s="110" t="s">
        <v>24</v>
      </c>
      <c r="F182" s="105" t="s">
        <v>447</v>
      </c>
      <c r="G182" s="118"/>
      <c r="H182" s="118">
        <v>6.0901351558345904E-2</v>
      </c>
      <c r="I182" s="105" t="s">
        <v>358</v>
      </c>
      <c r="J182" s="105"/>
      <c r="K182" s="105"/>
      <c r="L182" s="105"/>
      <c r="M182" s="105"/>
    </row>
    <row r="183" spans="1:13" x14ac:dyDescent="0.35">
      <c r="A183" s="110" t="s">
        <v>392</v>
      </c>
      <c r="B183" s="110" t="s">
        <v>93</v>
      </c>
      <c r="C183" s="110" t="b">
        <v>0</v>
      </c>
      <c r="D183" s="110" t="s">
        <v>22</v>
      </c>
      <c r="E183" s="110" t="s">
        <v>23</v>
      </c>
      <c r="F183" s="105" t="s">
        <v>448</v>
      </c>
      <c r="G183" s="118"/>
      <c r="H183" s="118">
        <v>8.8013583993368061E-2</v>
      </c>
      <c r="I183" s="105" t="s">
        <v>247</v>
      </c>
      <c r="J183" s="105"/>
      <c r="K183" s="105">
        <v>0.27554589037863103</v>
      </c>
      <c r="L183" s="105"/>
      <c r="M183" s="105"/>
    </row>
    <row r="184" spans="1:13" x14ac:dyDescent="0.35">
      <c r="A184" s="110" t="s">
        <v>392</v>
      </c>
      <c r="B184" s="110" t="s">
        <v>93</v>
      </c>
      <c r="C184" s="110" t="b">
        <v>1</v>
      </c>
      <c r="D184" s="110" t="s">
        <v>22</v>
      </c>
      <c r="E184" s="110" t="s">
        <v>23</v>
      </c>
      <c r="F184" s="105" t="s">
        <v>449</v>
      </c>
      <c r="G184" s="118"/>
      <c r="H184" s="118">
        <v>8.8013483135252632E-2</v>
      </c>
      <c r="I184" s="105" t="s">
        <v>247</v>
      </c>
      <c r="J184" s="105"/>
      <c r="K184" s="105"/>
      <c r="L184" s="105"/>
      <c r="M184" s="105"/>
    </row>
    <row r="185" spans="1:13" x14ac:dyDescent="0.35">
      <c r="A185" s="110" t="s">
        <v>392</v>
      </c>
      <c r="B185" s="110" t="s">
        <v>93</v>
      </c>
      <c r="C185" s="110" t="b">
        <v>1</v>
      </c>
      <c r="D185" s="110" t="s">
        <v>22</v>
      </c>
      <c r="E185" s="110" t="s">
        <v>24</v>
      </c>
      <c r="F185" s="105" t="s">
        <v>450</v>
      </c>
      <c r="G185" s="118"/>
      <c r="H185" s="118">
        <v>0.10121316559603186</v>
      </c>
      <c r="I185" s="105" t="s">
        <v>247</v>
      </c>
      <c r="J185" s="105"/>
      <c r="K185" s="105"/>
      <c r="L185" s="105"/>
      <c r="M185" s="105"/>
    </row>
    <row r="186" spans="1:13" x14ac:dyDescent="0.35">
      <c r="A186" s="110" t="s">
        <v>392</v>
      </c>
      <c r="B186" s="110" t="s">
        <v>93</v>
      </c>
      <c r="C186" s="110" t="b">
        <v>1</v>
      </c>
      <c r="D186" s="110" t="s">
        <v>22</v>
      </c>
      <c r="E186" s="110" t="s">
        <v>25</v>
      </c>
      <c r="F186" s="105" t="s">
        <v>451</v>
      </c>
      <c r="G186" s="118"/>
      <c r="H186" s="118">
        <v>0.63741092154649315</v>
      </c>
      <c r="I186" s="105" t="s">
        <v>247</v>
      </c>
      <c r="J186" s="105"/>
      <c r="K186" s="105"/>
      <c r="L186" s="105"/>
      <c r="M186" s="105"/>
    </row>
    <row r="187" spans="1:13" x14ac:dyDescent="0.35">
      <c r="A187" s="110" t="s">
        <v>392</v>
      </c>
      <c r="B187" s="110" t="s">
        <v>93</v>
      </c>
      <c r="C187" s="110" t="b">
        <v>0</v>
      </c>
      <c r="D187" s="110" t="s">
        <v>26</v>
      </c>
      <c r="E187" s="110" t="s">
        <v>23</v>
      </c>
      <c r="F187" s="105" t="s">
        <v>452</v>
      </c>
      <c r="G187" s="118"/>
      <c r="H187" s="118">
        <v>0.13777170370226005</v>
      </c>
      <c r="I187" s="105" t="s">
        <v>169</v>
      </c>
      <c r="J187" s="105"/>
      <c r="K187" s="105">
        <v>0.16361145863178875</v>
      </c>
      <c r="L187" s="105"/>
      <c r="M187" s="105"/>
    </row>
    <row r="188" spans="1:13" x14ac:dyDescent="0.35">
      <c r="A188" s="110" t="s">
        <v>392</v>
      </c>
      <c r="B188" s="110" t="s">
        <v>31</v>
      </c>
      <c r="C188" s="110" t="b">
        <v>1</v>
      </c>
      <c r="D188" s="110" t="s">
        <v>58</v>
      </c>
      <c r="E188" s="110" t="s">
        <v>23</v>
      </c>
      <c r="F188" s="105" t="s">
        <v>453</v>
      </c>
      <c r="G188" s="118"/>
      <c r="H188" s="118">
        <v>6.5147446623799135E-2</v>
      </c>
      <c r="I188" s="105" t="s">
        <v>368</v>
      </c>
      <c r="J188" s="105"/>
      <c r="K188" s="105">
        <v>0.24294648460267365</v>
      </c>
      <c r="L188" s="105"/>
      <c r="M188" s="105"/>
    </row>
    <row r="189" spans="1:13" x14ac:dyDescent="0.35">
      <c r="A189" s="110" t="s">
        <v>392</v>
      </c>
      <c r="B189" s="110" t="s">
        <v>31</v>
      </c>
      <c r="C189" s="110" t="b">
        <v>1</v>
      </c>
      <c r="D189" s="110" t="s">
        <v>58</v>
      </c>
      <c r="E189" s="110" t="s">
        <v>24</v>
      </c>
      <c r="F189" s="105" t="s">
        <v>454</v>
      </c>
      <c r="G189" s="118"/>
      <c r="H189" s="118">
        <v>0.11506442053278271</v>
      </c>
      <c r="I189" s="105" t="s">
        <v>368</v>
      </c>
      <c r="J189" s="105"/>
      <c r="K189" s="105"/>
      <c r="L189" s="105"/>
      <c r="M189" s="105"/>
    </row>
    <row r="190" spans="1:13" x14ac:dyDescent="0.35">
      <c r="A190" s="110" t="s">
        <v>392</v>
      </c>
      <c r="B190" s="110" t="s">
        <v>31</v>
      </c>
      <c r="C190" s="110" t="b">
        <v>1</v>
      </c>
      <c r="D190" s="110" t="s">
        <v>58</v>
      </c>
      <c r="E190" s="110" t="s">
        <v>25</v>
      </c>
      <c r="F190" s="105" t="s">
        <v>455</v>
      </c>
      <c r="G190" s="118"/>
      <c r="H190" s="118">
        <v>0.54862758665143907</v>
      </c>
      <c r="I190" s="105" t="s">
        <v>368</v>
      </c>
      <c r="J190" s="105"/>
      <c r="K190" s="105"/>
      <c r="L190" s="105"/>
      <c r="M190" s="105"/>
    </row>
    <row r="191" spans="1:13" x14ac:dyDescent="0.35">
      <c r="A191" s="110" t="s">
        <v>392</v>
      </c>
      <c r="B191" s="110" t="s">
        <v>31</v>
      </c>
      <c r="C191" s="110" t="b">
        <v>0</v>
      </c>
      <c r="D191" s="110" t="s">
        <v>22</v>
      </c>
      <c r="E191" s="110" t="s">
        <v>23</v>
      </c>
      <c r="F191" s="105" t="s">
        <v>456</v>
      </c>
      <c r="G191" s="118"/>
      <c r="H191" s="118">
        <v>0.11299469405273836</v>
      </c>
      <c r="I191" s="105" t="s">
        <v>249</v>
      </c>
      <c r="J191" s="105"/>
      <c r="K191" s="105">
        <v>0.38896143960397372</v>
      </c>
      <c r="L191" s="105"/>
      <c r="M191" s="105"/>
    </row>
    <row r="192" spans="1:13" x14ac:dyDescent="0.35">
      <c r="A192" s="110" t="s">
        <v>392</v>
      </c>
      <c r="B192" s="110" t="s">
        <v>31</v>
      </c>
      <c r="C192" s="110" t="b">
        <v>1</v>
      </c>
      <c r="D192" s="110" t="s">
        <v>22</v>
      </c>
      <c r="E192" s="110" t="s">
        <v>23</v>
      </c>
      <c r="F192" s="105" t="s">
        <v>457</v>
      </c>
      <c r="G192" s="118"/>
      <c r="H192" s="118">
        <v>0.11299449008298372</v>
      </c>
      <c r="I192" s="105" t="s">
        <v>249</v>
      </c>
      <c r="J192" s="105"/>
      <c r="K192" s="105"/>
      <c r="L192" s="105"/>
      <c r="M192" s="105"/>
    </row>
    <row r="193" spans="1:13" x14ac:dyDescent="0.35">
      <c r="A193" s="110" t="s">
        <v>392</v>
      </c>
      <c r="B193" s="110" t="s">
        <v>31</v>
      </c>
      <c r="C193" s="110" t="b">
        <v>0</v>
      </c>
      <c r="D193" s="110" t="s">
        <v>22</v>
      </c>
      <c r="E193" s="110" t="s">
        <v>24</v>
      </c>
      <c r="F193" s="105" t="s">
        <v>458</v>
      </c>
      <c r="G193" s="118"/>
      <c r="H193" s="118">
        <v>0.20716184018029851</v>
      </c>
      <c r="I193" s="105" t="s">
        <v>249</v>
      </c>
      <c r="J193" s="105"/>
      <c r="K193" s="105"/>
      <c r="L193" s="105"/>
      <c r="M193" s="105"/>
    </row>
    <row r="194" spans="1:13" x14ac:dyDescent="0.35">
      <c r="A194" s="110" t="s">
        <v>392</v>
      </c>
      <c r="B194" s="110" t="s">
        <v>31</v>
      </c>
      <c r="C194" s="110" t="b">
        <v>1</v>
      </c>
      <c r="D194" s="110" t="s">
        <v>22</v>
      </c>
      <c r="E194" s="110" t="s">
        <v>24</v>
      </c>
      <c r="F194" s="105" t="s">
        <v>459</v>
      </c>
      <c r="G194" s="118"/>
      <c r="H194" s="118">
        <v>0.20716158712054408</v>
      </c>
      <c r="I194" s="105" t="s">
        <v>249</v>
      </c>
      <c r="J194" s="105"/>
      <c r="K194" s="105"/>
      <c r="L194" s="105"/>
      <c r="M194" s="105"/>
    </row>
    <row r="195" spans="1:13" x14ac:dyDescent="0.35">
      <c r="A195" s="110" t="s">
        <v>392</v>
      </c>
      <c r="B195" s="110" t="s">
        <v>31</v>
      </c>
      <c r="C195" s="110" t="b">
        <v>0</v>
      </c>
      <c r="D195" s="110" t="s">
        <v>22</v>
      </c>
      <c r="E195" s="110" t="s">
        <v>25</v>
      </c>
      <c r="F195" s="105" t="s">
        <v>460</v>
      </c>
      <c r="G195" s="118"/>
      <c r="H195" s="118">
        <v>0.84672778457888431</v>
      </c>
      <c r="I195" s="105" t="s">
        <v>249</v>
      </c>
      <c r="J195" s="105"/>
      <c r="K195" s="105"/>
      <c r="L195" s="105"/>
      <c r="M195" s="105"/>
    </row>
    <row r="196" spans="1:13" x14ac:dyDescent="0.35">
      <c r="A196" s="110" t="s">
        <v>392</v>
      </c>
      <c r="B196" s="110" t="s">
        <v>31</v>
      </c>
      <c r="C196" s="110" t="b">
        <v>1</v>
      </c>
      <c r="D196" s="110" t="s">
        <v>22</v>
      </c>
      <c r="E196" s="110" t="s">
        <v>25</v>
      </c>
      <c r="F196" s="105" t="s">
        <v>461</v>
      </c>
      <c r="G196" s="118"/>
      <c r="H196" s="118">
        <v>0.84669837281154769</v>
      </c>
      <c r="I196" s="105" t="s">
        <v>249</v>
      </c>
      <c r="J196" s="105"/>
      <c r="K196" s="105"/>
      <c r="L196" s="105"/>
      <c r="M196" s="105"/>
    </row>
    <row r="197" spans="1:13" x14ac:dyDescent="0.35">
      <c r="A197" s="110" t="s">
        <v>392</v>
      </c>
      <c r="B197" s="110" t="s">
        <v>31</v>
      </c>
      <c r="C197" s="110" t="b">
        <v>0</v>
      </c>
      <c r="D197" s="110" t="s">
        <v>26</v>
      </c>
      <c r="E197" s="110" t="s">
        <v>23</v>
      </c>
      <c r="F197" s="105" t="s">
        <v>462</v>
      </c>
      <c r="G197" s="118"/>
      <c r="H197" s="118">
        <v>0.17468249711779857</v>
      </c>
      <c r="I197" s="105" t="s">
        <v>157</v>
      </c>
      <c r="J197" s="105"/>
      <c r="K197" s="105">
        <v>0.63781849617401987</v>
      </c>
      <c r="L197" s="105"/>
      <c r="M197" s="105"/>
    </row>
    <row r="198" spans="1:13" x14ac:dyDescent="0.35">
      <c r="A198" s="110" t="s">
        <v>392</v>
      </c>
      <c r="B198" s="110" t="s">
        <v>31</v>
      </c>
      <c r="C198" s="110" t="b">
        <v>1</v>
      </c>
      <c r="D198" s="110" t="s">
        <v>26</v>
      </c>
      <c r="E198" s="110" t="s">
        <v>23</v>
      </c>
      <c r="F198" s="105" t="s">
        <v>463</v>
      </c>
      <c r="G198" s="118"/>
      <c r="H198" s="118">
        <v>0.17468223666851512</v>
      </c>
      <c r="I198" s="105" t="s">
        <v>157</v>
      </c>
      <c r="J198" s="105"/>
      <c r="K198" s="105"/>
      <c r="L198" s="105"/>
      <c r="M198" s="105"/>
    </row>
    <row r="199" spans="1:13" x14ac:dyDescent="0.35">
      <c r="A199" s="110" t="s">
        <v>392</v>
      </c>
      <c r="B199" s="110" t="s">
        <v>31</v>
      </c>
      <c r="C199" s="110" t="b">
        <v>0</v>
      </c>
      <c r="D199" s="110" t="s">
        <v>26</v>
      </c>
      <c r="E199" s="110" t="s">
        <v>24</v>
      </c>
      <c r="F199" s="105" t="s">
        <v>464</v>
      </c>
      <c r="G199" s="118"/>
      <c r="H199" s="118">
        <v>0.35738258058388539</v>
      </c>
      <c r="I199" s="105" t="s">
        <v>157</v>
      </c>
      <c r="J199" s="105"/>
      <c r="K199" s="105"/>
      <c r="L199" s="105"/>
      <c r="M199" s="105"/>
    </row>
    <row r="200" spans="1:13" x14ac:dyDescent="0.35">
      <c r="A200" s="110" t="s">
        <v>392</v>
      </c>
      <c r="B200" s="110" t="s">
        <v>31</v>
      </c>
      <c r="C200" s="110" t="b">
        <v>0</v>
      </c>
      <c r="D200" s="110" t="s">
        <v>26</v>
      </c>
      <c r="E200" s="110" t="s">
        <v>25</v>
      </c>
      <c r="F200" s="105" t="s">
        <v>465</v>
      </c>
      <c r="G200" s="118"/>
      <c r="H200" s="118">
        <v>1.3813904108203756</v>
      </c>
      <c r="I200" s="105" t="s">
        <v>157</v>
      </c>
      <c r="J200" s="105"/>
      <c r="K200" s="105"/>
      <c r="L200" s="105"/>
      <c r="M200" s="105"/>
    </row>
    <row r="201" spans="1:13" x14ac:dyDescent="0.35">
      <c r="A201" s="110" t="s">
        <v>392</v>
      </c>
      <c r="B201" s="110" t="s">
        <v>32</v>
      </c>
      <c r="C201" s="110" t="b">
        <v>1</v>
      </c>
      <c r="D201" s="110" t="s">
        <v>58</v>
      </c>
      <c r="E201" s="110" t="s">
        <v>23</v>
      </c>
      <c r="F201" s="105" t="s">
        <v>466</v>
      </c>
      <c r="G201" s="118"/>
      <c r="H201" s="118">
        <v>6.0518076777431255E-2</v>
      </c>
      <c r="I201" s="105" t="s">
        <v>380</v>
      </c>
      <c r="J201" s="105"/>
      <c r="K201" s="105">
        <v>0.29139057616523478</v>
      </c>
      <c r="L201" s="105"/>
      <c r="M201" s="105"/>
    </row>
    <row r="202" spans="1:13" x14ac:dyDescent="0.35">
      <c r="A202" s="110" t="s">
        <v>392</v>
      </c>
      <c r="B202" s="110" t="s">
        <v>32</v>
      </c>
      <c r="C202" s="110" t="b">
        <v>1</v>
      </c>
      <c r="D202" s="110" t="s">
        <v>58</v>
      </c>
      <c r="E202" s="110" t="s">
        <v>24</v>
      </c>
      <c r="F202" s="105" t="s">
        <v>467</v>
      </c>
      <c r="G202" s="118"/>
      <c r="H202" s="118">
        <v>0.22979975965512467</v>
      </c>
      <c r="I202" s="105" t="s">
        <v>380</v>
      </c>
      <c r="J202" s="105"/>
      <c r="K202" s="105"/>
      <c r="L202" s="105"/>
      <c r="M202" s="105"/>
    </row>
    <row r="203" spans="1:13" x14ac:dyDescent="0.35">
      <c r="A203" s="110" t="s">
        <v>392</v>
      </c>
      <c r="B203" s="110" t="s">
        <v>32</v>
      </c>
      <c r="C203" s="110" t="b">
        <v>1</v>
      </c>
      <c r="D203" s="110" t="s">
        <v>58</v>
      </c>
      <c r="E203" s="110" t="s">
        <v>25</v>
      </c>
      <c r="F203" s="105" t="s">
        <v>468</v>
      </c>
      <c r="G203" s="118"/>
      <c r="H203" s="118">
        <v>0.58385389206314842</v>
      </c>
      <c r="I203" s="105" t="s">
        <v>380</v>
      </c>
      <c r="J203" s="105"/>
      <c r="K203" s="105"/>
      <c r="L203" s="105"/>
      <c r="M203" s="105"/>
    </row>
    <row r="204" spans="1:13" x14ac:dyDescent="0.35">
      <c r="A204" s="110" t="s">
        <v>392</v>
      </c>
      <c r="B204" s="110" t="s">
        <v>32</v>
      </c>
      <c r="C204" s="110" t="b">
        <v>0</v>
      </c>
      <c r="D204" s="110" t="s">
        <v>22</v>
      </c>
      <c r="E204" s="110" t="s">
        <v>23</v>
      </c>
      <c r="F204" s="105" t="s">
        <v>469</v>
      </c>
      <c r="G204" s="118"/>
      <c r="H204" s="118">
        <v>0.13456515421792697</v>
      </c>
      <c r="I204" s="105" t="s">
        <v>383</v>
      </c>
      <c r="J204" s="105"/>
      <c r="K204" s="105">
        <v>0.53022452739775172</v>
      </c>
      <c r="L204" s="105"/>
      <c r="M204" s="105"/>
    </row>
    <row r="205" spans="1:13" x14ac:dyDescent="0.35">
      <c r="A205" s="110" t="s">
        <v>392</v>
      </c>
      <c r="B205" s="110" t="s">
        <v>32</v>
      </c>
      <c r="C205" s="110" t="b">
        <v>1</v>
      </c>
      <c r="D205" s="110" t="s">
        <v>22</v>
      </c>
      <c r="E205" s="110" t="s">
        <v>23</v>
      </c>
      <c r="F205" s="105" t="s">
        <v>470</v>
      </c>
      <c r="G205" s="118"/>
      <c r="H205" s="118">
        <v>0.13427104597857459</v>
      </c>
      <c r="I205" s="105" t="s">
        <v>383</v>
      </c>
      <c r="J205" s="105"/>
      <c r="K205" s="105"/>
      <c r="L205" s="105"/>
      <c r="M205" s="105"/>
    </row>
    <row r="206" spans="1:13" x14ac:dyDescent="0.35">
      <c r="A206" s="110" t="s">
        <v>392</v>
      </c>
      <c r="B206" s="110" t="s">
        <v>32</v>
      </c>
      <c r="C206" s="110" t="b">
        <v>0</v>
      </c>
      <c r="D206" s="110" t="s">
        <v>22</v>
      </c>
      <c r="E206" s="110" t="s">
        <v>24</v>
      </c>
      <c r="F206" s="105" t="s">
        <v>471</v>
      </c>
      <c r="G206" s="118"/>
      <c r="H206" s="118">
        <v>0.49003152011160001</v>
      </c>
      <c r="I206" s="105" t="s">
        <v>383</v>
      </c>
      <c r="J206" s="105"/>
      <c r="K206" s="105"/>
      <c r="L206" s="105"/>
      <c r="M206" s="105"/>
    </row>
    <row r="207" spans="1:13" x14ac:dyDescent="0.35">
      <c r="A207" s="110" t="s">
        <v>392</v>
      </c>
      <c r="B207" s="110" t="s">
        <v>32</v>
      </c>
      <c r="C207" s="110" t="b">
        <v>1</v>
      </c>
      <c r="D207" s="110" t="s">
        <v>22</v>
      </c>
      <c r="E207" s="110" t="s">
        <v>24</v>
      </c>
      <c r="F207" s="105" t="s">
        <v>472</v>
      </c>
      <c r="G207" s="118"/>
      <c r="H207" s="118">
        <v>0.4885177629835224</v>
      </c>
      <c r="I207" s="105" t="s">
        <v>383</v>
      </c>
      <c r="J207" s="105"/>
      <c r="K207" s="105"/>
      <c r="L207" s="105"/>
      <c r="M207" s="105"/>
    </row>
    <row r="208" spans="1:13" x14ac:dyDescent="0.35">
      <c r="A208" s="110" t="s">
        <v>392</v>
      </c>
      <c r="B208" s="110" t="s">
        <v>32</v>
      </c>
      <c r="C208" s="110" t="b">
        <v>0</v>
      </c>
      <c r="D208" s="110" t="s">
        <v>22</v>
      </c>
      <c r="E208" s="110" t="s">
        <v>25</v>
      </c>
      <c r="F208" s="105" t="s">
        <v>473</v>
      </c>
      <c r="G208" s="118"/>
      <c r="H208" s="118">
        <v>0.96607690786372813</v>
      </c>
      <c r="I208" s="105" t="s">
        <v>383</v>
      </c>
      <c r="J208" s="105"/>
      <c r="K208" s="105"/>
      <c r="L208" s="105"/>
      <c r="M208" s="105"/>
    </row>
    <row r="209" spans="1:13" x14ac:dyDescent="0.35">
      <c r="A209" s="110" t="s">
        <v>392</v>
      </c>
      <c r="B209" s="110" t="s">
        <v>32</v>
      </c>
      <c r="C209" s="110" t="b">
        <v>1</v>
      </c>
      <c r="D209" s="110" t="s">
        <v>22</v>
      </c>
      <c r="E209" s="110" t="s">
        <v>25</v>
      </c>
      <c r="F209" s="105" t="s">
        <v>474</v>
      </c>
      <c r="G209" s="118"/>
      <c r="H209" s="118">
        <v>0.96247244668725385</v>
      </c>
      <c r="I209" s="105" t="s">
        <v>383</v>
      </c>
      <c r="J209" s="105"/>
      <c r="K209" s="105"/>
      <c r="L209" s="105"/>
      <c r="M209" s="105"/>
    </row>
    <row r="210" spans="1:13" x14ac:dyDescent="0.35">
      <c r="A210" s="110" t="s">
        <v>392</v>
      </c>
      <c r="B210" s="110" t="s">
        <v>32</v>
      </c>
      <c r="C210" s="110" t="b">
        <v>0</v>
      </c>
      <c r="D210" s="110" t="s">
        <v>26</v>
      </c>
      <c r="E210" s="110" t="s">
        <v>23</v>
      </c>
      <c r="F210" s="105" t="s">
        <v>475</v>
      </c>
      <c r="G210" s="118"/>
      <c r="H210" s="118">
        <v>0.22383062806929613</v>
      </c>
      <c r="I210" s="105" t="s">
        <v>158</v>
      </c>
      <c r="J210" s="105"/>
      <c r="K210" s="105">
        <v>0.90445101554126595</v>
      </c>
      <c r="L210" s="105"/>
      <c r="M210" s="105"/>
    </row>
    <row r="211" spans="1:13" x14ac:dyDescent="0.35">
      <c r="A211" s="110" t="s">
        <v>392</v>
      </c>
      <c r="B211" s="110" t="s">
        <v>32</v>
      </c>
      <c r="C211" s="110" t="b">
        <v>1</v>
      </c>
      <c r="D211" s="110" t="s">
        <v>26</v>
      </c>
      <c r="E211" s="110" t="s">
        <v>23</v>
      </c>
      <c r="F211" s="105" t="s">
        <v>476</v>
      </c>
      <c r="G211" s="118"/>
      <c r="H211" s="118">
        <v>0.22347007071977354</v>
      </c>
      <c r="I211" s="105" t="s">
        <v>158</v>
      </c>
      <c r="J211" s="105"/>
      <c r="K211" s="105"/>
      <c r="L211" s="105"/>
      <c r="M211" s="105"/>
    </row>
    <row r="212" spans="1:13" x14ac:dyDescent="0.35">
      <c r="A212" s="110" t="s">
        <v>392</v>
      </c>
      <c r="B212" s="110" t="s">
        <v>32</v>
      </c>
      <c r="C212" s="110" t="b">
        <v>0</v>
      </c>
      <c r="D212" s="110" t="s">
        <v>26</v>
      </c>
      <c r="E212" s="110" t="s">
        <v>24</v>
      </c>
      <c r="F212" s="105" t="s">
        <v>477</v>
      </c>
      <c r="G212" s="118"/>
      <c r="H212" s="118">
        <v>0.9135649555044123</v>
      </c>
      <c r="I212" s="105" t="s">
        <v>158</v>
      </c>
      <c r="J212" s="105"/>
      <c r="K212" s="105"/>
      <c r="L212" s="105"/>
      <c r="M212" s="105"/>
    </row>
    <row r="213" spans="1:13" x14ac:dyDescent="0.35">
      <c r="A213" s="110" t="s">
        <v>392</v>
      </c>
      <c r="B213" s="110" t="s">
        <v>32</v>
      </c>
      <c r="C213" s="110" t="b">
        <v>0</v>
      </c>
      <c r="D213" s="110" t="s">
        <v>26</v>
      </c>
      <c r="E213" s="110" t="s">
        <v>25</v>
      </c>
      <c r="F213" s="105" t="s">
        <v>478</v>
      </c>
      <c r="G213" s="118"/>
      <c r="H213" s="118">
        <v>1.5759574630500897</v>
      </c>
      <c r="I213" s="105" t="s">
        <v>158</v>
      </c>
      <c r="J213" s="105"/>
      <c r="K213" s="105"/>
      <c r="L213" s="105"/>
      <c r="M213" s="105"/>
    </row>
    <row r="214" spans="1:13" x14ac:dyDescent="0.35">
      <c r="A214" s="110" t="s">
        <v>479</v>
      </c>
      <c r="B214" s="110" t="s">
        <v>21</v>
      </c>
      <c r="C214" s="110" t="b">
        <v>1</v>
      </c>
      <c r="D214" s="110" t="s">
        <v>58</v>
      </c>
      <c r="E214" s="110" t="s">
        <v>23</v>
      </c>
      <c r="F214" s="105" t="s">
        <v>480</v>
      </c>
      <c r="G214" s="118"/>
      <c r="H214" s="118">
        <v>5.2791561498201418E-2</v>
      </c>
      <c r="I214" s="105"/>
      <c r="J214" s="105"/>
      <c r="K214" s="105"/>
      <c r="L214" s="105"/>
      <c r="M214" s="105"/>
    </row>
    <row r="215" spans="1:13" x14ac:dyDescent="0.35">
      <c r="A215" s="110" t="s">
        <v>479</v>
      </c>
      <c r="B215" s="110" t="s">
        <v>21</v>
      </c>
      <c r="C215" s="110" t="b">
        <v>1</v>
      </c>
      <c r="D215" s="110" t="s">
        <v>58</v>
      </c>
      <c r="E215" s="110" t="s">
        <v>24</v>
      </c>
      <c r="F215" s="105" t="s">
        <v>481</v>
      </c>
      <c r="G215" s="118"/>
      <c r="H215" s="118">
        <v>0.2977070033586518</v>
      </c>
      <c r="I215" s="105"/>
      <c r="J215" s="105"/>
      <c r="K215" s="105"/>
      <c r="L215" s="105"/>
      <c r="M215" s="105"/>
    </row>
    <row r="216" spans="1:13" x14ac:dyDescent="0.35">
      <c r="A216" s="110" t="s">
        <v>479</v>
      </c>
      <c r="B216" s="110" t="s">
        <v>21</v>
      </c>
      <c r="C216" s="110" t="b">
        <v>1</v>
      </c>
      <c r="D216" s="110" t="s">
        <v>58</v>
      </c>
      <c r="E216" s="110" t="s">
        <v>25</v>
      </c>
      <c r="F216" s="105" t="s">
        <v>482</v>
      </c>
      <c r="G216" s="118"/>
      <c r="H216" s="118">
        <v>0.50641189979108803</v>
      </c>
      <c r="I216" s="105"/>
      <c r="J216" s="105"/>
      <c r="K216" s="105"/>
      <c r="L216" s="105"/>
      <c r="M216" s="105"/>
    </row>
    <row r="217" spans="1:13" x14ac:dyDescent="0.35">
      <c r="A217" s="110" t="s">
        <v>479</v>
      </c>
      <c r="B217" s="110" t="s">
        <v>21</v>
      </c>
      <c r="C217" s="110" t="b">
        <v>0</v>
      </c>
      <c r="D217" s="110" t="s">
        <v>22</v>
      </c>
      <c r="E217" s="110" t="s">
        <v>23</v>
      </c>
      <c r="F217" s="105" t="s">
        <v>483</v>
      </c>
      <c r="G217" s="118"/>
      <c r="H217" s="118">
        <v>0.14442017224146569</v>
      </c>
      <c r="I217" s="105"/>
      <c r="J217" s="105"/>
      <c r="K217" s="105"/>
      <c r="L217" s="105"/>
      <c r="M217" s="105"/>
    </row>
    <row r="218" spans="1:13" x14ac:dyDescent="0.35">
      <c r="A218" s="110" t="s">
        <v>479</v>
      </c>
      <c r="B218" s="110" t="s">
        <v>21</v>
      </c>
      <c r="C218" s="110" t="b">
        <v>1</v>
      </c>
      <c r="D218" s="110" t="s">
        <v>22</v>
      </c>
      <c r="E218" s="110" t="s">
        <v>23</v>
      </c>
      <c r="F218" s="105" t="s">
        <v>484</v>
      </c>
      <c r="G218" s="118"/>
      <c r="H218" s="118">
        <v>0.14441095485562394</v>
      </c>
      <c r="I218" s="105"/>
      <c r="J218" s="105"/>
      <c r="K218" s="105"/>
      <c r="L218" s="105"/>
      <c r="M218" s="105"/>
    </row>
    <row r="219" spans="1:13" x14ac:dyDescent="0.35">
      <c r="A219" s="110" t="s">
        <v>479</v>
      </c>
      <c r="B219" s="110" t="s">
        <v>21</v>
      </c>
      <c r="C219" s="110" t="b">
        <v>0</v>
      </c>
      <c r="D219" s="110" t="s">
        <v>22</v>
      </c>
      <c r="E219" s="110" t="s">
        <v>24</v>
      </c>
      <c r="F219" s="105" t="s">
        <v>485</v>
      </c>
      <c r="G219" s="118"/>
      <c r="H219" s="118">
        <v>0.64479488740774404</v>
      </c>
      <c r="I219" s="105"/>
      <c r="J219" s="105"/>
      <c r="K219" s="105"/>
      <c r="L219" s="105"/>
      <c r="M219" s="105"/>
    </row>
    <row r="220" spans="1:13" x14ac:dyDescent="0.35">
      <c r="A220" s="110" t="s">
        <v>479</v>
      </c>
      <c r="B220" s="110" t="s">
        <v>21</v>
      </c>
      <c r="C220" s="110" t="b">
        <v>1</v>
      </c>
      <c r="D220" s="110" t="s">
        <v>22</v>
      </c>
      <c r="E220" s="110" t="s">
        <v>24</v>
      </c>
      <c r="F220" s="105" t="s">
        <v>486</v>
      </c>
      <c r="G220" s="118"/>
      <c r="H220" s="118">
        <v>0.64475231694750423</v>
      </c>
      <c r="I220" s="105"/>
      <c r="J220" s="105"/>
      <c r="K220" s="105"/>
      <c r="L220" s="105"/>
      <c r="M220" s="105"/>
    </row>
    <row r="221" spans="1:13" x14ac:dyDescent="0.35">
      <c r="A221" s="110" t="s">
        <v>479</v>
      </c>
      <c r="B221" s="110" t="s">
        <v>21</v>
      </c>
      <c r="C221" s="110" t="b">
        <v>0</v>
      </c>
      <c r="D221" s="110" t="s">
        <v>22</v>
      </c>
      <c r="E221" s="110" t="s">
        <v>25</v>
      </c>
      <c r="F221" s="105" t="s">
        <v>487</v>
      </c>
      <c r="G221" s="118"/>
      <c r="H221" s="118">
        <v>0.89671147288968256</v>
      </c>
      <c r="I221" s="105"/>
      <c r="J221" s="105"/>
      <c r="K221" s="105"/>
      <c r="L221" s="105"/>
      <c r="M221" s="105"/>
    </row>
    <row r="222" spans="1:13" x14ac:dyDescent="0.35">
      <c r="A222" s="110" t="s">
        <v>479</v>
      </c>
      <c r="B222" s="110" t="s">
        <v>21</v>
      </c>
      <c r="C222" s="110" t="b">
        <v>1</v>
      </c>
      <c r="D222" s="110" t="s">
        <v>22</v>
      </c>
      <c r="E222" s="110" t="s">
        <v>25</v>
      </c>
      <c r="F222" s="105" t="s">
        <v>488</v>
      </c>
      <c r="G222" s="118"/>
      <c r="H222" s="118">
        <v>0.89660794864776694</v>
      </c>
      <c r="I222" s="105"/>
      <c r="J222" s="105"/>
      <c r="K222" s="105"/>
      <c r="L222" s="105"/>
      <c r="M222" s="105"/>
    </row>
    <row r="223" spans="1:13" x14ac:dyDescent="0.35">
      <c r="A223" s="110" t="s">
        <v>479</v>
      </c>
      <c r="B223" s="110" t="s">
        <v>21</v>
      </c>
      <c r="C223" s="110" t="b">
        <v>0</v>
      </c>
      <c r="D223" s="110" t="s">
        <v>26</v>
      </c>
      <c r="E223" s="110" t="s">
        <v>23</v>
      </c>
      <c r="F223" s="105" t="s">
        <v>159</v>
      </c>
      <c r="G223" s="118"/>
      <c r="H223" s="118">
        <v>0.25051427740909443</v>
      </c>
      <c r="I223" s="105"/>
      <c r="J223" s="105"/>
      <c r="K223" s="105"/>
      <c r="L223" s="105"/>
      <c r="M223" s="105"/>
    </row>
    <row r="224" spans="1:13" x14ac:dyDescent="0.35">
      <c r="A224" s="110" t="s">
        <v>479</v>
      </c>
      <c r="B224" s="110" t="s">
        <v>21</v>
      </c>
      <c r="C224" s="110" t="b">
        <v>1</v>
      </c>
      <c r="D224" s="110" t="s">
        <v>26</v>
      </c>
      <c r="E224" s="110" t="s">
        <v>23</v>
      </c>
      <c r="F224" s="105" t="s">
        <v>489</v>
      </c>
      <c r="G224" s="118"/>
      <c r="H224" s="118">
        <v>0.25050286565712021</v>
      </c>
      <c r="I224" s="105"/>
      <c r="J224" s="105"/>
      <c r="K224" s="105"/>
      <c r="L224" s="105"/>
      <c r="M224" s="105"/>
    </row>
    <row r="225" spans="1:13" x14ac:dyDescent="0.35">
      <c r="A225" s="110" t="s">
        <v>479</v>
      </c>
      <c r="B225" s="110" t="s">
        <v>21</v>
      </c>
      <c r="C225" s="110" t="b">
        <v>0</v>
      </c>
      <c r="D225" s="110" t="s">
        <v>26</v>
      </c>
      <c r="E225" s="110" t="s">
        <v>24</v>
      </c>
      <c r="F225" s="105" t="s">
        <v>490</v>
      </c>
      <c r="G225" s="118"/>
      <c r="H225" s="118">
        <v>1.2185460843402012</v>
      </c>
      <c r="I225" s="105"/>
      <c r="J225" s="105"/>
      <c r="K225" s="105"/>
      <c r="L225" s="105"/>
      <c r="M225" s="105"/>
    </row>
    <row r="226" spans="1:13" x14ac:dyDescent="0.35">
      <c r="A226" s="110" t="s">
        <v>479</v>
      </c>
      <c r="B226" s="110" t="s">
        <v>21</v>
      </c>
      <c r="C226" s="110" t="b">
        <v>1</v>
      </c>
      <c r="D226" s="110" t="s">
        <v>26</v>
      </c>
      <c r="E226" s="110" t="s">
        <v>24</v>
      </c>
      <c r="F226" s="105" t="s">
        <v>491</v>
      </c>
      <c r="G226" s="118"/>
      <c r="H226" s="118">
        <v>1.2184763316719143</v>
      </c>
      <c r="I226" s="105"/>
      <c r="J226" s="105"/>
      <c r="K226" s="105"/>
      <c r="L226" s="105"/>
      <c r="M226" s="105"/>
    </row>
    <row r="227" spans="1:13" x14ac:dyDescent="0.35">
      <c r="A227" s="110" t="s">
        <v>479</v>
      </c>
      <c r="B227" s="110" t="s">
        <v>21</v>
      </c>
      <c r="C227" s="110" t="b">
        <v>0</v>
      </c>
      <c r="D227" s="110" t="s">
        <v>26</v>
      </c>
      <c r="E227" s="110" t="s">
        <v>25</v>
      </c>
      <c r="F227" s="105" t="s">
        <v>238</v>
      </c>
      <c r="G227" s="118"/>
      <c r="H227" s="118">
        <v>1.4733623454799352</v>
      </c>
      <c r="I227" s="105"/>
      <c r="J227" s="105"/>
      <c r="K227" s="105"/>
      <c r="L227" s="105"/>
      <c r="M227" s="105"/>
    </row>
    <row r="228" spans="1:13" x14ac:dyDescent="0.35">
      <c r="A228" s="110" t="s">
        <v>479</v>
      </c>
      <c r="B228" s="110" t="s">
        <v>27</v>
      </c>
      <c r="C228" s="110" t="b">
        <v>1</v>
      </c>
      <c r="D228" s="110" t="s">
        <v>58</v>
      </c>
      <c r="E228" s="110" t="s">
        <v>23</v>
      </c>
      <c r="F228" s="105" t="s">
        <v>492</v>
      </c>
      <c r="G228" s="118"/>
      <c r="H228" s="118">
        <v>4.5334685307154607E-2</v>
      </c>
      <c r="I228" s="105"/>
      <c r="J228" s="105"/>
      <c r="K228" s="105"/>
      <c r="L228" s="105"/>
      <c r="M228" s="105"/>
    </row>
    <row r="229" spans="1:13" x14ac:dyDescent="0.35">
      <c r="A229" s="110" t="s">
        <v>479</v>
      </c>
      <c r="B229" s="110" t="s">
        <v>27</v>
      </c>
      <c r="C229" s="110" t="b">
        <v>1</v>
      </c>
      <c r="D229" s="110" t="s">
        <v>58</v>
      </c>
      <c r="E229" s="110" t="s">
        <v>24</v>
      </c>
      <c r="F229" s="105" t="s">
        <v>493</v>
      </c>
      <c r="G229" s="118"/>
      <c r="H229" s="118">
        <v>0.24437261008214894</v>
      </c>
      <c r="I229" s="105"/>
      <c r="J229" s="105"/>
      <c r="K229" s="105"/>
      <c r="L229" s="105"/>
      <c r="M229" s="105"/>
    </row>
    <row r="230" spans="1:13" x14ac:dyDescent="0.35">
      <c r="A230" s="110" t="s">
        <v>479</v>
      </c>
      <c r="B230" s="110" t="s">
        <v>27</v>
      </c>
      <c r="C230" s="110" t="b">
        <v>1</v>
      </c>
      <c r="D230" s="110" t="s">
        <v>58</v>
      </c>
      <c r="E230" s="110" t="s">
        <v>25</v>
      </c>
      <c r="F230" s="105" t="s">
        <v>494</v>
      </c>
      <c r="G230" s="118"/>
      <c r="H230" s="118">
        <v>0.44760661475516528</v>
      </c>
      <c r="I230" s="105"/>
      <c r="J230" s="105"/>
      <c r="K230" s="105"/>
      <c r="L230" s="105"/>
      <c r="M230" s="105"/>
    </row>
    <row r="231" spans="1:13" x14ac:dyDescent="0.35">
      <c r="A231" s="110" t="s">
        <v>479</v>
      </c>
      <c r="B231" s="110" t="s">
        <v>27</v>
      </c>
      <c r="C231" s="110" t="b">
        <v>0</v>
      </c>
      <c r="D231" s="110" t="s">
        <v>22</v>
      </c>
      <c r="E231" s="110" t="s">
        <v>23</v>
      </c>
      <c r="F231" s="105" t="s">
        <v>239</v>
      </c>
      <c r="G231" s="118"/>
      <c r="H231" s="118">
        <v>0.12080411791523024</v>
      </c>
      <c r="I231" s="105"/>
      <c r="J231" s="105"/>
      <c r="K231" s="105"/>
      <c r="L231" s="105"/>
      <c r="M231" s="105"/>
    </row>
    <row r="232" spans="1:13" x14ac:dyDescent="0.35">
      <c r="A232" s="110" t="s">
        <v>479</v>
      </c>
      <c r="B232" s="110" t="s">
        <v>27</v>
      </c>
      <c r="C232" s="110" t="b">
        <v>1</v>
      </c>
      <c r="D232" s="110" t="s">
        <v>22</v>
      </c>
      <c r="E232" s="110" t="s">
        <v>23</v>
      </c>
      <c r="F232" s="105" t="s">
        <v>495</v>
      </c>
      <c r="G232" s="118"/>
      <c r="H232" s="118">
        <v>0.12080411791523024</v>
      </c>
      <c r="I232" s="105"/>
      <c r="J232" s="105"/>
      <c r="K232" s="105"/>
      <c r="L232" s="105"/>
      <c r="M232" s="105"/>
    </row>
    <row r="233" spans="1:13" x14ac:dyDescent="0.35">
      <c r="A233" s="110" t="s">
        <v>479</v>
      </c>
      <c r="B233" s="110" t="s">
        <v>27</v>
      </c>
      <c r="C233" s="110" t="b">
        <v>0</v>
      </c>
      <c r="D233" s="110" t="s">
        <v>22</v>
      </c>
      <c r="E233" s="110" t="s">
        <v>24</v>
      </c>
      <c r="F233" s="105" t="s">
        <v>241</v>
      </c>
      <c r="G233" s="118"/>
      <c r="H233" s="118">
        <v>0.50827807696675242</v>
      </c>
      <c r="I233" s="105"/>
      <c r="J233" s="105"/>
      <c r="K233" s="105"/>
      <c r="L233" s="105"/>
      <c r="M233" s="105"/>
    </row>
    <row r="234" spans="1:13" x14ac:dyDescent="0.35">
      <c r="A234" s="110" t="s">
        <v>479</v>
      </c>
      <c r="B234" s="110" t="s">
        <v>27</v>
      </c>
      <c r="C234" s="110" t="b">
        <v>1</v>
      </c>
      <c r="D234" s="110" t="s">
        <v>22</v>
      </c>
      <c r="E234" s="110" t="s">
        <v>24</v>
      </c>
      <c r="F234" s="105" t="s">
        <v>496</v>
      </c>
      <c r="G234" s="118"/>
      <c r="H234" s="118">
        <v>0.50827807696675242</v>
      </c>
      <c r="I234" s="105"/>
      <c r="J234" s="105"/>
      <c r="K234" s="105"/>
      <c r="L234" s="105"/>
      <c r="M234" s="105"/>
    </row>
    <row r="235" spans="1:13" x14ac:dyDescent="0.35">
      <c r="A235" s="110" t="s">
        <v>479</v>
      </c>
      <c r="B235" s="110" t="s">
        <v>27</v>
      </c>
      <c r="C235" s="110" t="b">
        <v>0</v>
      </c>
      <c r="D235" s="110" t="s">
        <v>22</v>
      </c>
      <c r="E235" s="110" t="s">
        <v>25</v>
      </c>
      <c r="F235" s="105" t="s">
        <v>497</v>
      </c>
      <c r="G235" s="118"/>
      <c r="H235" s="118">
        <v>0.77061060733176356</v>
      </c>
      <c r="I235" s="105"/>
      <c r="J235" s="105"/>
      <c r="K235" s="105"/>
      <c r="L235" s="105"/>
      <c r="M235" s="105"/>
    </row>
    <row r="236" spans="1:13" x14ac:dyDescent="0.35">
      <c r="A236" s="110" t="s">
        <v>479</v>
      </c>
      <c r="B236" s="110" t="s">
        <v>27</v>
      </c>
      <c r="C236" s="110" t="b">
        <v>1</v>
      </c>
      <c r="D236" s="110" t="s">
        <v>22</v>
      </c>
      <c r="E236" s="110" t="s">
        <v>25</v>
      </c>
      <c r="F236" s="105" t="s">
        <v>498</v>
      </c>
      <c r="G236" s="118"/>
      <c r="H236" s="118">
        <v>0.77061060733176356</v>
      </c>
      <c r="I236" s="105"/>
      <c r="J236" s="105"/>
      <c r="K236" s="105"/>
      <c r="L236" s="105"/>
      <c r="M236" s="105"/>
    </row>
    <row r="237" spans="1:13" x14ac:dyDescent="0.35">
      <c r="A237" s="110" t="s">
        <v>479</v>
      </c>
      <c r="B237" s="110" t="s">
        <v>27</v>
      </c>
      <c r="C237" s="110" t="b">
        <v>0</v>
      </c>
      <c r="D237" s="110" t="s">
        <v>26</v>
      </c>
      <c r="E237" s="110" t="s">
        <v>23</v>
      </c>
      <c r="F237" s="105" t="s">
        <v>160</v>
      </c>
      <c r="G237" s="118"/>
      <c r="H237" s="118">
        <v>0.21641445398896098</v>
      </c>
      <c r="I237" s="105"/>
      <c r="J237" s="105"/>
      <c r="K237" s="105"/>
      <c r="L237" s="105"/>
      <c r="M237" s="105"/>
    </row>
    <row r="238" spans="1:13" x14ac:dyDescent="0.35">
      <c r="A238" s="110" t="s">
        <v>479</v>
      </c>
      <c r="B238" s="110" t="s">
        <v>27</v>
      </c>
      <c r="C238" s="110" t="b">
        <v>1</v>
      </c>
      <c r="D238" s="110" t="s">
        <v>26</v>
      </c>
      <c r="E238" s="110" t="s">
        <v>23</v>
      </c>
      <c r="F238" s="105" t="s">
        <v>499</v>
      </c>
      <c r="G238" s="118"/>
      <c r="H238" s="118">
        <v>0.21641445398896098</v>
      </c>
      <c r="I238" s="105"/>
      <c r="J238" s="105"/>
      <c r="K238" s="105"/>
      <c r="L238" s="105"/>
      <c r="M238" s="105"/>
    </row>
    <row r="239" spans="1:13" x14ac:dyDescent="0.35">
      <c r="A239" s="110" t="s">
        <v>479</v>
      </c>
      <c r="B239" s="110" t="s">
        <v>27</v>
      </c>
      <c r="C239" s="110" t="b">
        <v>0</v>
      </c>
      <c r="D239" s="110" t="s">
        <v>26</v>
      </c>
      <c r="E239" s="110" t="s">
        <v>24</v>
      </c>
      <c r="F239" s="105" t="s">
        <v>170</v>
      </c>
      <c r="G239" s="118"/>
      <c r="H239" s="118">
        <v>0.95292433370812724</v>
      </c>
      <c r="I239" s="105"/>
      <c r="J239" s="105"/>
      <c r="K239" s="105"/>
      <c r="L239" s="105"/>
      <c r="M239" s="105"/>
    </row>
    <row r="240" spans="1:13" x14ac:dyDescent="0.35">
      <c r="A240" s="110" t="s">
        <v>479</v>
      </c>
      <c r="B240" s="110" t="s">
        <v>27</v>
      </c>
      <c r="C240" s="110" t="b">
        <v>1</v>
      </c>
      <c r="D240" s="110" t="s">
        <v>26</v>
      </c>
      <c r="E240" s="110" t="s">
        <v>24</v>
      </c>
      <c r="F240" s="105" t="s">
        <v>500</v>
      </c>
      <c r="G240" s="118"/>
      <c r="H240" s="118">
        <v>0.95292433370812724</v>
      </c>
      <c r="I240" s="105"/>
      <c r="J240" s="105"/>
      <c r="K240" s="105"/>
      <c r="L240" s="105"/>
      <c r="M240" s="105"/>
    </row>
    <row r="241" spans="1:13" x14ac:dyDescent="0.35">
      <c r="A241" s="110" t="s">
        <v>479</v>
      </c>
      <c r="B241" s="110" t="s">
        <v>27</v>
      </c>
      <c r="C241" s="110" t="b">
        <v>0</v>
      </c>
      <c r="D241" s="110" t="s">
        <v>26</v>
      </c>
      <c r="E241" s="110" t="s">
        <v>25</v>
      </c>
      <c r="F241" s="105" t="s">
        <v>242</v>
      </c>
      <c r="G241" s="118"/>
      <c r="H241" s="118">
        <v>1.2683278813597649</v>
      </c>
      <c r="I241" s="105"/>
      <c r="J241" s="105"/>
      <c r="K241" s="105"/>
      <c r="L241" s="105"/>
      <c r="M241" s="105"/>
    </row>
    <row r="242" spans="1:13" x14ac:dyDescent="0.35">
      <c r="A242" s="110" t="s">
        <v>479</v>
      </c>
      <c r="B242" s="110" t="s">
        <v>27</v>
      </c>
      <c r="C242" s="110" t="b">
        <v>0</v>
      </c>
      <c r="D242" s="110" t="s">
        <v>71</v>
      </c>
      <c r="E242" s="110" t="s">
        <v>23</v>
      </c>
      <c r="F242" s="105" t="s">
        <v>501</v>
      </c>
      <c r="G242" s="118"/>
      <c r="H242" s="118">
        <v>0.32587470282788211</v>
      </c>
      <c r="I242" s="105"/>
      <c r="J242" s="105"/>
      <c r="K242" s="105"/>
      <c r="L242" s="105"/>
      <c r="M242" s="105"/>
    </row>
    <row r="243" spans="1:13" x14ac:dyDescent="0.35">
      <c r="A243" s="110" t="s">
        <v>479</v>
      </c>
      <c r="B243" s="110" t="s">
        <v>27</v>
      </c>
      <c r="C243" s="110" t="b">
        <v>0</v>
      </c>
      <c r="D243" s="110" t="s">
        <v>71</v>
      </c>
      <c r="E243" s="110" t="s">
        <v>24</v>
      </c>
      <c r="F243" s="105" t="s">
        <v>502</v>
      </c>
      <c r="G243" s="118"/>
      <c r="H243" s="118">
        <v>1.5500947585478166</v>
      </c>
      <c r="I243" s="105"/>
      <c r="J243" s="105"/>
      <c r="K243" s="105"/>
      <c r="L243" s="105"/>
      <c r="M243" s="105"/>
    </row>
    <row r="244" spans="1:13" x14ac:dyDescent="0.35">
      <c r="A244" s="110" t="s">
        <v>479</v>
      </c>
      <c r="B244" s="110" t="s">
        <v>28</v>
      </c>
      <c r="C244" s="110" t="b">
        <v>1</v>
      </c>
      <c r="D244" s="110" t="s">
        <v>58</v>
      </c>
      <c r="E244" s="110" t="s">
        <v>23</v>
      </c>
      <c r="F244" s="105" t="s">
        <v>503</v>
      </c>
      <c r="G244" s="118"/>
      <c r="H244" s="118">
        <v>2.9254694181757416E-2</v>
      </c>
      <c r="I244" s="105"/>
      <c r="J244" s="105"/>
      <c r="K244" s="105"/>
      <c r="L244" s="105"/>
      <c r="M244" s="105"/>
    </row>
    <row r="245" spans="1:13" x14ac:dyDescent="0.35">
      <c r="A245" s="110" t="s">
        <v>479</v>
      </c>
      <c r="B245" s="110" t="s">
        <v>28</v>
      </c>
      <c r="C245" s="110" t="b">
        <v>1</v>
      </c>
      <c r="D245" s="110" t="s">
        <v>58</v>
      </c>
      <c r="E245" s="110" t="s">
        <v>24</v>
      </c>
      <c r="F245" s="105" t="s">
        <v>504</v>
      </c>
      <c r="G245" s="118"/>
      <c r="H245" s="118">
        <v>0.17392808545226457</v>
      </c>
      <c r="I245" s="105"/>
      <c r="J245" s="105"/>
      <c r="K245" s="105"/>
      <c r="L245" s="105"/>
      <c r="M245" s="105"/>
    </row>
    <row r="246" spans="1:13" x14ac:dyDescent="0.35">
      <c r="A246" s="110" t="s">
        <v>479</v>
      </c>
      <c r="B246" s="110" t="s">
        <v>28</v>
      </c>
      <c r="C246" s="110" t="b">
        <v>1</v>
      </c>
      <c r="D246" s="110" t="s">
        <v>58</v>
      </c>
      <c r="E246" s="110" t="s">
        <v>25</v>
      </c>
      <c r="F246" s="105" t="s">
        <v>505</v>
      </c>
      <c r="G246" s="118"/>
      <c r="H246" s="118">
        <v>0.30473136314709037</v>
      </c>
      <c r="I246" s="105"/>
      <c r="J246" s="105"/>
      <c r="K246" s="105"/>
      <c r="L246" s="105"/>
      <c r="M246" s="105"/>
    </row>
    <row r="247" spans="1:13" x14ac:dyDescent="0.35">
      <c r="A247" s="110" t="s">
        <v>479</v>
      </c>
      <c r="B247" s="110" t="s">
        <v>28</v>
      </c>
      <c r="C247" s="110" t="b">
        <v>0</v>
      </c>
      <c r="D247" s="110" t="s">
        <v>22</v>
      </c>
      <c r="E247" s="110" t="s">
        <v>23</v>
      </c>
      <c r="F247" s="105" t="s">
        <v>506</v>
      </c>
      <c r="G247" s="118"/>
      <c r="H247" s="118">
        <v>8.2576172109286999E-2</v>
      </c>
      <c r="I247" s="105"/>
      <c r="J247" s="105"/>
      <c r="K247" s="105"/>
      <c r="L247" s="105"/>
      <c r="M247" s="105"/>
    </row>
    <row r="248" spans="1:13" x14ac:dyDescent="0.35">
      <c r="A248" s="110" t="s">
        <v>479</v>
      </c>
      <c r="B248" s="110" t="s">
        <v>28</v>
      </c>
      <c r="C248" s="110" t="b">
        <v>1</v>
      </c>
      <c r="D248" s="110" t="s">
        <v>22</v>
      </c>
      <c r="E248" s="110" t="s">
        <v>23</v>
      </c>
      <c r="F248" s="105" t="s">
        <v>507</v>
      </c>
      <c r="G248" s="118"/>
      <c r="H248" s="118">
        <v>8.2576172109286999E-2</v>
      </c>
      <c r="I248" s="105"/>
      <c r="J248" s="105"/>
      <c r="K248" s="105"/>
      <c r="L248" s="105"/>
      <c r="M248" s="105"/>
    </row>
    <row r="249" spans="1:13" x14ac:dyDescent="0.35">
      <c r="A249" s="110" t="s">
        <v>479</v>
      </c>
      <c r="B249" s="110" t="s">
        <v>28</v>
      </c>
      <c r="C249" s="110" t="b">
        <v>0</v>
      </c>
      <c r="D249" s="110" t="s">
        <v>22</v>
      </c>
      <c r="E249" s="110" t="s">
        <v>24</v>
      </c>
      <c r="F249" s="105" t="s">
        <v>508</v>
      </c>
      <c r="G249" s="118"/>
      <c r="H249" s="118">
        <v>0.36933024927400165</v>
      </c>
      <c r="I249" s="105"/>
      <c r="J249" s="105"/>
      <c r="K249" s="105"/>
      <c r="L249" s="105"/>
      <c r="M249" s="105"/>
    </row>
    <row r="250" spans="1:13" x14ac:dyDescent="0.35">
      <c r="A250" s="110" t="s">
        <v>479</v>
      </c>
      <c r="B250" s="110" t="s">
        <v>28</v>
      </c>
      <c r="C250" s="110" t="b">
        <v>1</v>
      </c>
      <c r="D250" s="110" t="s">
        <v>22</v>
      </c>
      <c r="E250" s="110" t="s">
        <v>24</v>
      </c>
      <c r="F250" s="105" t="s">
        <v>509</v>
      </c>
      <c r="G250" s="118"/>
      <c r="H250" s="118">
        <v>0.36933024927400165</v>
      </c>
      <c r="I250" s="105"/>
      <c r="J250" s="105"/>
      <c r="K250" s="105"/>
      <c r="L250" s="105"/>
      <c r="M250" s="105"/>
    </row>
    <row r="251" spans="1:13" x14ac:dyDescent="0.35">
      <c r="A251" s="110" t="s">
        <v>479</v>
      </c>
      <c r="B251" s="110" t="s">
        <v>28</v>
      </c>
      <c r="C251" s="110" t="b">
        <v>0</v>
      </c>
      <c r="D251" s="110" t="s">
        <v>22</v>
      </c>
      <c r="E251" s="110" t="s">
        <v>25</v>
      </c>
      <c r="F251" s="105" t="s">
        <v>510</v>
      </c>
      <c r="G251" s="118"/>
      <c r="H251" s="118">
        <v>0.53179266388476387</v>
      </c>
      <c r="I251" s="105"/>
      <c r="J251" s="105"/>
      <c r="K251" s="105"/>
      <c r="L251" s="105"/>
      <c r="M251" s="105"/>
    </row>
    <row r="252" spans="1:13" x14ac:dyDescent="0.35">
      <c r="A252" s="110" t="s">
        <v>479</v>
      </c>
      <c r="B252" s="110" t="s">
        <v>28</v>
      </c>
      <c r="C252" s="110" t="b">
        <v>1</v>
      </c>
      <c r="D252" s="110" t="s">
        <v>22</v>
      </c>
      <c r="E252" s="110" t="s">
        <v>25</v>
      </c>
      <c r="F252" s="105" t="s">
        <v>511</v>
      </c>
      <c r="G252" s="118"/>
      <c r="H252" s="118">
        <v>0.53179266388476387</v>
      </c>
      <c r="I252" s="105"/>
      <c r="J252" s="105"/>
      <c r="K252" s="105"/>
      <c r="L252" s="105"/>
      <c r="M252" s="105"/>
    </row>
    <row r="253" spans="1:13" x14ac:dyDescent="0.35">
      <c r="A253" s="110" t="s">
        <v>479</v>
      </c>
      <c r="B253" s="110" t="s">
        <v>28</v>
      </c>
      <c r="C253" s="110" t="b">
        <v>0</v>
      </c>
      <c r="D253" s="110" t="s">
        <v>26</v>
      </c>
      <c r="E253" s="110" t="s">
        <v>23</v>
      </c>
      <c r="F253" s="105" t="s">
        <v>512</v>
      </c>
      <c r="G253" s="118"/>
      <c r="H253" s="118">
        <v>0.15260973149560345</v>
      </c>
      <c r="I253" s="105"/>
      <c r="J253" s="105"/>
      <c r="K253" s="105"/>
      <c r="L253" s="105"/>
      <c r="M253" s="105"/>
    </row>
    <row r="254" spans="1:13" x14ac:dyDescent="0.35">
      <c r="A254" s="110" t="s">
        <v>479</v>
      </c>
      <c r="B254" s="110" t="s">
        <v>28</v>
      </c>
      <c r="C254" s="110" t="b">
        <v>1</v>
      </c>
      <c r="D254" s="110" t="s">
        <v>26</v>
      </c>
      <c r="E254" s="110" t="s">
        <v>23</v>
      </c>
      <c r="F254" s="105" t="s">
        <v>513</v>
      </c>
      <c r="G254" s="118"/>
      <c r="H254" s="118">
        <v>0.15260973149560345</v>
      </c>
      <c r="I254" s="105"/>
      <c r="J254" s="105"/>
      <c r="K254" s="105"/>
      <c r="L254" s="105"/>
      <c r="M254" s="105"/>
    </row>
    <row r="255" spans="1:13" x14ac:dyDescent="0.35">
      <c r="A255" s="110" t="s">
        <v>479</v>
      </c>
      <c r="B255" s="110" t="s">
        <v>28</v>
      </c>
      <c r="C255" s="110" t="b">
        <v>0</v>
      </c>
      <c r="D255" s="110" t="s">
        <v>26</v>
      </c>
      <c r="E255" s="110" t="s">
        <v>24</v>
      </c>
      <c r="F255" s="105" t="s">
        <v>514</v>
      </c>
      <c r="G255" s="118"/>
      <c r="H255" s="118">
        <v>0.70114603536671094</v>
      </c>
      <c r="I255" s="105"/>
      <c r="J255" s="105"/>
      <c r="K255" s="105"/>
      <c r="L255" s="105"/>
      <c r="M255" s="105"/>
    </row>
    <row r="256" spans="1:13" x14ac:dyDescent="0.35">
      <c r="A256" s="110" t="s">
        <v>479</v>
      </c>
      <c r="B256" s="110" t="s">
        <v>28</v>
      </c>
      <c r="C256" s="110" t="b">
        <v>0</v>
      </c>
      <c r="D256" s="110" t="s">
        <v>26</v>
      </c>
      <c r="E256" s="110" t="s">
        <v>25</v>
      </c>
      <c r="F256" s="105" t="s">
        <v>515</v>
      </c>
      <c r="G256" s="118"/>
      <c r="H256" s="118">
        <v>0.87056529588119902</v>
      </c>
      <c r="I256" s="105"/>
      <c r="J256" s="105"/>
      <c r="K256" s="105"/>
      <c r="L256" s="105"/>
      <c r="M256" s="105"/>
    </row>
    <row r="257" spans="1:13" x14ac:dyDescent="0.35">
      <c r="A257" s="110" t="s">
        <v>479</v>
      </c>
      <c r="B257" s="110" t="s">
        <v>28</v>
      </c>
      <c r="C257" s="110" t="b">
        <v>0</v>
      </c>
      <c r="D257" s="110" t="s">
        <v>71</v>
      </c>
      <c r="E257" s="110" t="s">
        <v>23</v>
      </c>
      <c r="F257" s="105" t="s">
        <v>516</v>
      </c>
      <c r="G257" s="118"/>
      <c r="H257" s="118">
        <v>0.23535047995281644</v>
      </c>
      <c r="I257" s="105"/>
      <c r="J257" s="105"/>
      <c r="K257" s="105"/>
      <c r="L257" s="105"/>
      <c r="M257" s="105"/>
    </row>
    <row r="258" spans="1:13" x14ac:dyDescent="0.35">
      <c r="A258" s="110" t="s">
        <v>479</v>
      </c>
      <c r="B258" s="110" t="s">
        <v>33</v>
      </c>
      <c r="C258" s="110" t="b">
        <v>1</v>
      </c>
      <c r="D258" s="110" t="s">
        <v>58</v>
      </c>
      <c r="E258" s="110" t="s">
        <v>24</v>
      </c>
      <c r="F258" s="105" t="s">
        <v>517</v>
      </c>
      <c r="G258" s="118"/>
      <c r="H258" s="118">
        <v>0.26133086894235541</v>
      </c>
      <c r="I258" s="105"/>
      <c r="J258" s="105"/>
      <c r="K258" s="105"/>
      <c r="L258" s="105"/>
      <c r="M258" s="105"/>
    </row>
    <row r="259" spans="1:13" x14ac:dyDescent="0.35">
      <c r="A259" s="110" t="s">
        <v>479</v>
      </c>
      <c r="B259" s="110" t="s">
        <v>33</v>
      </c>
      <c r="C259" s="110" t="b">
        <v>1</v>
      </c>
      <c r="D259" s="110" t="s">
        <v>22</v>
      </c>
      <c r="E259" s="110" t="s">
        <v>23</v>
      </c>
      <c r="F259" s="105" t="s">
        <v>518</v>
      </c>
      <c r="G259" s="118"/>
      <c r="H259" s="118">
        <v>0.15288519803862832</v>
      </c>
      <c r="I259" s="105"/>
      <c r="J259" s="105"/>
      <c r="K259" s="105"/>
      <c r="L259" s="105"/>
      <c r="M259" s="105"/>
    </row>
    <row r="260" spans="1:13" x14ac:dyDescent="0.35">
      <c r="A260" s="110" t="s">
        <v>479</v>
      </c>
      <c r="B260" s="110" t="s">
        <v>33</v>
      </c>
      <c r="C260" s="110" t="b">
        <v>1</v>
      </c>
      <c r="D260" s="110" t="s">
        <v>22</v>
      </c>
      <c r="E260" s="110" t="s">
        <v>24</v>
      </c>
      <c r="F260" s="105" t="s">
        <v>519</v>
      </c>
      <c r="G260" s="118"/>
      <c r="H260" s="118">
        <v>0.54752014597034804</v>
      </c>
      <c r="I260" s="105"/>
      <c r="J260" s="105"/>
      <c r="K260" s="105"/>
      <c r="L260" s="105"/>
      <c r="M260" s="105"/>
    </row>
    <row r="261" spans="1:13" x14ac:dyDescent="0.35">
      <c r="A261" s="110" t="s">
        <v>479</v>
      </c>
      <c r="B261" s="110" t="s">
        <v>33</v>
      </c>
      <c r="C261" s="110" t="b">
        <v>0</v>
      </c>
      <c r="D261" s="110" t="s">
        <v>22</v>
      </c>
      <c r="E261" s="110" t="s">
        <v>25</v>
      </c>
      <c r="F261" s="105" t="s">
        <v>520</v>
      </c>
      <c r="G261" s="118"/>
      <c r="H261" s="118">
        <v>0.98398994060649314</v>
      </c>
      <c r="I261" s="105"/>
      <c r="J261" s="105"/>
      <c r="K261" s="105"/>
      <c r="L261" s="105"/>
      <c r="M261" s="105"/>
    </row>
    <row r="262" spans="1:13" x14ac:dyDescent="0.35">
      <c r="A262" s="110" t="s">
        <v>479</v>
      </c>
      <c r="B262" s="110" t="s">
        <v>33</v>
      </c>
      <c r="C262" s="110" t="b">
        <v>0</v>
      </c>
      <c r="D262" s="110" t="s">
        <v>26</v>
      </c>
      <c r="E262" s="110" t="s">
        <v>23</v>
      </c>
      <c r="F262" s="105" t="s">
        <v>521</v>
      </c>
      <c r="G262" s="118"/>
      <c r="H262" s="118">
        <v>0.25730410151448502</v>
      </c>
      <c r="I262" s="105"/>
      <c r="J262" s="105"/>
      <c r="K262" s="105"/>
      <c r="L262" s="105"/>
      <c r="M262" s="105"/>
    </row>
    <row r="263" spans="1:13" x14ac:dyDescent="0.35">
      <c r="A263" s="110" t="s">
        <v>479</v>
      </c>
      <c r="B263" s="110" t="s">
        <v>33</v>
      </c>
      <c r="C263" s="110" t="b">
        <v>0</v>
      </c>
      <c r="D263" s="110" t="s">
        <v>26</v>
      </c>
      <c r="E263" s="110" t="s">
        <v>24</v>
      </c>
      <c r="F263" s="105" t="s">
        <v>522</v>
      </c>
      <c r="G263" s="118"/>
      <c r="H263" s="118">
        <v>1.0347303330991411</v>
      </c>
      <c r="I263" s="105"/>
      <c r="J263" s="105"/>
      <c r="K263" s="105"/>
      <c r="L263" s="105"/>
      <c r="M263" s="105"/>
    </row>
    <row r="264" spans="1:13" x14ac:dyDescent="0.35">
      <c r="A264" s="110" t="s">
        <v>479</v>
      </c>
      <c r="B264" s="110" t="s">
        <v>33</v>
      </c>
      <c r="C264" s="110" t="b">
        <v>0</v>
      </c>
      <c r="D264" s="110" t="s">
        <v>71</v>
      </c>
      <c r="E264" s="110" t="s">
        <v>23</v>
      </c>
      <c r="F264" s="105" t="s">
        <v>523</v>
      </c>
      <c r="G264" s="118"/>
      <c r="H264" s="118">
        <v>0.36631495667075553</v>
      </c>
      <c r="I264" s="105"/>
      <c r="J264" s="105"/>
      <c r="K264" s="105"/>
      <c r="L264" s="105"/>
      <c r="M264" s="105"/>
    </row>
    <row r="265" spans="1:13" x14ac:dyDescent="0.35">
      <c r="A265" s="110" t="s">
        <v>479</v>
      </c>
      <c r="B265" s="110" t="s">
        <v>29</v>
      </c>
      <c r="C265" s="110" t="b">
        <v>1</v>
      </c>
      <c r="D265" s="110" t="s">
        <v>58</v>
      </c>
      <c r="E265" s="110" t="s">
        <v>23</v>
      </c>
      <c r="F265" s="105" t="s">
        <v>524</v>
      </c>
      <c r="G265" s="118"/>
      <c r="H265" s="118">
        <v>0.15595657389111811</v>
      </c>
      <c r="I265" s="105"/>
      <c r="J265" s="105"/>
      <c r="K265" s="105"/>
      <c r="L265" s="105"/>
      <c r="M265" s="105"/>
    </row>
    <row r="266" spans="1:13" x14ac:dyDescent="0.35">
      <c r="A266" s="110" t="s">
        <v>479</v>
      </c>
      <c r="B266" s="110" t="s">
        <v>29</v>
      </c>
      <c r="C266" s="110" t="b">
        <v>1</v>
      </c>
      <c r="D266" s="110" t="s">
        <v>58</v>
      </c>
      <c r="E266" s="110" t="s">
        <v>24</v>
      </c>
      <c r="F266" s="105" t="s">
        <v>525</v>
      </c>
      <c r="G266" s="118"/>
      <c r="H266" s="118">
        <v>0.37095301197551178</v>
      </c>
      <c r="I266" s="105"/>
      <c r="J266" s="105"/>
      <c r="K266" s="105"/>
      <c r="L266" s="105"/>
      <c r="M266" s="105"/>
    </row>
    <row r="267" spans="1:13" x14ac:dyDescent="0.35">
      <c r="A267" s="110" t="s">
        <v>479</v>
      </c>
      <c r="B267" s="110" t="s">
        <v>29</v>
      </c>
      <c r="C267" s="110" t="b">
        <v>0</v>
      </c>
      <c r="D267" s="110" t="s">
        <v>22</v>
      </c>
      <c r="E267" s="110" t="s">
        <v>23</v>
      </c>
      <c r="F267" s="105" t="s">
        <v>526</v>
      </c>
      <c r="G267" s="118"/>
      <c r="H267" s="118">
        <v>0.3360039173240848</v>
      </c>
      <c r="I267" s="105"/>
      <c r="J267" s="105"/>
      <c r="K267" s="105"/>
      <c r="L267" s="105"/>
      <c r="M267" s="105"/>
    </row>
    <row r="268" spans="1:13" x14ac:dyDescent="0.35">
      <c r="A268" s="110" t="s">
        <v>479</v>
      </c>
      <c r="B268" s="110" t="s">
        <v>29</v>
      </c>
      <c r="C268" s="110" t="b">
        <v>1</v>
      </c>
      <c r="D268" s="110" t="s">
        <v>22</v>
      </c>
      <c r="E268" s="110" t="s">
        <v>23</v>
      </c>
      <c r="F268" s="105" t="s">
        <v>527</v>
      </c>
      <c r="G268" s="118"/>
      <c r="H268" s="118">
        <v>0.32383723684061533</v>
      </c>
      <c r="I268" s="105"/>
      <c r="J268" s="105"/>
      <c r="K268" s="105"/>
      <c r="L268" s="105"/>
      <c r="M268" s="105"/>
    </row>
    <row r="269" spans="1:13" x14ac:dyDescent="0.35">
      <c r="A269" s="110" t="s">
        <v>479</v>
      </c>
      <c r="B269" s="110" t="s">
        <v>29</v>
      </c>
      <c r="C269" s="110" t="b">
        <v>0</v>
      </c>
      <c r="D269" s="110" t="s">
        <v>22</v>
      </c>
      <c r="E269" s="110" t="s">
        <v>24</v>
      </c>
      <c r="F269" s="105" t="s">
        <v>528</v>
      </c>
      <c r="G269" s="118"/>
      <c r="H269" s="118">
        <v>0.77667229158210083</v>
      </c>
      <c r="I269" s="105"/>
      <c r="J269" s="105"/>
      <c r="K269" s="105"/>
      <c r="L269" s="105"/>
      <c r="M269" s="105"/>
    </row>
    <row r="270" spans="1:13" x14ac:dyDescent="0.35">
      <c r="A270" s="110" t="s">
        <v>479</v>
      </c>
      <c r="B270" s="110" t="s">
        <v>29</v>
      </c>
      <c r="C270" s="110" t="b">
        <v>1</v>
      </c>
      <c r="D270" s="110" t="s">
        <v>22</v>
      </c>
      <c r="E270" s="110" t="s">
        <v>24</v>
      </c>
      <c r="F270" s="105" t="s">
        <v>529</v>
      </c>
      <c r="G270" s="118"/>
      <c r="H270" s="118">
        <v>0.71060950638878928</v>
      </c>
      <c r="I270" s="105"/>
      <c r="J270" s="105"/>
      <c r="K270" s="105"/>
      <c r="L270" s="105"/>
      <c r="M270" s="105"/>
    </row>
    <row r="271" spans="1:13" x14ac:dyDescent="0.35">
      <c r="A271" s="110" t="s">
        <v>479</v>
      </c>
      <c r="B271" s="110" t="s">
        <v>29</v>
      </c>
      <c r="C271" s="110" t="b">
        <v>0</v>
      </c>
      <c r="D271" s="110" t="s">
        <v>22</v>
      </c>
      <c r="E271" s="110" t="s">
        <v>25</v>
      </c>
      <c r="F271" s="105" t="s">
        <v>530</v>
      </c>
      <c r="G271" s="118"/>
      <c r="H271" s="118">
        <v>1.3224923443974244</v>
      </c>
      <c r="I271" s="105"/>
      <c r="J271" s="105"/>
      <c r="K271" s="105"/>
      <c r="L271" s="105"/>
      <c r="M271" s="105"/>
    </row>
    <row r="272" spans="1:13" x14ac:dyDescent="0.35">
      <c r="A272" s="110" t="s">
        <v>479</v>
      </c>
      <c r="B272" s="110" t="s">
        <v>29</v>
      </c>
      <c r="C272" s="110" t="b">
        <v>1</v>
      </c>
      <c r="D272" s="110" t="s">
        <v>22</v>
      </c>
      <c r="E272" s="110" t="s">
        <v>25</v>
      </c>
      <c r="F272" s="105" t="s">
        <v>531</v>
      </c>
      <c r="G272" s="118"/>
      <c r="H272" s="118">
        <v>1.2316852550017008</v>
      </c>
      <c r="I272" s="105"/>
      <c r="J272" s="105"/>
      <c r="K272" s="105"/>
      <c r="L272" s="105"/>
      <c r="M272" s="105"/>
    </row>
    <row r="273" spans="1:13" x14ac:dyDescent="0.35">
      <c r="A273" s="110" t="s">
        <v>479</v>
      </c>
      <c r="B273" s="110" t="s">
        <v>29</v>
      </c>
      <c r="C273" s="110" t="b">
        <v>0</v>
      </c>
      <c r="D273" s="110" t="s">
        <v>26</v>
      </c>
      <c r="E273" s="110" t="s">
        <v>23</v>
      </c>
      <c r="F273" s="105" t="s">
        <v>532</v>
      </c>
      <c r="G273" s="118"/>
      <c r="H273" s="118">
        <v>0.49430333716427421</v>
      </c>
      <c r="I273" s="105"/>
      <c r="J273" s="105"/>
      <c r="K273" s="105"/>
      <c r="L273" s="105"/>
      <c r="M273" s="105"/>
    </row>
    <row r="274" spans="1:13" x14ac:dyDescent="0.35">
      <c r="A274" s="110" t="s">
        <v>479</v>
      </c>
      <c r="B274" s="110" t="s">
        <v>29</v>
      </c>
      <c r="C274" s="110" t="b">
        <v>1</v>
      </c>
      <c r="D274" s="110" t="s">
        <v>26</v>
      </c>
      <c r="E274" s="110" t="s">
        <v>23</v>
      </c>
      <c r="F274" s="105" t="s">
        <v>533</v>
      </c>
      <c r="G274" s="118"/>
      <c r="H274" s="118">
        <v>0.47939039607895922</v>
      </c>
      <c r="I274" s="105"/>
      <c r="J274" s="105"/>
      <c r="K274" s="105"/>
      <c r="L274" s="105"/>
      <c r="M274" s="105"/>
    </row>
    <row r="275" spans="1:13" x14ac:dyDescent="0.35">
      <c r="A275" s="110" t="s">
        <v>479</v>
      </c>
      <c r="B275" s="110" t="s">
        <v>29</v>
      </c>
      <c r="C275" s="110" t="b">
        <v>0</v>
      </c>
      <c r="D275" s="110" t="s">
        <v>26</v>
      </c>
      <c r="E275" s="110" t="s">
        <v>24</v>
      </c>
      <c r="F275" s="105" t="s">
        <v>534</v>
      </c>
      <c r="G275" s="118"/>
      <c r="H275" s="118">
        <v>1.3136434144894946</v>
      </c>
      <c r="I275" s="105"/>
      <c r="J275" s="105"/>
      <c r="K275" s="105"/>
      <c r="L275" s="105"/>
      <c r="M275" s="105"/>
    </row>
    <row r="276" spans="1:13" x14ac:dyDescent="0.35">
      <c r="A276" s="110" t="s">
        <v>479</v>
      </c>
      <c r="B276" s="110" t="s">
        <v>29</v>
      </c>
      <c r="C276" s="110" t="b">
        <v>0</v>
      </c>
      <c r="D276" s="110" t="s">
        <v>26</v>
      </c>
      <c r="E276" s="110" t="s">
        <v>25</v>
      </c>
      <c r="F276" s="105" t="s">
        <v>535</v>
      </c>
      <c r="G276" s="118"/>
      <c r="H276" s="118">
        <v>2.0579166829017108</v>
      </c>
      <c r="I276" s="105"/>
      <c r="J276" s="105"/>
      <c r="K276" s="105"/>
      <c r="L276" s="105"/>
      <c r="M276" s="105"/>
    </row>
    <row r="277" spans="1:13" x14ac:dyDescent="0.35">
      <c r="A277" s="110" t="s">
        <v>479</v>
      </c>
      <c r="B277" s="110" t="s">
        <v>29</v>
      </c>
      <c r="C277" s="110" t="b">
        <v>0</v>
      </c>
      <c r="D277" s="110" t="s">
        <v>71</v>
      </c>
      <c r="E277" s="110" t="s">
        <v>23</v>
      </c>
      <c r="F277" s="105" t="s">
        <v>536</v>
      </c>
      <c r="G277" s="118"/>
      <c r="H277" s="118">
        <v>0.61448013025887749</v>
      </c>
      <c r="I277" s="105"/>
      <c r="J277" s="105"/>
      <c r="K277" s="105"/>
      <c r="L277" s="105"/>
      <c r="M277" s="105"/>
    </row>
    <row r="278" spans="1:13" x14ac:dyDescent="0.35">
      <c r="A278" s="110" t="s">
        <v>479</v>
      </c>
      <c r="B278" s="110" t="s">
        <v>30</v>
      </c>
      <c r="C278" s="110" t="b">
        <v>1</v>
      </c>
      <c r="D278" s="110" t="s">
        <v>58</v>
      </c>
      <c r="E278" s="110" t="s">
        <v>23</v>
      </c>
      <c r="F278" s="105" t="s">
        <v>537</v>
      </c>
      <c r="G278" s="118"/>
      <c r="H278" s="118">
        <v>0.11859233095983837</v>
      </c>
      <c r="I278" s="105"/>
      <c r="J278" s="105"/>
      <c r="K278" s="105"/>
      <c r="L278" s="105"/>
      <c r="M278" s="105"/>
    </row>
    <row r="279" spans="1:13" x14ac:dyDescent="0.35">
      <c r="A279" s="110" t="s">
        <v>479</v>
      </c>
      <c r="B279" s="110" t="s">
        <v>30</v>
      </c>
      <c r="C279" s="110" t="b">
        <v>1</v>
      </c>
      <c r="D279" s="110" t="s">
        <v>58</v>
      </c>
      <c r="E279" s="110" t="s">
        <v>24</v>
      </c>
      <c r="F279" s="105" t="s">
        <v>538</v>
      </c>
      <c r="G279" s="118"/>
      <c r="H279" s="118">
        <v>0.21249349342508217</v>
      </c>
      <c r="I279" s="105"/>
      <c r="J279" s="105"/>
      <c r="K279" s="105"/>
      <c r="L279" s="105"/>
      <c r="M279" s="105"/>
    </row>
    <row r="280" spans="1:13" x14ac:dyDescent="0.35">
      <c r="A280" s="110" t="s">
        <v>479</v>
      </c>
      <c r="B280" s="110" t="s">
        <v>30</v>
      </c>
      <c r="C280" s="110" t="b">
        <v>1</v>
      </c>
      <c r="D280" s="110" t="s">
        <v>58</v>
      </c>
      <c r="E280" s="110" t="s">
        <v>25</v>
      </c>
      <c r="F280" s="105" t="s">
        <v>539</v>
      </c>
      <c r="G280" s="118"/>
      <c r="H280" s="118">
        <v>0.85232421955895432</v>
      </c>
      <c r="I280" s="105"/>
      <c r="J280" s="105"/>
      <c r="K280" s="105"/>
      <c r="L280" s="105"/>
      <c r="M280" s="105"/>
    </row>
    <row r="281" spans="1:13" x14ac:dyDescent="0.35">
      <c r="A281" s="110" t="s">
        <v>479</v>
      </c>
      <c r="B281" s="110" t="s">
        <v>30</v>
      </c>
      <c r="C281" s="110" t="b">
        <v>0</v>
      </c>
      <c r="D281" s="110" t="s">
        <v>22</v>
      </c>
      <c r="E281" s="110" t="s">
        <v>23</v>
      </c>
      <c r="F281" s="105" t="s">
        <v>243</v>
      </c>
      <c r="G281" s="118"/>
      <c r="H281" s="118">
        <v>0.19131583309291014</v>
      </c>
      <c r="I281" s="105"/>
      <c r="J281" s="105"/>
      <c r="K281" s="105"/>
      <c r="L281" s="105"/>
      <c r="M281" s="105"/>
    </row>
    <row r="282" spans="1:13" x14ac:dyDescent="0.35">
      <c r="A282" s="110" t="s">
        <v>479</v>
      </c>
      <c r="B282" s="110" t="s">
        <v>30</v>
      </c>
      <c r="C282" s="110" t="b">
        <v>1</v>
      </c>
      <c r="D282" s="110" t="s">
        <v>22</v>
      </c>
      <c r="E282" s="110" t="s">
        <v>23</v>
      </c>
      <c r="F282" s="105" t="s">
        <v>540</v>
      </c>
      <c r="G282" s="118"/>
      <c r="H282" s="118">
        <v>0.18931156425096926</v>
      </c>
      <c r="I282" s="105"/>
      <c r="J282" s="105"/>
      <c r="K282" s="105"/>
      <c r="L282" s="105"/>
      <c r="M282" s="105"/>
    </row>
    <row r="283" spans="1:13" x14ac:dyDescent="0.35">
      <c r="A283" s="110" t="s">
        <v>479</v>
      </c>
      <c r="B283" s="110" t="s">
        <v>30</v>
      </c>
      <c r="C283" s="110" t="b">
        <v>0</v>
      </c>
      <c r="D283" s="110" t="s">
        <v>22</v>
      </c>
      <c r="E283" s="110" t="s">
        <v>24</v>
      </c>
      <c r="F283" s="105" t="s">
        <v>245</v>
      </c>
      <c r="G283" s="118"/>
      <c r="H283" s="118">
        <v>0.37723149553738011</v>
      </c>
      <c r="I283" s="105"/>
      <c r="J283" s="105"/>
      <c r="K283" s="105"/>
      <c r="L283" s="105"/>
      <c r="M283" s="105"/>
    </row>
    <row r="284" spans="1:13" x14ac:dyDescent="0.35">
      <c r="A284" s="110" t="s">
        <v>479</v>
      </c>
      <c r="B284" s="110" t="s">
        <v>30</v>
      </c>
      <c r="C284" s="110" t="b">
        <v>1</v>
      </c>
      <c r="D284" s="110" t="s">
        <v>22</v>
      </c>
      <c r="E284" s="110" t="s">
        <v>24</v>
      </c>
      <c r="F284" s="105" t="s">
        <v>541</v>
      </c>
      <c r="G284" s="118"/>
      <c r="H284" s="118">
        <v>0.37430503244097962</v>
      </c>
      <c r="I284" s="105"/>
      <c r="J284" s="105"/>
      <c r="K284" s="105"/>
      <c r="L284" s="105"/>
      <c r="M284" s="105"/>
    </row>
    <row r="285" spans="1:13" x14ac:dyDescent="0.35">
      <c r="A285" s="110" t="s">
        <v>479</v>
      </c>
      <c r="B285" s="110" t="s">
        <v>30</v>
      </c>
      <c r="C285" s="110" t="b">
        <v>1</v>
      </c>
      <c r="D285" s="110" t="s">
        <v>22</v>
      </c>
      <c r="E285" s="110" t="s">
        <v>25</v>
      </c>
      <c r="F285" s="105" t="s">
        <v>542</v>
      </c>
      <c r="G285" s="118"/>
      <c r="H285" s="118">
        <v>1.2544426725220097</v>
      </c>
      <c r="I285" s="105"/>
      <c r="J285" s="105"/>
      <c r="K285" s="105"/>
      <c r="L285" s="105"/>
      <c r="M285" s="105"/>
    </row>
    <row r="286" spans="1:13" x14ac:dyDescent="0.35">
      <c r="A286" s="110" t="s">
        <v>479</v>
      </c>
      <c r="B286" s="110" t="s">
        <v>30</v>
      </c>
      <c r="C286" s="110" t="b">
        <v>0</v>
      </c>
      <c r="D286" s="110" t="s">
        <v>26</v>
      </c>
      <c r="E286" s="110" t="s">
        <v>23</v>
      </c>
      <c r="F286" s="105" t="s">
        <v>161</v>
      </c>
      <c r="G286" s="118"/>
      <c r="H286" s="118">
        <v>0.27686117206865818</v>
      </c>
      <c r="I286" s="105"/>
      <c r="J286" s="105"/>
      <c r="K286" s="105"/>
      <c r="L286" s="105"/>
      <c r="M286" s="105"/>
    </row>
    <row r="287" spans="1:13" x14ac:dyDescent="0.35">
      <c r="A287" s="110" t="s">
        <v>479</v>
      </c>
      <c r="B287" s="110" t="s">
        <v>30</v>
      </c>
      <c r="C287" s="110" t="b">
        <v>0</v>
      </c>
      <c r="D287" s="110" t="s">
        <v>26</v>
      </c>
      <c r="E287" s="110" t="s">
        <v>24</v>
      </c>
      <c r="F287" s="105" t="s">
        <v>171</v>
      </c>
      <c r="G287" s="118"/>
      <c r="H287" s="118">
        <v>0.64158674622859302</v>
      </c>
      <c r="I287" s="105"/>
      <c r="J287" s="105"/>
      <c r="K287" s="105"/>
      <c r="L287" s="105"/>
      <c r="M287" s="105"/>
    </row>
    <row r="288" spans="1:13" x14ac:dyDescent="0.35">
      <c r="A288" s="110" t="s">
        <v>479</v>
      </c>
      <c r="B288" s="110" t="s">
        <v>93</v>
      </c>
      <c r="C288" s="110" t="b">
        <v>1</v>
      </c>
      <c r="D288" s="110" t="s">
        <v>58</v>
      </c>
      <c r="E288" s="110" t="s">
        <v>23</v>
      </c>
      <c r="F288" s="105" t="s">
        <v>543</v>
      </c>
      <c r="G288" s="118"/>
      <c r="H288" s="118">
        <v>5.9418312936367415E-2</v>
      </c>
      <c r="I288" s="105"/>
      <c r="J288" s="105"/>
      <c r="K288" s="105"/>
      <c r="L288" s="105"/>
      <c r="M288" s="105"/>
    </row>
    <row r="289" spans="1:13" x14ac:dyDescent="0.35">
      <c r="A289" s="110" t="s">
        <v>479</v>
      </c>
      <c r="B289" s="110" t="s">
        <v>93</v>
      </c>
      <c r="C289" s="110" t="b">
        <v>1</v>
      </c>
      <c r="D289" s="110" t="s">
        <v>58</v>
      </c>
      <c r="E289" s="110" t="s">
        <v>24</v>
      </c>
      <c r="F289" s="105" t="s">
        <v>544</v>
      </c>
      <c r="G289" s="118"/>
      <c r="H289" s="118">
        <v>7.200065632389073E-2</v>
      </c>
      <c r="I289" s="105"/>
      <c r="J289" s="105"/>
      <c r="K289" s="105"/>
      <c r="L289" s="105"/>
      <c r="M289" s="105"/>
    </row>
    <row r="290" spans="1:13" x14ac:dyDescent="0.35">
      <c r="A290" s="110" t="s">
        <v>479</v>
      </c>
      <c r="B290" s="110" t="s">
        <v>93</v>
      </c>
      <c r="C290" s="110" t="b">
        <v>0</v>
      </c>
      <c r="D290" s="110" t="s">
        <v>22</v>
      </c>
      <c r="E290" s="110" t="s">
        <v>23</v>
      </c>
      <c r="F290" s="105" t="s">
        <v>545</v>
      </c>
      <c r="G290" s="118"/>
      <c r="H290" s="118">
        <v>0.10254477019967478</v>
      </c>
      <c r="I290" s="105"/>
      <c r="J290" s="105"/>
      <c r="K290" s="105"/>
      <c r="L290" s="105"/>
      <c r="M290" s="105"/>
    </row>
    <row r="291" spans="1:13" x14ac:dyDescent="0.35">
      <c r="A291" s="110" t="s">
        <v>479</v>
      </c>
      <c r="B291" s="110" t="s">
        <v>93</v>
      </c>
      <c r="C291" s="110" t="b">
        <v>1</v>
      </c>
      <c r="D291" s="110" t="s">
        <v>22</v>
      </c>
      <c r="E291" s="110" t="s">
        <v>23</v>
      </c>
      <c r="F291" s="105" t="s">
        <v>546</v>
      </c>
      <c r="G291" s="118"/>
      <c r="H291" s="118">
        <v>0.10254465065795118</v>
      </c>
      <c r="I291" s="105"/>
      <c r="J291" s="105"/>
      <c r="K291" s="105"/>
      <c r="L291" s="105"/>
      <c r="M291" s="105"/>
    </row>
    <row r="292" spans="1:13" x14ac:dyDescent="0.35">
      <c r="A292" s="110" t="s">
        <v>479</v>
      </c>
      <c r="B292" s="110" t="s">
        <v>93</v>
      </c>
      <c r="C292" s="110" t="b">
        <v>0</v>
      </c>
      <c r="D292" s="110" t="s">
        <v>22</v>
      </c>
      <c r="E292" s="110" t="s">
        <v>24</v>
      </c>
      <c r="F292" s="105" t="s">
        <v>246</v>
      </c>
      <c r="G292" s="118"/>
      <c r="H292" s="118">
        <v>0.11757236330502707</v>
      </c>
      <c r="I292" s="105"/>
      <c r="J292" s="105"/>
      <c r="K292" s="105"/>
      <c r="L292" s="105"/>
      <c r="M292" s="105"/>
    </row>
    <row r="293" spans="1:13" x14ac:dyDescent="0.35">
      <c r="A293" s="110" t="s">
        <v>479</v>
      </c>
      <c r="B293" s="110" t="s">
        <v>93</v>
      </c>
      <c r="C293" s="110" t="b">
        <v>1</v>
      </c>
      <c r="D293" s="110" t="s">
        <v>22</v>
      </c>
      <c r="E293" s="110" t="s">
        <v>24</v>
      </c>
      <c r="F293" s="105" t="s">
        <v>547</v>
      </c>
      <c r="G293" s="118"/>
      <c r="H293" s="118">
        <v>0.11757221499284583</v>
      </c>
      <c r="I293" s="105"/>
      <c r="J293" s="105"/>
      <c r="K293" s="105"/>
      <c r="L293" s="105"/>
      <c r="M293" s="105"/>
    </row>
    <row r="294" spans="1:13" x14ac:dyDescent="0.35">
      <c r="A294" s="110" t="s">
        <v>479</v>
      </c>
      <c r="B294" s="110" t="s">
        <v>93</v>
      </c>
      <c r="C294" s="110" t="b">
        <v>0</v>
      </c>
      <c r="D294" s="110" t="s">
        <v>22</v>
      </c>
      <c r="E294" s="110" t="s">
        <v>25</v>
      </c>
      <c r="F294" s="105" t="s">
        <v>548</v>
      </c>
      <c r="G294" s="118"/>
      <c r="H294" s="118">
        <v>0.70892872196031642</v>
      </c>
      <c r="I294" s="105"/>
      <c r="J294" s="105"/>
      <c r="K294" s="105"/>
      <c r="L294" s="105"/>
      <c r="M294" s="105"/>
    </row>
    <row r="295" spans="1:13" x14ac:dyDescent="0.35">
      <c r="A295" s="110" t="s">
        <v>479</v>
      </c>
      <c r="B295" s="110" t="s">
        <v>93</v>
      </c>
      <c r="C295" s="110" t="b">
        <v>1</v>
      </c>
      <c r="D295" s="110" t="s">
        <v>22</v>
      </c>
      <c r="E295" s="110" t="s">
        <v>25</v>
      </c>
      <c r="F295" s="105" t="s">
        <v>549</v>
      </c>
      <c r="G295" s="118"/>
      <c r="H295" s="118">
        <v>0.70891357628771279</v>
      </c>
      <c r="I295" s="105"/>
      <c r="J295" s="105"/>
      <c r="K295" s="105"/>
      <c r="L295" s="105"/>
      <c r="M295" s="105"/>
    </row>
    <row r="296" spans="1:13" x14ac:dyDescent="0.35">
      <c r="A296" s="110" t="s">
        <v>479</v>
      </c>
      <c r="B296" s="110" t="s">
        <v>93</v>
      </c>
      <c r="C296" s="110" t="b">
        <v>0</v>
      </c>
      <c r="D296" s="110" t="s">
        <v>26</v>
      </c>
      <c r="E296" s="110" t="s">
        <v>23</v>
      </c>
      <c r="F296" s="105" t="s">
        <v>172</v>
      </c>
      <c r="G296" s="118"/>
      <c r="H296" s="118">
        <v>0.15830423476080263</v>
      </c>
      <c r="I296" s="105"/>
      <c r="J296" s="105"/>
      <c r="K296" s="105"/>
      <c r="L296" s="105"/>
      <c r="M296" s="105"/>
    </row>
    <row r="297" spans="1:13" x14ac:dyDescent="0.35">
      <c r="A297" s="110" t="s">
        <v>479</v>
      </c>
      <c r="B297" s="110" t="s">
        <v>93</v>
      </c>
      <c r="C297" s="110" t="b">
        <v>0</v>
      </c>
      <c r="D297" s="110" t="s">
        <v>26</v>
      </c>
      <c r="E297" s="110" t="s">
        <v>24</v>
      </c>
      <c r="F297" s="105" t="s">
        <v>173</v>
      </c>
      <c r="G297" s="118"/>
      <c r="H297" s="118">
        <v>0.18945121356131744</v>
      </c>
      <c r="I297" s="105"/>
      <c r="J297" s="105"/>
      <c r="K297" s="105"/>
      <c r="L297" s="105"/>
      <c r="M297" s="105"/>
    </row>
    <row r="298" spans="1:13" x14ac:dyDescent="0.35">
      <c r="A298" s="110" t="s">
        <v>479</v>
      </c>
      <c r="B298" s="110" t="s">
        <v>93</v>
      </c>
      <c r="C298" s="110" t="b">
        <v>0</v>
      </c>
      <c r="D298" s="110" t="s">
        <v>71</v>
      </c>
      <c r="E298" s="110" t="s">
        <v>23</v>
      </c>
      <c r="F298" s="105" t="s">
        <v>174</v>
      </c>
      <c r="G298" s="118"/>
      <c r="H298" s="118">
        <v>0.21985829469081955</v>
      </c>
      <c r="I298" s="105"/>
      <c r="J298" s="105"/>
      <c r="K298" s="105"/>
      <c r="L298" s="105"/>
      <c r="M298" s="105"/>
    </row>
    <row r="299" spans="1:13" x14ac:dyDescent="0.35">
      <c r="A299" s="110" t="s">
        <v>479</v>
      </c>
      <c r="B299" s="110" t="s">
        <v>93</v>
      </c>
      <c r="C299" s="110" t="b">
        <v>0</v>
      </c>
      <c r="D299" s="110" t="s">
        <v>71</v>
      </c>
      <c r="E299" s="110" t="s">
        <v>24</v>
      </c>
      <c r="F299" s="105" t="s">
        <v>550</v>
      </c>
      <c r="G299" s="118"/>
      <c r="H299" s="118">
        <v>0.2948682605291254</v>
      </c>
      <c r="I299" s="105"/>
      <c r="J299" s="105"/>
      <c r="K299" s="105"/>
      <c r="L299" s="105"/>
      <c r="M299" s="105"/>
    </row>
    <row r="300" spans="1:13" x14ac:dyDescent="0.35">
      <c r="A300" s="110" t="s">
        <v>479</v>
      </c>
      <c r="B300" s="110" t="s">
        <v>93</v>
      </c>
      <c r="C300" s="110" t="b">
        <v>0</v>
      </c>
      <c r="D300" s="110" t="s">
        <v>71</v>
      </c>
      <c r="E300" s="110" t="s">
        <v>25</v>
      </c>
      <c r="F300" s="105" t="s">
        <v>175</v>
      </c>
      <c r="G300" s="118"/>
      <c r="H300" s="118">
        <v>1.6761403465425098</v>
      </c>
      <c r="I300" s="105"/>
      <c r="J300" s="105"/>
      <c r="K300" s="105"/>
      <c r="L300" s="105"/>
      <c r="M300" s="105"/>
    </row>
    <row r="301" spans="1:13" x14ac:dyDescent="0.35">
      <c r="A301" s="110" t="s">
        <v>479</v>
      </c>
      <c r="B301" s="110" t="s">
        <v>31</v>
      </c>
      <c r="C301" s="110" t="b">
        <v>1</v>
      </c>
      <c r="D301" s="110" t="s">
        <v>58</v>
      </c>
      <c r="E301" s="110" t="s">
        <v>23</v>
      </c>
      <c r="F301" s="105" t="s">
        <v>551</v>
      </c>
      <c r="G301" s="118"/>
      <c r="H301" s="118">
        <v>7.3836731930558785E-2</v>
      </c>
      <c r="I301" s="105"/>
      <c r="J301" s="105"/>
      <c r="K301" s="105"/>
      <c r="L301" s="105"/>
      <c r="M301" s="105"/>
    </row>
    <row r="302" spans="1:13" x14ac:dyDescent="0.35">
      <c r="A302" s="110" t="s">
        <v>479</v>
      </c>
      <c r="B302" s="110" t="s">
        <v>31</v>
      </c>
      <c r="C302" s="110" t="b">
        <v>1</v>
      </c>
      <c r="D302" s="110" t="s">
        <v>58</v>
      </c>
      <c r="E302" s="110" t="s">
        <v>24</v>
      </c>
      <c r="F302" s="105" t="s">
        <v>552</v>
      </c>
      <c r="G302" s="118"/>
      <c r="H302" s="118">
        <v>0.11566113741303201</v>
      </c>
      <c r="I302" s="105"/>
      <c r="J302" s="105"/>
      <c r="K302" s="105"/>
      <c r="L302" s="105"/>
      <c r="M302" s="105"/>
    </row>
    <row r="303" spans="1:13" x14ac:dyDescent="0.35">
      <c r="A303" s="110" t="s">
        <v>479</v>
      </c>
      <c r="B303" s="110" t="s">
        <v>31</v>
      </c>
      <c r="C303" s="110" t="b">
        <v>1</v>
      </c>
      <c r="D303" s="110" t="s">
        <v>58</v>
      </c>
      <c r="E303" s="110" t="s">
        <v>25</v>
      </c>
      <c r="F303" s="105" t="s">
        <v>553</v>
      </c>
      <c r="G303" s="118"/>
      <c r="H303" s="118">
        <v>0.55168447242520668</v>
      </c>
      <c r="I303" s="105"/>
      <c r="J303" s="105"/>
      <c r="K303" s="105"/>
      <c r="L303" s="105"/>
      <c r="M303" s="105"/>
    </row>
    <row r="304" spans="1:13" x14ac:dyDescent="0.35">
      <c r="A304" s="110" t="s">
        <v>479</v>
      </c>
      <c r="B304" s="110" t="s">
        <v>31</v>
      </c>
      <c r="C304" s="110" t="b">
        <v>0</v>
      </c>
      <c r="D304" s="110" t="s">
        <v>22</v>
      </c>
      <c r="E304" s="110" t="s">
        <v>23</v>
      </c>
      <c r="F304" s="105" t="s">
        <v>248</v>
      </c>
      <c r="G304" s="118"/>
      <c r="H304" s="118">
        <v>0.12599885985731779</v>
      </c>
      <c r="I304" s="105"/>
      <c r="J304" s="105"/>
      <c r="K304" s="105"/>
      <c r="L304" s="105"/>
      <c r="M304" s="105"/>
    </row>
    <row r="305" spans="1:13" x14ac:dyDescent="0.35">
      <c r="A305" s="110" t="s">
        <v>479</v>
      </c>
      <c r="B305" s="110" t="s">
        <v>31</v>
      </c>
      <c r="C305" s="110" t="b">
        <v>1</v>
      </c>
      <c r="D305" s="110" t="s">
        <v>22</v>
      </c>
      <c r="E305" s="110" t="s">
        <v>23</v>
      </c>
      <c r="F305" s="105" t="s">
        <v>554</v>
      </c>
      <c r="G305" s="118"/>
      <c r="H305" s="118">
        <v>0.12599862770971393</v>
      </c>
      <c r="I305" s="105"/>
      <c r="J305" s="105"/>
      <c r="K305" s="105"/>
      <c r="L305" s="105"/>
      <c r="M305" s="105"/>
    </row>
    <row r="306" spans="1:13" x14ac:dyDescent="0.35">
      <c r="A306" s="110" t="s">
        <v>479</v>
      </c>
      <c r="B306" s="110" t="s">
        <v>31</v>
      </c>
      <c r="C306" s="110" t="b">
        <v>0</v>
      </c>
      <c r="D306" s="110" t="s">
        <v>22</v>
      </c>
      <c r="E306" s="110" t="s">
        <v>24</v>
      </c>
      <c r="F306" s="105" t="s">
        <v>250</v>
      </c>
      <c r="G306" s="118"/>
      <c r="H306" s="118">
        <v>0.20257499944421553</v>
      </c>
      <c r="I306" s="105"/>
      <c r="J306" s="105"/>
      <c r="K306" s="105"/>
      <c r="L306" s="105"/>
      <c r="M306" s="105"/>
    </row>
    <row r="307" spans="1:13" x14ac:dyDescent="0.35">
      <c r="A307" s="110" t="s">
        <v>479</v>
      </c>
      <c r="B307" s="110" t="s">
        <v>31</v>
      </c>
      <c r="C307" s="110" t="b">
        <v>1</v>
      </c>
      <c r="D307" s="110" t="s">
        <v>22</v>
      </c>
      <c r="E307" s="110" t="s">
        <v>24</v>
      </c>
      <c r="F307" s="105" t="s">
        <v>555</v>
      </c>
      <c r="G307" s="118"/>
      <c r="H307" s="118">
        <v>0.20257471142496616</v>
      </c>
      <c r="I307" s="105"/>
      <c r="J307" s="105"/>
      <c r="K307" s="105"/>
      <c r="L307" s="105"/>
      <c r="M307" s="105"/>
    </row>
    <row r="308" spans="1:13" x14ac:dyDescent="0.35">
      <c r="A308" s="110" t="s">
        <v>479</v>
      </c>
      <c r="B308" s="110" t="s">
        <v>31</v>
      </c>
      <c r="C308" s="110" t="b">
        <v>0</v>
      </c>
      <c r="D308" s="110" t="s">
        <v>22</v>
      </c>
      <c r="E308" s="110" t="s">
        <v>25</v>
      </c>
      <c r="F308" s="105" t="s">
        <v>556</v>
      </c>
      <c r="G308" s="118"/>
      <c r="H308" s="118">
        <v>0.8470676150282197</v>
      </c>
      <c r="I308" s="105"/>
      <c r="J308" s="105"/>
      <c r="K308" s="105"/>
      <c r="L308" s="105"/>
      <c r="M308" s="105"/>
    </row>
    <row r="309" spans="1:13" x14ac:dyDescent="0.35">
      <c r="A309" s="110" t="s">
        <v>479</v>
      </c>
      <c r="B309" s="110" t="s">
        <v>31</v>
      </c>
      <c r="C309" s="110" t="b">
        <v>1</v>
      </c>
      <c r="D309" s="110" t="s">
        <v>22</v>
      </c>
      <c r="E309" s="110" t="s">
        <v>25</v>
      </c>
      <c r="F309" s="105" t="s">
        <v>557</v>
      </c>
      <c r="G309" s="118"/>
      <c r="H309" s="118">
        <v>0.84703820243906358</v>
      </c>
      <c r="I309" s="105"/>
      <c r="J309" s="105"/>
      <c r="K309" s="105"/>
      <c r="L309" s="105"/>
      <c r="M309" s="105"/>
    </row>
    <row r="310" spans="1:13" x14ac:dyDescent="0.35">
      <c r="A310" s="110" t="s">
        <v>479</v>
      </c>
      <c r="B310" s="110" t="s">
        <v>31</v>
      </c>
      <c r="C310" s="110" t="b">
        <v>0</v>
      </c>
      <c r="D310" s="110" t="s">
        <v>26</v>
      </c>
      <c r="E310" s="110" t="s">
        <v>23</v>
      </c>
      <c r="F310" s="105" t="s">
        <v>162</v>
      </c>
      <c r="G310" s="118"/>
      <c r="H310" s="118">
        <v>0.19230081731838722</v>
      </c>
      <c r="I310" s="105"/>
      <c r="J310" s="105"/>
      <c r="K310" s="105"/>
      <c r="L310" s="105"/>
      <c r="M310" s="105"/>
    </row>
    <row r="311" spans="1:13" x14ac:dyDescent="0.35">
      <c r="A311" s="110" t="s">
        <v>479</v>
      </c>
      <c r="B311" s="110" t="s">
        <v>31</v>
      </c>
      <c r="C311" s="110" t="b">
        <v>1</v>
      </c>
      <c r="D311" s="110" t="s">
        <v>26</v>
      </c>
      <c r="E311" s="110" t="s">
        <v>23</v>
      </c>
      <c r="F311" s="105" t="s">
        <v>558</v>
      </c>
      <c r="G311" s="118"/>
      <c r="H311" s="118">
        <v>0.1923005208887662</v>
      </c>
      <c r="I311" s="105"/>
      <c r="J311" s="105"/>
      <c r="K311" s="105"/>
      <c r="L311" s="105"/>
      <c r="M311" s="105"/>
    </row>
    <row r="312" spans="1:13" x14ac:dyDescent="0.35">
      <c r="A312" s="110" t="s">
        <v>479</v>
      </c>
      <c r="B312" s="110" t="s">
        <v>31</v>
      </c>
      <c r="C312" s="110" t="b">
        <v>0</v>
      </c>
      <c r="D312" s="110" t="s">
        <v>26</v>
      </c>
      <c r="E312" s="110" t="s">
        <v>24</v>
      </c>
      <c r="F312" s="105" t="s">
        <v>163</v>
      </c>
      <c r="G312" s="118"/>
      <c r="H312" s="118">
        <v>0.3440063237484548</v>
      </c>
      <c r="I312" s="105"/>
      <c r="J312" s="105"/>
      <c r="K312" s="105"/>
      <c r="L312" s="105"/>
      <c r="M312" s="105"/>
    </row>
    <row r="313" spans="1:13" x14ac:dyDescent="0.35">
      <c r="A313" s="110" t="s">
        <v>479</v>
      </c>
      <c r="B313" s="110" t="s">
        <v>31</v>
      </c>
      <c r="C313" s="110" t="b">
        <v>0</v>
      </c>
      <c r="D313" s="110" t="s">
        <v>26</v>
      </c>
      <c r="E313" s="110" t="s">
        <v>25</v>
      </c>
      <c r="F313" s="105" t="s">
        <v>251</v>
      </c>
      <c r="G313" s="118"/>
      <c r="H313" s="118">
        <v>1.3820570458949237</v>
      </c>
      <c r="I313" s="105"/>
      <c r="J313" s="105"/>
      <c r="K313" s="105"/>
      <c r="L313" s="105"/>
      <c r="M313" s="105"/>
    </row>
    <row r="314" spans="1:13" x14ac:dyDescent="0.35">
      <c r="A314" s="110" t="s">
        <v>479</v>
      </c>
      <c r="B314" s="110" t="s">
        <v>31</v>
      </c>
      <c r="C314" s="110" t="b">
        <v>0</v>
      </c>
      <c r="D314" s="110" t="s">
        <v>71</v>
      </c>
      <c r="E314" s="110" t="s">
        <v>23</v>
      </c>
      <c r="F314" s="105" t="s">
        <v>559</v>
      </c>
      <c r="G314" s="118"/>
      <c r="H314" s="118">
        <v>0.26478863909376565</v>
      </c>
      <c r="I314" s="105"/>
      <c r="J314" s="105"/>
      <c r="K314" s="105"/>
      <c r="L314" s="105"/>
      <c r="M314" s="105"/>
    </row>
    <row r="315" spans="1:13" x14ac:dyDescent="0.35">
      <c r="A315" s="110" t="s">
        <v>479</v>
      </c>
      <c r="B315" s="110" t="s">
        <v>31</v>
      </c>
      <c r="C315" s="110" t="b">
        <v>0</v>
      </c>
      <c r="D315" s="110" t="s">
        <v>71</v>
      </c>
      <c r="E315" s="110" t="s">
        <v>24</v>
      </c>
      <c r="F315" s="105" t="s">
        <v>560</v>
      </c>
      <c r="G315" s="118"/>
      <c r="H315" s="118">
        <v>0.53828909758555621</v>
      </c>
      <c r="I315" s="105"/>
      <c r="J315" s="105"/>
      <c r="K315" s="105"/>
      <c r="L315" s="105"/>
      <c r="M315" s="105"/>
    </row>
    <row r="316" spans="1:13" x14ac:dyDescent="0.35">
      <c r="A316" s="110" t="s">
        <v>479</v>
      </c>
      <c r="B316" s="110" t="s">
        <v>32</v>
      </c>
      <c r="C316" s="110" t="b">
        <v>1</v>
      </c>
      <c r="D316" s="110" t="s">
        <v>58</v>
      </c>
      <c r="E316" s="110" t="s">
        <v>23</v>
      </c>
      <c r="F316" s="105" t="s">
        <v>561</v>
      </c>
      <c r="G316" s="118"/>
      <c r="H316" s="118">
        <v>6.6856938329014751E-2</v>
      </c>
      <c r="I316" s="105"/>
      <c r="J316" s="105"/>
      <c r="K316" s="105"/>
      <c r="L316" s="105"/>
      <c r="M316" s="105"/>
    </row>
    <row r="317" spans="1:13" x14ac:dyDescent="0.35">
      <c r="A317" s="110" t="s">
        <v>479</v>
      </c>
      <c r="B317" s="110" t="s">
        <v>32</v>
      </c>
      <c r="C317" s="110" t="b">
        <v>1</v>
      </c>
      <c r="D317" s="110" t="s">
        <v>58</v>
      </c>
      <c r="E317" s="110" t="s">
        <v>24</v>
      </c>
      <c r="F317" s="105" t="s">
        <v>562</v>
      </c>
      <c r="G317" s="118"/>
      <c r="H317" s="118">
        <v>0.23483156826243826</v>
      </c>
      <c r="I317" s="105"/>
      <c r="J317" s="105"/>
      <c r="K317" s="105"/>
      <c r="L317" s="105"/>
      <c r="M317" s="105"/>
    </row>
    <row r="318" spans="1:13" x14ac:dyDescent="0.35">
      <c r="A318" s="110" t="s">
        <v>479</v>
      </c>
      <c r="B318" s="110" t="s">
        <v>32</v>
      </c>
      <c r="C318" s="110" t="b">
        <v>1</v>
      </c>
      <c r="D318" s="110" t="s">
        <v>58</v>
      </c>
      <c r="E318" s="110" t="s">
        <v>25</v>
      </c>
      <c r="F318" s="105" t="s">
        <v>563</v>
      </c>
      <c r="G318" s="118"/>
      <c r="H318" s="118">
        <v>0.59314948320595962</v>
      </c>
      <c r="I318" s="105"/>
      <c r="J318" s="105"/>
      <c r="K318" s="105"/>
      <c r="L318" s="105"/>
      <c r="M318" s="105"/>
    </row>
    <row r="319" spans="1:13" x14ac:dyDescent="0.35">
      <c r="A319" s="110" t="s">
        <v>479</v>
      </c>
      <c r="B319" s="110" t="s">
        <v>32</v>
      </c>
      <c r="C319" s="110" t="b">
        <v>0</v>
      </c>
      <c r="D319" s="110" t="s">
        <v>22</v>
      </c>
      <c r="E319" s="110" t="s">
        <v>23</v>
      </c>
      <c r="F319" s="105" t="s">
        <v>564</v>
      </c>
      <c r="G319" s="118"/>
      <c r="H319" s="118">
        <v>0.15011792483927061</v>
      </c>
      <c r="I319" s="105"/>
      <c r="J319" s="105"/>
      <c r="K319" s="105"/>
      <c r="L319" s="105"/>
      <c r="M319" s="105"/>
    </row>
    <row r="320" spans="1:13" x14ac:dyDescent="0.35">
      <c r="A320" s="110" t="s">
        <v>479</v>
      </c>
      <c r="B320" s="110" t="s">
        <v>32</v>
      </c>
      <c r="C320" s="110" t="b">
        <v>1</v>
      </c>
      <c r="D320" s="110" t="s">
        <v>22</v>
      </c>
      <c r="E320" s="110" t="s">
        <v>23</v>
      </c>
      <c r="F320" s="105" t="s">
        <v>565</v>
      </c>
      <c r="G320" s="118"/>
      <c r="H320" s="118">
        <v>0.14973623770122471</v>
      </c>
      <c r="I320" s="105"/>
      <c r="J320" s="105"/>
      <c r="K320" s="105"/>
      <c r="L320" s="105"/>
      <c r="M320" s="105"/>
    </row>
    <row r="321" spans="1:13" x14ac:dyDescent="0.35">
      <c r="A321" s="110" t="s">
        <v>479</v>
      </c>
      <c r="B321" s="110" t="s">
        <v>32</v>
      </c>
      <c r="C321" s="110" t="b">
        <v>0</v>
      </c>
      <c r="D321" s="110" t="s">
        <v>22</v>
      </c>
      <c r="E321" s="110" t="s">
        <v>24</v>
      </c>
      <c r="F321" s="105" t="s">
        <v>566</v>
      </c>
      <c r="G321" s="118"/>
      <c r="H321" s="118">
        <v>0.49808295675942338</v>
      </c>
      <c r="I321" s="105"/>
      <c r="J321" s="105"/>
      <c r="K321" s="105"/>
      <c r="L321" s="105"/>
      <c r="M321" s="105"/>
    </row>
    <row r="322" spans="1:13" x14ac:dyDescent="0.35">
      <c r="A322" s="110" t="s">
        <v>479</v>
      </c>
      <c r="B322" s="110" t="s">
        <v>32</v>
      </c>
      <c r="C322" s="110" t="b">
        <v>1</v>
      </c>
      <c r="D322" s="110" t="s">
        <v>22</v>
      </c>
      <c r="E322" s="110" t="s">
        <v>24</v>
      </c>
      <c r="F322" s="105" t="s">
        <v>567</v>
      </c>
      <c r="G322" s="118"/>
      <c r="H322" s="118">
        <v>0.49624849124267756</v>
      </c>
      <c r="I322" s="105"/>
      <c r="J322" s="105"/>
      <c r="K322" s="105"/>
      <c r="L322" s="105"/>
      <c r="M322" s="105"/>
    </row>
    <row r="323" spans="1:13" x14ac:dyDescent="0.35">
      <c r="A323" s="110" t="s">
        <v>479</v>
      </c>
      <c r="B323" s="110" t="s">
        <v>32</v>
      </c>
      <c r="C323" s="110" t="b">
        <v>0</v>
      </c>
      <c r="D323" s="110" t="s">
        <v>22</v>
      </c>
      <c r="E323" s="110" t="s">
        <v>25</v>
      </c>
      <c r="F323" s="105" t="s">
        <v>568</v>
      </c>
      <c r="G323" s="118"/>
      <c r="H323" s="118">
        <v>0.97888769212122906</v>
      </c>
      <c r="I323" s="105"/>
      <c r="J323" s="105"/>
      <c r="K323" s="118"/>
      <c r="L323" s="105"/>
      <c r="M323" s="118"/>
    </row>
    <row r="324" spans="1:13" x14ac:dyDescent="0.35">
      <c r="A324" s="110" t="s">
        <v>479</v>
      </c>
      <c r="B324" s="110" t="s">
        <v>32</v>
      </c>
      <c r="C324" s="110" t="b">
        <v>1</v>
      </c>
      <c r="D324" s="110" t="s">
        <v>22</v>
      </c>
      <c r="E324" s="110" t="s">
        <v>25</v>
      </c>
      <c r="F324" s="105" t="s">
        <v>569</v>
      </c>
      <c r="G324" s="118"/>
      <c r="H324" s="118">
        <v>0.97487260163240275</v>
      </c>
      <c r="I324" s="105"/>
      <c r="J324" s="105"/>
      <c r="K324" s="118"/>
      <c r="L324" s="105"/>
      <c r="M324" s="118"/>
    </row>
    <row r="325" spans="1:13" x14ac:dyDescent="0.35">
      <c r="A325" s="110" t="s">
        <v>479</v>
      </c>
      <c r="B325" s="110" t="s">
        <v>32</v>
      </c>
      <c r="C325" s="110" t="b">
        <v>0</v>
      </c>
      <c r="D325" s="110" t="s">
        <v>26</v>
      </c>
      <c r="E325" s="110" t="s">
        <v>23</v>
      </c>
      <c r="F325" s="105" t="s">
        <v>176</v>
      </c>
      <c r="G325" s="118"/>
      <c r="H325" s="118">
        <v>0.24894990963285996</v>
      </c>
      <c r="I325" s="105"/>
      <c r="J325" s="105"/>
      <c r="K325" s="118"/>
      <c r="L325" s="105"/>
      <c r="M325" s="118"/>
    </row>
    <row r="326" spans="1:13" x14ac:dyDescent="0.35">
      <c r="A326" s="110" t="s">
        <v>479</v>
      </c>
      <c r="B326" s="110" t="s">
        <v>32</v>
      </c>
      <c r="C326" s="110" t="b">
        <v>1</v>
      </c>
      <c r="D326" s="110" t="s">
        <v>26</v>
      </c>
      <c r="E326" s="110" t="s">
        <v>23</v>
      </c>
      <c r="F326" s="105" t="s">
        <v>570</v>
      </c>
      <c r="G326" s="118"/>
      <c r="H326" s="118">
        <v>0.24848378338845006</v>
      </c>
      <c r="I326" s="105"/>
      <c r="J326" s="105"/>
      <c r="K326" s="118"/>
      <c r="L326" s="105"/>
      <c r="M326" s="118"/>
    </row>
    <row r="327" spans="1:13" x14ac:dyDescent="0.35">
      <c r="A327" s="110" t="s">
        <v>479</v>
      </c>
      <c r="B327" s="110" t="s">
        <v>32</v>
      </c>
      <c r="C327" s="110" t="b">
        <v>0</v>
      </c>
      <c r="D327" s="110" t="s">
        <v>26</v>
      </c>
      <c r="E327" s="110" t="s">
        <v>24</v>
      </c>
      <c r="F327" s="105" t="s">
        <v>571</v>
      </c>
      <c r="G327" s="118"/>
      <c r="H327" s="118">
        <v>0.92438943355486125</v>
      </c>
      <c r="I327" s="105"/>
      <c r="J327" s="105"/>
      <c r="K327" s="118"/>
      <c r="L327" s="105"/>
      <c r="M327" s="118"/>
    </row>
    <row r="328" spans="1:13" x14ac:dyDescent="0.35">
      <c r="A328" s="110" t="s">
        <v>479</v>
      </c>
      <c r="B328" s="110" t="s">
        <v>32</v>
      </c>
      <c r="C328" s="110" t="b">
        <v>0</v>
      </c>
      <c r="D328" s="110" t="s">
        <v>26</v>
      </c>
      <c r="E328" s="110" t="s">
        <v>25</v>
      </c>
      <c r="F328" s="105" t="s">
        <v>252</v>
      </c>
      <c r="G328" s="118"/>
      <c r="H328" s="118">
        <v>1.5929078900961153</v>
      </c>
      <c r="I328" s="105"/>
      <c r="J328" s="105"/>
      <c r="K328" s="118"/>
      <c r="L328" s="105"/>
      <c r="M328" s="118"/>
    </row>
    <row r="329" spans="1:13" x14ac:dyDescent="0.35">
      <c r="A329" s="110" t="s">
        <v>34</v>
      </c>
      <c r="B329" s="110" t="s">
        <v>34</v>
      </c>
      <c r="C329" s="110" t="s">
        <v>34</v>
      </c>
      <c r="D329" s="110" t="s">
        <v>34</v>
      </c>
      <c r="E329" s="112" t="s">
        <v>35</v>
      </c>
      <c r="F329" s="105" t="str">
        <f>"|"&amp;"|"&amp;"|"&amp;E329</f>
        <v>|||Greenspace</v>
      </c>
      <c r="G329" s="119"/>
      <c r="H329" s="118">
        <v>0.02</v>
      </c>
      <c r="I329" s="105"/>
      <c r="J329" s="105"/>
      <c r="K329" s="105"/>
      <c r="L329" s="105"/>
      <c r="M329" s="105"/>
    </row>
    <row r="330" spans="1:13" ht="14.6" x14ac:dyDescent="0.35">
      <c r="A330" s="110" t="s">
        <v>34</v>
      </c>
      <c r="B330" s="110" t="s">
        <v>34</v>
      </c>
      <c r="C330" s="110" t="s">
        <v>34</v>
      </c>
      <c r="D330" s="110" t="s">
        <v>34</v>
      </c>
      <c r="E330" s="112" t="s">
        <v>36</v>
      </c>
      <c r="F330" s="105" t="str">
        <f>"|"&amp;"|"&amp;"|"&amp;E330</f>
        <v>|||Community food growing</v>
      </c>
      <c r="G330" s="118"/>
      <c r="H330" s="150">
        <f>IFERROR(VLOOKUP((VLOOKUP(Nutrients_from_current_land_use!$B$5,Value_look_up_tables!$A$366:$B$367,2,FALSE)&amp;"|"&amp;"General"&amp;"|"&amp;"FALSE"&amp;"|"&amp;VLOOKUP(Nutrients_from_current_land_use!$B$7,Value_look_up_tables!$A$340:$C$362,3,FALSE)&amp;"|"&amp;"FreeDrain"),$F$49:$H$328,3,FALSE), IFERROR(VLOOKUP("General"&amp;"|"&amp;VLOOKUP(Nutrients_from_current_land_use!$B$7,Value_look_up_tables!$A$340:$C$362,3,FALSE),$I$49:$M$328,3,FALSE),VLOOKUP("General",$B$49:$M$328,12,FALSE)))</f>
        <v>0.42207560077286743</v>
      </c>
      <c r="I330" s="105"/>
      <c r="J330" s="105"/>
      <c r="K330" s="105"/>
      <c r="L330" s="105"/>
      <c r="M330" s="105"/>
    </row>
    <row r="331" spans="1:13" x14ac:dyDescent="0.35">
      <c r="A331" s="110" t="s">
        <v>34</v>
      </c>
      <c r="B331" s="110" t="s">
        <v>34</v>
      </c>
      <c r="C331" s="110" t="s">
        <v>34</v>
      </c>
      <c r="D331" s="110" t="s">
        <v>34</v>
      </c>
      <c r="E331" s="112" t="s">
        <v>37</v>
      </c>
      <c r="F331" s="105" t="str">
        <f>"|"&amp;"|"&amp;"|"&amp;E331</f>
        <v>|||Woodland</v>
      </c>
      <c r="G331" s="119"/>
      <c r="H331" s="118">
        <v>0.02</v>
      </c>
      <c r="I331" s="105"/>
      <c r="J331" s="105"/>
      <c r="K331" s="105"/>
      <c r="L331" s="105"/>
      <c r="M331" s="105"/>
    </row>
    <row r="332" spans="1:13" x14ac:dyDescent="0.35">
      <c r="A332" s="110" t="s">
        <v>34</v>
      </c>
      <c r="B332" s="110" t="s">
        <v>34</v>
      </c>
      <c r="C332" s="110" t="s">
        <v>34</v>
      </c>
      <c r="D332" s="110" t="s">
        <v>34</v>
      </c>
      <c r="E332" s="112" t="s">
        <v>38</v>
      </c>
      <c r="F332" s="105" t="str">
        <f>"|"&amp;"|"&amp;"|"&amp;E332</f>
        <v>|||Shrub</v>
      </c>
      <c r="G332" s="119"/>
      <c r="H332" s="118">
        <v>0.02</v>
      </c>
      <c r="I332" s="105"/>
      <c r="J332" s="105"/>
      <c r="K332" s="105"/>
      <c r="L332" s="105"/>
      <c r="M332" s="105"/>
    </row>
    <row r="333" spans="1:13" x14ac:dyDescent="0.35">
      <c r="A333" s="110" t="s">
        <v>34</v>
      </c>
      <c r="B333" s="110" t="s">
        <v>34</v>
      </c>
      <c r="C333" s="110" t="s">
        <v>34</v>
      </c>
      <c r="D333" s="110" t="s">
        <v>34</v>
      </c>
      <c r="E333" s="112" t="s">
        <v>39</v>
      </c>
      <c r="F333" s="105" t="str">
        <f>"|"&amp;"|"&amp;"|"&amp;E333</f>
        <v>|||Water</v>
      </c>
      <c r="G333" s="119"/>
      <c r="H333" s="118">
        <v>0</v>
      </c>
      <c r="I333" s="105"/>
      <c r="J333" s="105"/>
      <c r="K333" s="105"/>
      <c r="L333" s="105"/>
      <c r="M333" s="105"/>
    </row>
    <row r="334" spans="1:13" x14ac:dyDescent="0.35">
      <c r="A334" s="110" t="s">
        <v>34</v>
      </c>
      <c r="B334" s="110" t="s">
        <v>34</v>
      </c>
      <c r="C334" s="110" t="s">
        <v>34</v>
      </c>
      <c r="D334" s="110" t="s">
        <v>34</v>
      </c>
      <c r="E334" s="105" t="s">
        <v>40</v>
      </c>
      <c r="F334" s="105" t="str">
        <f t="shared" ref="F334:F336" si="0">"|"&amp;"|"&amp;"|"&amp;E334</f>
        <v>|||Residential urban land</v>
      </c>
      <c r="G334" s="118"/>
      <c r="H334" s="118" t="e">
        <f>VLOOKUP(Nutrients_from_current_land_use!B7,Value_look_up_tables!A340:I362,9,FALSE)</f>
        <v>#N/A</v>
      </c>
      <c r="I334" s="105"/>
      <c r="J334" s="105"/>
      <c r="K334" s="105"/>
      <c r="L334" s="105"/>
      <c r="M334" s="105"/>
    </row>
    <row r="335" spans="1:13" ht="28.3" x14ac:dyDescent="0.35">
      <c r="A335" s="110" t="s">
        <v>34</v>
      </c>
      <c r="B335" s="110" t="s">
        <v>34</v>
      </c>
      <c r="C335" s="110" t="s">
        <v>34</v>
      </c>
      <c r="D335" s="110" t="s">
        <v>34</v>
      </c>
      <c r="E335" s="105" t="s">
        <v>41</v>
      </c>
      <c r="F335" s="105" t="str">
        <f t="shared" si="0"/>
        <v>|||Commercial/industrial urban land</v>
      </c>
      <c r="G335" s="118"/>
      <c r="H335" s="118" t="e">
        <f>VLOOKUP(Nutrients_from_current_land_use!B7,Value_look_up_tables!A340:K362,10,FALSE)</f>
        <v>#N/A</v>
      </c>
      <c r="I335" s="105"/>
      <c r="J335" s="105"/>
      <c r="K335" s="105"/>
      <c r="L335" s="105"/>
      <c r="M335" s="105"/>
    </row>
    <row r="336" spans="1:13" x14ac:dyDescent="0.35">
      <c r="A336" s="110" t="s">
        <v>34</v>
      </c>
      <c r="B336" s="110" t="s">
        <v>34</v>
      </c>
      <c r="C336" s="110" t="s">
        <v>34</v>
      </c>
      <c r="D336" s="110" t="s">
        <v>34</v>
      </c>
      <c r="E336" s="105" t="s">
        <v>42</v>
      </c>
      <c r="F336" s="105" t="str">
        <f t="shared" si="0"/>
        <v>|||Open urban land</v>
      </c>
      <c r="G336" s="118"/>
      <c r="H336" s="118" t="e">
        <f>VLOOKUP(Nutrients_from_current_land_use!B7,Value_look_up_tables!A340:N362,11,FALSE)</f>
        <v>#N/A</v>
      </c>
      <c r="I336" s="105"/>
      <c r="J336" s="105"/>
      <c r="K336" s="105"/>
      <c r="L336" s="105"/>
      <c r="M336" s="105"/>
    </row>
    <row r="337" spans="1:13" x14ac:dyDescent="0.35">
      <c r="A337" s="103"/>
      <c r="B337" s="103"/>
      <c r="C337" s="103"/>
      <c r="D337" s="103"/>
      <c r="E337" s="103"/>
      <c r="F337" s="103"/>
      <c r="G337" s="111"/>
      <c r="H337" s="111"/>
      <c r="I337" s="103"/>
      <c r="J337" s="103"/>
      <c r="K337" s="103"/>
      <c r="L337" s="103"/>
      <c r="M337" s="103"/>
    </row>
    <row r="338" spans="1:13" ht="37.5" customHeight="1" x14ac:dyDescent="0.35">
      <c r="A338" s="125" t="s">
        <v>43</v>
      </c>
      <c r="B338" s="133"/>
      <c r="C338" s="103"/>
      <c r="D338" s="103"/>
      <c r="E338" s="103"/>
      <c r="F338" s="103"/>
      <c r="G338" s="111"/>
      <c r="H338" s="111"/>
      <c r="I338" s="103"/>
      <c r="J338" s="103"/>
      <c r="K338" s="103"/>
      <c r="L338" s="103"/>
      <c r="M338" s="103"/>
    </row>
    <row r="339" spans="1:13" ht="70.75" x14ac:dyDescent="0.35">
      <c r="A339" s="135" t="s">
        <v>44</v>
      </c>
      <c r="B339" s="135" t="s">
        <v>45</v>
      </c>
      <c r="C339" s="135" t="s">
        <v>46</v>
      </c>
      <c r="D339" s="135" t="s">
        <v>47</v>
      </c>
      <c r="E339" s="135" t="s">
        <v>48</v>
      </c>
      <c r="F339" s="135" t="s">
        <v>49</v>
      </c>
      <c r="G339" s="135" t="s">
        <v>50</v>
      </c>
      <c r="H339" s="135" t="s">
        <v>51</v>
      </c>
      <c r="I339" s="135" t="s">
        <v>150</v>
      </c>
      <c r="J339" s="135" t="s">
        <v>151</v>
      </c>
      <c r="K339" s="135" t="s">
        <v>152</v>
      </c>
      <c r="L339" s="101"/>
      <c r="M339" s="101"/>
    </row>
    <row r="340" spans="1:13" x14ac:dyDescent="0.35">
      <c r="A340" s="113" t="s">
        <v>52</v>
      </c>
      <c r="B340" s="114">
        <v>516.5</v>
      </c>
      <c r="C340" s="113" t="s">
        <v>53</v>
      </c>
      <c r="D340" s="114">
        <v>47.366326420209788</v>
      </c>
      <c r="E340" s="114">
        <v>63.946326420209786</v>
      </c>
      <c r="F340" s="114">
        <v>1.0030530114375726</v>
      </c>
      <c r="G340" s="114">
        <v>0.73394122788115068</v>
      </c>
      <c r="H340" s="114">
        <v>0.5382235671128438</v>
      </c>
      <c r="I340" s="114">
        <v>1.0030530114375726</v>
      </c>
      <c r="J340" s="114">
        <v>0.73394122788115068</v>
      </c>
      <c r="K340" s="114">
        <v>0.5382235671128438</v>
      </c>
      <c r="L340" s="115"/>
      <c r="M340" s="115"/>
    </row>
    <row r="341" spans="1:13" x14ac:dyDescent="0.35">
      <c r="A341" s="113" t="s">
        <v>54</v>
      </c>
      <c r="B341" s="114">
        <v>537.54999999999995</v>
      </c>
      <c r="C341" s="113" t="s">
        <v>53</v>
      </c>
      <c r="D341" s="114">
        <v>47.605509573313697</v>
      </c>
      <c r="E341" s="114">
        <v>64.185509573313695</v>
      </c>
      <c r="F341" s="114">
        <v>1.049204008516526</v>
      </c>
      <c r="G341" s="114">
        <v>0.76771025013404326</v>
      </c>
      <c r="H341" s="114">
        <v>0.56298751676496517</v>
      </c>
      <c r="I341" s="114">
        <v>1.049204008516526</v>
      </c>
      <c r="J341" s="114">
        <v>0.76771025013404326</v>
      </c>
      <c r="K341" s="114">
        <v>0.56298751676496517</v>
      </c>
      <c r="L341" s="115"/>
      <c r="M341" s="115"/>
    </row>
    <row r="342" spans="1:13" x14ac:dyDescent="0.35">
      <c r="A342" s="113" t="s">
        <v>55</v>
      </c>
      <c r="B342" s="114">
        <v>562.54999999999995</v>
      </c>
      <c r="C342" s="113" t="s">
        <v>53</v>
      </c>
      <c r="D342" s="114">
        <v>47.8624816470968</v>
      </c>
      <c r="E342" s="114">
        <v>64.442481647096798</v>
      </c>
      <c r="F342" s="114">
        <v>1.1039266010735462</v>
      </c>
      <c r="G342" s="114">
        <v>0.80775117151722908</v>
      </c>
      <c r="H342" s="114">
        <v>0.59235085911263463</v>
      </c>
      <c r="I342" s="114">
        <v>1.1039266010735462</v>
      </c>
      <c r="J342" s="114">
        <v>0.80775117151722908</v>
      </c>
      <c r="K342" s="114">
        <v>0.59235085911263463</v>
      </c>
      <c r="L342" s="115"/>
      <c r="M342" s="115"/>
    </row>
    <row r="343" spans="1:13" x14ac:dyDescent="0.35">
      <c r="A343" s="113" t="s">
        <v>56</v>
      </c>
      <c r="B343" s="114">
        <v>587.54999999999995</v>
      </c>
      <c r="C343" s="113" t="s">
        <v>53</v>
      </c>
      <c r="D343" s="114">
        <v>48.089720428979902</v>
      </c>
      <c r="E343" s="114">
        <v>64.6697204289799</v>
      </c>
      <c r="F343" s="114">
        <v>1.1584597247599329</v>
      </c>
      <c r="G343" s="114">
        <v>0.84765345714141427</v>
      </c>
      <c r="H343" s="114">
        <v>0.62161253523703719</v>
      </c>
      <c r="I343" s="114">
        <v>1.1584597247599329</v>
      </c>
      <c r="J343" s="114">
        <v>0.84765345714141427</v>
      </c>
      <c r="K343" s="114">
        <v>0.62161253523703719</v>
      </c>
      <c r="L343" s="115"/>
      <c r="M343" s="115"/>
    </row>
    <row r="344" spans="1:13" x14ac:dyDescent="0.35">
      <c r="A344" s="113" t="s">
        <v>57</v>
      </c>
      <c r="B344" s="114">
        <v>612.54999999999995</v>
      </c>
      <c r="C344" s="113" t="s">
        <v>58</v>
      </c>
      <c r="D344" s="114">
        <v>48.286892468962989</v>
      </c>
      <c r="E344" s="114">
        <v>64.866892468962988</v>
      </c>
      <c r="F344" s="114">
        <v>1.2127035752563942</v>
      </c>
      <c r="G344" s="114">
        <v>0.88734407945589822</v>
      </c>
      <c r="H344" s="114">
        <v>0.650718991600992</v>
      </c>
      <c r="I344" s="114">
        <v>1.2127035752563942</v>
      </c>
      <c r="J344" s="114">
        <v>0.88734407945589822</v>
      </c>
      <c r="K344" s="114">
        <v>0.650718991600992</v>
      </c>
      <c r="L344" s="115"/>
      <c r="M344" s="115"/>
    </row>
    <row r="345" spans="1:13" x14ac:dyDescent="0.35">
      <c r="A345" s="113" t="s">
        <v>59</v>
      </c>
      <c r="B345" s="114">
        <v>637.54999999999995</v>
      </c>
      <c r="C345" s="113" t="s">
        <v>58</v>
      </c>
      <c r="D345" s="114">
        <v>48.453664317046091</v>
      </c>
      <c r="E345" s="114">
        <v>65.033664317046089</v>
      </c>
      <c r="F345" s="114">
        <v>1.2665569810986419</v>
      </c>
      <c r="G345" s="114">
        <v>0.92674901055998193</v>
      </c>
      <c r="H345" s="114">
        <v>0.67961594107732015</v>
      </c>
      <c r="I345" s="114">
        <v>1.2665569810986419</v>
      </c>
      <c r="J345" s="114">
        <v>0.92674901055998193</v>
      </c>
      <c r="K345" s="114">
        <v>0.67961594107732015</v>
      </c>
      <c r="L345" s="115"/>
      <c r="M345" s="115"/>
    </row>
    <row r="346" spans="1:13" x14ac:dyDescent="0.35">
      <c r="A346" s="113" t="s">
        <v>60</v>
      </c>
      <c r="B346" s="114">
        <v>662.55</v>
      </c>
      <c r="C346" s="113" t="s">
        <v>58</v>
      </c>
      <c r="D346" s="114">
        <v>48.589702523229192</v>
      </c>
      <c r="E346" s="114">
        <v>65.169702523229191</v>
      </c>
      <c r="F346" s="114">
        <v>1.3199174036773855</v>
      </c>
      <c r="G346" s="114">
        <v>0.96579322220296504</v>
      </c>
      <c r="H346" s="114">
        <v>0.70824836294884108</v>
      </c>
      <c r="I346" s="114">
        <v>1.3199174036773855</v>
      </c>
      <c r="J346" s="114">
        <v>0.96579322220296504</v>
      </c>
      <c r="K346" s="114">
        <v>0.70824836294884108</v>
      </c>
      <c r="L346" s="115"/>
      <c r="M346" s="115"/>
    </row>
    <row r="347" spans="1:13" x14ac:dyDescent="0.35">
      <c r="A347" s="113" t="s">
        <v>61</v>
      </c>
      <c r="B347" s="114">
        <v>687.55</v>
      </c>
      <c r="C347" s="113" t="s">
        <v>58</v>
      </c>
      <c r="D347" s="114">
        <v>48.694673637512295</v>
      </c>
      <c r="E347" s="114">
        <v>65.274673637512294</v>
      </c>
      <c r="F347" s="114">
        <v>1.3726809372383346</v>
      </c>
      <c r="G347" s="114">
        <v>1.0044006857841474</v>
      </c>
      <c r="H347" s="114">
        <v>0.73656050290837471</v>
      </c>
      <c r="I347" s="114">
        <v>1.3726809372383346</v>
      </c>
      <c r="J347" s="114">
        <v>1.0044006857841474</v>
      </c>
      <c r="K347" s="114">
        <v>0.73656050290837471</v>
      </c>
      <c r="L347" s="115"/>
      <c r="M347" s="115"/>
    </row>
    <row r="348" spans="1:13" x14ac:dyDescent="0.35">
      <c r="A348" s="113" t="s">
        <v>62</v>
      </c>
      <c r="B348" s="114">
        <v>725.05</v>
      </c>
      <c r="C348" s="113" t="s">
        <v>22</v>
      </c>
      <c r="D348" s="114">
        <v>48.793150089749446</v>
      </c>
      <c r="E348" s="114">
        <v>65.373150089749444</v>
      </c>
      <c r="F348" s="114">
        <v>1.4504764123754863</v>
      </c>
      <c r="G348" s="114">
        <v>1.0613242041771849</v>
      </c>
      <c r="H348" s="114">
        <v>0.77830441639660242</v>
      </c>
      <c r="I348" s="114">
        <v>1.4504764123754863</v>
      </c>
      <c r="J348" s="114">
        <v>1.0613242041771849</v>
      </c>
      <c r="K348" s="114">
        <v>0.77830441639660242</v>
      </c>
      <c r="L348" s="115"/>
      <c r="M348" s="115"/>
    </row>
    <row r="349" spans="1:13" x14ac:dyDescent="0.35">
      <c r="A349" s="113" t="s">
        <v>63</v>
      </c>
      <c r="B349" s="114">
        <v>775.05</v>
      </c>
      <c r="C349" s="113" t="s">
        <v>22</v>
      </c>
      <c r="D349" s="114">
        <v>48.817999999999984</v>
      </c>
      <c r="E349" s="114">
        <v>65.397999999999982</v>
      </c>
      <c r="F349" s="114">
        <v>1.5512920268999992</v>
      </c>
      <c r="G349" s="114">
        <v>1.1350917269999994</v>
      </c>
      <c r="H349" s="114">
        <v>0.83240059979999959</v>
      </c>
      <c r="I349" s="114">
        <v>1.5512920268999992</v>
      </c>
      <c r="J349" s="114">
        <v>1.1350917269999994</v>
      </c>
      <c r="K349" s="114">
        <v>0.83240059979999959</v>
      </c>
      <c r="L349" s="115"/>
      <c r="M349" s="115"/>
    </row>
    <row r="350" spans="1:13" x14ac:dyDescent="0.35">
      <c r="A350" s="113" t="s">
        <v>64</v>
      </c>
      <c r="B350" s="114">
        <v>825.05</v>
      </c>
      <c r="C350" s="113" t="s">
        <v>22</v>
      </c>
      <c r="D350" s="114">
        <v>48.817999999999984</v>
      </c>
      <c r="E350" s="114">
        <v>65.397999999999982</v>
      </c>
      <c r="F350" s="114">
        <v>1.6513689268999994</v>
      </c>
      <c r="G350" s="114">
        <v>1.2083187269999995</v>
      </c>
      <c r="H350" s="114">
        <v>0.88610039979999966</v>
      </c>
      <c r="I350" s="114">
        <v>1.6513689268999994</v>
      </c>
      <c r="J350" s="114">
        <v>1.2083187269999995</v>
      </c>
      <c r="K350" s="114">
        <v>0.88610039979999966</v>
      </c>
      <c r="L350" s="115"/>
      <c r="M350" s="115"/>
    </row>
    <row r="351" spans="1:13" x14ac:dyDescent="0.35">
      <c r="A351" s="113" t="s">
        <v>65</v>
      </c>
      <c r="B351" s="114">
        <v>875.05</v>
      </c>
      <c r="C351" s="113" t="s">
        <v>22</v>
      </c>
      <c r="D351" s="114">
        <v>48.817999999999984</v>
      </c>
      <c r="E351" s="114">
        <v>65.397999999999982</v>
      </c>
      <c r="F351" s="114">
        <v>1.7514458268999995</v>
      </c>
      <c r="G351" s="114">
        <v>1.2815457269999997</v>
      </c>
      <c r="H351" s="114">
        <v>0.93980019979999974</v>
      </c>
      <c r="I351" s="114">
        <v>1.7514458268999995</v>
      </c>
      <c r="J351" s="114">
        <v>1.2815457269999997</v>
      </c>
      <c r="K351" s="114">
        <v>0.93980019979999974</v>
      </c>
      <c r="L351" s="115"/>
      <c r="M351" s="115"/>
    </row>
    <row r="352" spans="1:13" x14ac:dyDescent="0.35">
      <c r="A352" s="113" t="s">
        <v>66</v>
      </c>
      <c r="B352" s="114">
        <v>925.05</v>
      </c>
      <c r="C352" s="113" t="s">
        <v>26</v>
      </c>
      <c r="D352" s="114">
        <v>48.817999999999984</v>
      </c>
      <c r="E352" s="114">
        <v>65.397999999999982</v>
      </c>
      <c r="F352" s="114">
        <v>1.851522726899999</v>
      </c>
      <c r="G352" s="114">
        <v>1.3547727269999992</v>
      </c>
      <c r="H352" s="114">
        <v>0.99349999979999948</v>
      </c>
      <c r="I352" s="114">
        <v>1.851522726899999</v>
      </c>
      <c r="J352" s="114">
        <v>1.3547727269999992</v>
      </c>
      <c r="K352" s="114">
        <v>0.99349999979999948</v>
      </c>
      <c r="L352" s="115"/>
      <c r="M352" s="115"/>
    </row>
    <row r="353" spans="1:13" x14ac:dyDescent="0.35">
      <c r="A353" s="113" t="s">
        <v>67</v>
      </c>
      <c r="B353" s="114">
        <v>975.05</v>
      </c>
      <c r="C353" s="113" t="s">
        <v>26</v>
      </c>
      <c r="D353" s="114">
        <v>48.817999999999984</v>
      </c>
      <c r="E353" s="114">
        <v>65.397999999999982</v>
      </c>
      <c r="F353" s="114">
        <v>1.9515996268999991</v>
      </c>
      <c r="G353" s="114">
        <v>1.4279997269999993</v>
      </c>
      <c r="H353" s="114">
        <v>1.0471997997999996</v>
      </c>
      <c r="I353" s="114">
        <v>1.9515996268999991</v>
      </c>
      <c r="J353" s="114">
        <v>1.4279997269999993</v>
      </c>
      <c r="K353" s="114">
        <v>1.0471997997999996</v>
      </c>
      <c r="L353" s="115"/>
      <c r="M353" s="115"/>
    </row>
    <row r="354" spans="1:13" x14ac:dyDescent="0.35">
      <c r="A354" s="113" t="s">
        <v>68</v>
      </c>
      <c r="B354" s="114">
        <v>1050.05</v>
      </c>
      <c r="C354" s="113" t="s">
        <v>26</v>
      </c>
      <c r="D354" s="114">
        <v>48.817999999999984</v>
      </c>
      <c r="E354" s="114">
        <v>65.397999999999982</v>
      </c>
      <c r="F354" s="114">
        <v>2.101714976899999</v>
      </c>
      <c r="G354" s="114">
        <v>1.5378402269999993</v>
      </c>
      <c r="H354" s="114">
        <v>1.1277494997999997</v>
      </c>
      <c r="I354" s="114">
        <v>2.101714976899999</v>
      </c>
      <c r="J354" s="114">
        <v>1.5378402269999993</v>
      </c>
      <c r="K354" s="114">
        <v>1.1277494997999997</v>
      </c>
      <c r="L354" s="115"/>
      <c r="M354" s="115"/>
    </row>
    <row r="355" spans="1:13" x14ac:dyDescent="0.35">
      <c r="A355" s="113" t="s">
        <v>69</v>
      </c>
      <c r="B355" s="114">
        <v>1150.05</v>
      </c>
      <c r="C355" s="113" t="s">
        <v>26</v>
      </c>
      <c r="D355" s="114">
        <v>48.817999999999984</v>
      </c>
      <c r="E355" s="114">
        <v>65.397999999999982</v>
      </c>
      <c r="F355" s="114">
        <v>2.3018687768999988</v>
      </c>
      <c r="G355" s="114">
        <v>1.6842942269999992</v>
      </c>
      <c r="H355" s="114">
        <v>1.2351490997999994</v>
      </c>
      <c r="I355" s="114">
        <v>2.3018687768999988</v>
      </c>
      <c r="J355" s="114">
        <v>1.6842942269999992</v>
      </c>
      <c r="K355" s="114">
        <v>1.2351490997999994</v>
      </c>
      <c r="L355" s="115"/>
      <c r="M355" s="115"/>
    </row>
    <row r="356" spans="1:13" x14ac:dyDescent="0.35">
      <c r="A356" s="113" t="s">
        <v>70</v>
      </c>
      <c r="B356" s="114">
        <v>1300.05</v>
      </c>
      <c r="C356" s="113" t="s">
        <v>71</v>
      </c>
      <c r="D356" s="114">
        <v>48.817999999999984</v>
      </c>
      <c r="E356" s="114">
        <v>65.397999999999982</v>
      </c>
      <c r="F356" s="114">
        <v>2.602099476899999</v>
      </c>
      <c r="G356" s="114">
        <v>1.9039752269999992</v>
      </c>
      <c r="H356" s="114">
        <v>1.3962484997999995</v>
      </c>
      <c r="I356" s="114">
        <v>2.602099476899999</v>
      </c>
      <c r="J356" s="114">
        <v>1.9039752269999992</v>
      </c>
      <c r="K356" s="114">
        <v>1.3962484997999995</v>
      </c>
      <c r="L356" s="115"/>
      <c r="M356" s="115"/>
    </row>
    <row r="357" spans="1:13" x14ac:dyDescent="0.35">
      <c r="A357" s="113" t="s">
        <v>72</v>
      </c>
      <c r="B357" s="114">
        <v>1500.05</v>
      </c>
      <c r="C357" s="113" t="s">
        <v>71</v>
      </c>
      <c r="D357" s="114">
        <v>48.817999999999984</v>
      </c>
      <c r="E357" s="114">
        <v>65.397999999999982</v>
      </c>
      <c r="F357" s="114">
        <v>3.0024070768999986</v>
      </c>
      <c r="G357" s="114">
        <v>2.1968832269999989</v>
      </c>
      <c r="H357" s="114">
        <v>1.6110476997999994</v>
      </c>
      <c r="I357" s="114">
        <v>3.0024070768999986</v>
      </c>
      <c r="J357" s="114">
        <v>2.1968832269999989</v>
      </c>
      <c r="K357" s="114">
        <v>1.6110476997999994</v>
      </c>
      <c r="L357" s="115"/>
      <c r="M357" s="115"/>
    </row>
    <row r="358" spans="1:13" x14ac:dyDescent="0.35">
      <c r="A358" s="113" t="s">
        <v>73</v>
      </c>
      <c r="B358" s="114">
        <v>1800.05</v>
      </c>
      <c r="C358" s="113" t="s">
        <v>74</v>
      </c>
      <c r="D358" s="114">
        <v>48.817999999999984</v>
      </c>
      <c r="E358" s="114">
        <v>65.397999999999982</v>
      </c>
      <c r="F358" s="114">
        <v>3.6028684768999981</v>
      </c>
      <c r="G358" s="114">
        <v>2.6362452269999985</v>
      </c>
      <c r="H358" s="114">
        <v>1.9332464997999992</v>
      </c>
      <c r="I358" s="114">
        <v>3.6028684768999981</v>
      </c>
      <c r="J358" s="114">
        <v>2.6362452269999985</v>
      </c>
      <c r="K358" s="114">
        <v>1.9332464997999992</v>
      </c>
      <c r="L358" s="115"/>
      <c r="M358" s="115"/>
    </row>
    <row r="359" spans="1:13" x14ac:dyDescent="0.35">
      <c r="A359" s="113" t="s">
        <v>75</v>
      </c>
      <c r="B359" s="114">
        <v>2200.0500000000002</v>
      </c>
      <c r="C359" s="113" t="s">
        <v>74</v>
      </c>
      <c r="D359" s="114">
        <v>48.817999999999984</v>
      </c>
      <c r="E359" s="114">
        <v>65.397999999999982</v>
      </c>
      <c r="F359" s="114">
        <v>4.4034836768999988</v>
      </c>
      <c r="G359" s="114">
        <v>3.2220612269999993</v>
      </c>
      <c r="H359" s="114">
        <v>2.3628448997999998</v>
      </c>
      <c r="I359" s="114">
        <v>4.4034836768999988</v>
      </c>
      <c r="J359" s="114">
        <v>3.2220612269999993</v>
      </c>
      <c r="K359" s="114">
        <v>2.3628448997999998</v>
      </c>
      <c r="L359" s="115"/>
      <c r="M359" s="115"/>
    </row>
    <row r="360" spans="1:13" x14ac:dyDescent="0.35">
      <c r="A360" s="113" t="s">
        <v>76</v>
      </c>
      <c r="B360" s="114">
        <v>2700.05</v>
      </c>
      <c r="C360" s="113" t="s">
        <v>74</v>
      </c>
      <c r="D360" s="114">
        <v>48.817999999999984</v>
      </c>
      <c r="E360" s="114">
        <v>65.397999999999982</v>
      </c>
      <c r="F360" s="114">
        <v>5.4042526768999988</v>
      </c>
      <c r="G360" s="114">
        <v>3.9543312269999986</v>
      </c>
      <c r="H360" s="114">
        <v>2.8998428997999994</v>
      </c>
      <c r="I360" s="114">
        <v>5.4042526768999988</v>
      </c>
      <c r="J360" s="114">
        <v>3.9543312269999986</v>
      </c>
      <c r="K360" s="114">
        <v>2.8998428997999994</v>
      </c>
      <c r="L360" s="115"/>
      <c r="M360" s="115"/>
    </row>
    <row r="361" spans="1:13" x14ac:dyDescent="0.35">
      <c r="A361" s="113" t="s">
        <v>77</v>
      </c>
      <c r="B361" s="114">
        <v>3500.05</v>
      </c>
      <c r="C361" s="113" t="s">
        <v>74</v>
      </c>
      <c r="D361" s="114">
        <v>48.817999999999984</v>
      </c>
      <c r="E361" s="114">
        <v>65.397999999999982</v>
      </c>
      <c r="F361" s="114">
        <v>7.0054830768999983</v>
      </c>
      <c r="G361" s="114">
        <v>5.1259632269999988</v>
      </c>
      <c r="H361" s="114">
        <v>3.7590396997999993</v>
      </c>
      <c r="I361" s="114">
        <v>7.0054830768999983</v>
      </c>
      <c r="J361" s="114">
        <v>5.1259632269999988</v>
      </c>
      <c r="K361" s="114">
        <v>3.7590396997999993</v>
      </c>
      <c r="L361" s="115"/>
      <c r="M361" s="115"/>
    </row>
    <row r="362" spans="1:13" x14ac:dyDescent="0.35">
      <c r="A362" s="113" t="s">
        <v>78</v>
      </c>
      <c r="B362" s="114">
        <v>4750.05</v>
      </c>
      <c r="C362" s="113" t="s">
        <v>74</v>
      </c>
      <c r="D362" s="114">
        <v>48.817999999999984</v>
      </c>
      <c r="E362" s="114">
        <v>65.397999999999982</v>
      </c>
      <c r="F362" s="114">
        <v>9.5074055768999965</v>
      </c>
      <c r="G362" s="114">
        <v>6.9566382269999973</v>
      </c>
      <c r="H362" s="114">
        <v>5.1015346997999984</v>
      </c>
      <c r="I362" s="114">
        <v>9.5074055768999965</v>
      </c>
      <c r="J362" s="114">
        <v>6.9566382269999973</v>
      </c>
      <c r="K362" s="114">
        <v>5.1015346997999984</v>
      </c>
      <c r="L362" s="115"/>
      <c r="M362" s="115"/>
    </row>
    <row r="363" spans="1:13" x14ac:dyDescent="0.35">
      <c r="A363" s="103"/>
      <c r="B363" s="103"/>
      <c r="C363" s="103"/>
      <c r="D363" s="103"/>
      <c r="E363" s="103"/>
      <c r="F363" s="103"/>
      <c r="G363" s="111"/>
      <c r="H363" s="111"/>
      <c r="I363" s="103"/>
      <c r="J363" s="103"/>
      <c r="K363" s="103"/>
      <c r="L363" s="103"/>
      <c r="M363" s="103"/>
    </row>
    <row r="364" spans="1:13" ht="37.5" customHeight="1" x14ac:dyDescent="0.35">
      <c r="A364" s="121" t="s">
        <v>79</v>
      </c>
      <c r="B364" s="123"/>
      <c r="C364" s="103"/>
      <c r="D364" s="103"/>
      <c r="F364" s="103"/>
      <c r="H364" s="111"/>
      <c r="J364" s="103"/>
      <c r="K364" s="103"/>
      <c r="L364" s="103"/>
      <c r="M364" s="103"/>
    </row>
    <row r="365" spans="1:13" ht="28.3" x14ac:dyDescent="0.35">
      <c r="A365" s="135" t="s">
        <v>82</v>
      </c>
      <c r="B365" s="135" t="s">
        <v>83</v>
      </c>
      <c r="C365" s="103"/>
      <c r="D365" s="103"/>
      <c r="F365" s="103"/>
      <c r="H365" s="111"/>
      <c r="J365" s="103"/>
      <c r="K365" s="103"/>
      <c r="L365" s="103"/>
      <c r="M365" s="103"/>
    </row>
    <row r="366" spans="1:13" ht="28.3" x14ac:dyDescent="0.35">
      <c r="A366" s="104" t="s">
        <v>297</v>
      </c>
      <c r="B366" s="105" t="s">
        <v>297</v>
      </c>
      <c r="C366" s="103"/>
      <c r="D366" s="103"/>
      <c r="F366" s="103"/>
      <c r="H366" s="111"/>
      <c r="J366" s="103"/>
      <c r="K366" s="103"/>
      <c r="L366" s="103"/>
      <c r="M366" s="103"/>
    </row>
    <row r="367" spans="1:13" x14ac:dyDescent="0.35">
      <c r="A367" s="105" t="s">
        <v>392</v>
      </c>
      <c r="B367" s="105" t="s">
        <v>392</v>
      </c>
      <c r="C367" s="103"/>
      <c r="D367" s="103"/>
      <c r="F367" s="103"/>
      <c r="H367" s="111"/>
      <c r="J367" s="103"/>
      <c r="K367" s="103"/>
      <c r="L367" s="103"/>
      <c r="M367" s="103"/>
    </row>
    <row r="368" spans="1:13" x14ac:dyDescent="0.35">
      <c r="A368" s="103"/>
      <c r="B368" s="103"/>
      <c r="C368" s="103"/>
      <c r="D368" s="103"/>
      <c r="F368" s="103"/>
      <c r="H368" s="111"/>
      <c r="I368" s="103"/>
      <c r="J368" s="103"/>
      <c r="K368" s="103"/>
      <c r="L368" s="103"/>
      <c r="M368" s="103"/>
    </row>
    <row r="369" spans="1:13" ht="37.5" customHeight="1" x14ac:dyDescent="0.35">
      <c r="A369" s="121" t="s">
        <v>85</v>
      </c>
      <c r="B369" s="124"/>
      <c r="D369" s="103"/>
      <c r="F369" s="116"/>
      <c r="H369" s="103"/>
      <c r="I369" s="103"/>
      <c r="J369" s="103"/>
      <c r="K369" s="103"/>
      <c r="L369" s="103"/>
      <c r="M369" s="103"/>
    </row>
    <row r="370" spans="1:13" ht="28.3" x14ac:dyDescent="0.35">
      <c r="A370" s="135" t="s">
        <v>86</v>
      </c>
      <c r="B370" s="135" t="s">
        <v>87</v>
      </c>
      <c r="C370" s="135" t="s">
        <v>88</v>
      </c>
      <c r="D370" s="103"/>
      <c r="F370" s="103"/>
      <c r="H370" s="103"/>
      <c r="I370" s="103"/>
      <c r="J370" s="103"/>
      <c r="K370" s="103"/>
      <c r="L370" s="103"/>
      <c r="M370" s="103"/>
    </row>
    <row r="371" spans="1:13" x14ac:dyDescent="0.35">
      <c r="A371" s="120" t="s">
        <v>89</v>
      </c>
      <c r="B371" s="105" t="s">
        <v>23</v>
      </c>
      <c r="C371" s="105" t="s">
        <v>90</v>
      </c>
      <c r="D371" s="103"/>
      <c r="F371" s="103"/>
      <c r="H371" s="103"/>
      <c r="I371" s="103"/>
      <c r="J371" s="103"/>
      <c r="K371" s="103"/>
      <c r="L371" s="103"/>
      <c r="M371" s="103"/>
    </row>
    <row r="372" spans="1:13" ht="28.3" x14ac:dyDescent="0.35">
      <c r="A372" s="120" t="s">
        <v>91</v>
      </c>
      <c r="B372" s="105" t="s">
        <v>24</v>
      </c>
      <c r="C372" s="105" t="s">
        <v>92</v>
      </c>
      <c r="D372" s="103"/>
      <c r="F372" s="103"/>
      <c r="H372" s="103"/>
      <c r="I372" s="103"/>
      <c r="J372" s="103"/>
      <c r="K372" s="103"/>
      <c r="L372" s="103"/>
      <c r="M372" s="103"/>
    </row>
    <row r="373" spans="1:13" ht="42.45" x14ac:dyDescent="0.35">
      <c r="A373" s="120" t="s">
        <v>94</v>
      </c>
      <c r="B373" s="105" t="s">
        <v>25</v>
      </c>
      <c r="C373" s="105" t="s">
        <v>95</v>
      </c>
      <c r="D373" s="103"/>
      <c r="F373" s="103"/>
      <c r="H373" s="103"/>
      <c r="I373" s="103"/>
      <c r="J373" s="103"/>
      <c r="K373" s="103"/>
      <c r="L373" s="103"/>
      <c r="M373" s="103"/>
    </row>
    <row r="374" spans="1:13" ht="28.3" x14ac:dyDescent="0.35">
      <c r="A374" s="105" t="s">
        <v>96</v>
      </c>
      <c r="B374" s="105" t="s">
        <v>24</v>
      </c>
      <c r="C374" s="105" t="s">
        <v>92</v>
      </c>
      <c r="D374" s="103"/>
      <c r="F374" s="103"/>
      <c r="H374" s="103"/>
      <c r="I374" s="103"/>
      <c r="J374" s="103"/>
      <c r="K374" s="103"/>
      <c r="L374" s="103"/>
      <c r="M374" s="103"/>
    </row>
    <row r="375" spans="1:13" ht="28.3" x14ac:dyDescent="0.35">
      <c r="A375" s="105" t="s">
        <v>97</v>
      </c>
      <c r="B375" s="105" t="s">
        <v>24</v>
      </c>
      <c r="C375" s="105" t="s">
        <v>92</v>
      </c>
      <c r="D375" s="103"/>
      <c r="F375" s="103"/>
      <c r="H375" s="103"/>
      <c r="I375" s="117"/>
      <c r="J375" s="103"/>
      <c r="K375" s="103"/>
      <c r="L375" s="103"/>
      <c r="M375" s="103"/>
    </row>
    <row r="376" spans="1:13" ht="28.3" x14ac:dyDescent="0.35">
      <c r="A376" s="120" t="s">
        <v>98</v>
      </c>
      <c r="B376" s="105" t="s">
        <v>24</v>
      </c>
      <c r="C376" s="105" t="s">
        <v>92</v>
      </c>
      <c r="D376" s="103"/>
      <c r="F376" s="103"/>
      <c r="H376" s="103"/>
      <c r="I376" s="117"/>
      <c r="J376" s="103"/>
      <c r="K376" s="103"/>
      <c r="L376" s="103"/>
      <c r="M376" s="103"/>
    </row>
    <row r="377" spans="1:13" ht="15" customHeight="1" x14ac:dyDescent="0.35">
      <c r="A377" s="103"/>
      <c r="B377" s="111"/>
      <c r="C377" s="103"/>
      <c r="D377" s="103"/>
      <c r="F377" s="103"/>
      <c r="H377" s="103"/>
      <c r="I377" s="117"/>
      <c r="J377" s="103"/>
      <c r="K377" s="103"/>
      <c r="L377" s="103"/>
      <c r="M377" s="103"/>
    </row>
    <row r="378" spans="1:13" ht="37.5" customHeight="1" x14ac:dyDescent="0.35">
      <c r="A378" s="121" t="s">
        <v>99</v>
      </c>
      <c r="B378" s="122"/>
      <c r="C378" s="103"/>
      <c r="D378" s="103"/>
      <c r="F378" s="103"/>
      <c r="H378" s="103"/>
      <c r="I378" s="117"/>
      <c r="J378" s="103"/>
      <c r="K378" s="103"/>
      <c r="L378" s="103"/>
      <c r="M378" s="103"/>
    </row>
    <row r="379" spans="1:13" ht="28.3" x14ac:dyDescent="0.35">
      <c r="A379" s="134" t="s">
        <v>13</v>
      </c>
      <c r="B379" s="134" t="s">
        <v>83</v>
      </c>
      <c r="C379" s="103"/>
      <c r="D379" s="103"/>
      <c r="F379" s="103"/>
      <c r="H379" s="103"/>
      <c r="I379" s="103"/>
      <c r="J379" s="103"/>
      <c r="K379" s="103"/>
      <c r="L379" s="103"/>
      <c r="M379" s="103"/>
    </row>
    <row r="380" spans="1:13" x14ac:dyDescent="0.35">
      <c r="A380" s="105" t="s">
        <v>100</v>
      </c>
      <c r="B380" s="118" t="b">
        <v>1</v>
      </c>
      <c r="C380" s="103"/>
      <c r="D380" s="103"/>
      <c r="F380" s="103"/>
      <c r="H380" s="103"/>
      <c r="I380" s="103"/>
      <c r="J380" s="103"/>
      <c r="K380" s="103"/>
      <c r="L380" s="103"/>
      <c r="M380" s="103"/>
    </row>
    <row r="381" spans="1:13" x14ac:dyDescent="0.35">
      <c r="A381" s="105" t="s">
        <v>101</v>
      </c>
      <c r="B381" s="118" t="b">
        <v>0</v>
      </c>
      <c r="C381" s="103"/>
      <c r="D381" s="103"/>
      <c r="F381" s="103"/>
      <c r="H381" s="103"/>
      <c r="I381" s="103"/>
      <c r="J381" s="103"/>
      <c r="K381" s="103"/>
      <c r="L381" s="103"/>
      <c r="M381" s="103"/>
    </row>
    <row r="382" spans="1:13" x14ac:dyDescent="0.35">
      <c r="A382" s="103"/>
      <c r="B382" s="111"/>
      <c r="C382" s="111"/>
      <c r="D382" s="103"/>
      <c r="F382" s="103"/>
    </row>
    <row r="383" spans="1:13" ht="37.5" customHeight="1" x14ac:dyDescent="0.35">
      <c r="A383" s="121" t="s">
        <v>80</v>
      </c>
      <c r="B383" s="140"/>
      <c r="C383" s="111"/>
      <c r="D383" s="103"/>
    </row>
    <row r="384" spans="1:13" x14ac:dyDescent="0.35">
      <c r="A384" s="141" t="s">
        <v>84</v>
      </c>
      <c r="D384" s="103"/>
    </row>
    <row r="385" spans="1:8" x14ac:dyDescent="0.35">
      <c r="A385" s="142" t="s">
        <v>21</v>
      </c>
      <c r="D385" s="103"/>
      <c r="E385" s="103"/>
      <c r="F385" s="103"/>
      <c r="G385" s="111"/>
      <c r="H385" s="111"/>
    </row>
    <row r="386" spans="1:8" x14ac:dyDescent="0.35">
      <c r="A386" s="142" t="s">
        <v>27</v>
      </c>
      <c r="D386" s="103"/>
      <c r="E386" s="103"/>
      <c r="F386" s="103"/>
      <c r="G386" s="111"/>
      <c r="H386" s="111"/>
    </row>
    <row r="387" spans="1:8" x14ac:dyDescent="0.35">
      <c r="A387" s="142" t="s">
        <v>28</v>
      </c>
      <c r="D387" s="103"/>
      <c r="E387" s="103"/>
      <c r="F387" s="103"/>
      <c r="G387" s="111"/>
      <c r="H387" s="111"/>
    </row>
    <row r="388" spans="1:8" x14ac:dyDescent="0.35">
      <c r="A388" s="142" t="s">
        <v>33</v>
      </c>
      <c r="D388" s="103"/>
      <c r="E388" s="103"/>
      <c r="F388" s="103"/>
      <c r="G388" s="111"/>
      <c r="H388" s="111"/>
    </row>
    <row r="389" spans="1:8" x14ac:dyDescent="0.35">
      <c r="A389" s="142" t="s">
        <v>29</v>
      </c>
      <c r="D389" s="103"/>
      <c r="E389" s="103"/>
      <c r="F389" s="103"/>
      <c r="G389" s="111"/>
      <c r="H389" s="111"/>
    </row>
    <row r="390" spans="1:8" x14ac:dyDescent="0.35">
      <c r="A390" s="142" t="s">
        <v>30</v>
      </c>
      <c r="D390" s="103"/>
      <c r="E390" s="103"/>
      <c r="F390" s="103"/>
      <c r="G390" s="111"/>
      <c r="H390" s="111"/>
    </row>
    <row r="391" spans="1:8" x14ac:dyDescent="0.35">
      <c r="A391" s="142" t="s">
        <v>93</v>
      </c>
      <c r="D391" s="103"/>
      <c r="E391" s="103"/>
      <c r="F391" s="103"/>
      <c r="G391" s="111"/>
      <c r="H391" s="111"/>
    </row>
    <row r="392" spans="1:8" x14ac:dyDescent="0.35">
      <c r="A392" s="142" t="s">
        <v>31</v>
      </c>
      <c r="D392" s="103"/>
      <c r="E392" s="103"/>
      <c r="F392" s="103"/>
      <c r="G392" s="111"/>
      <c r="H392" s="111"/>
    </row>
    <row r="393" spans="1:8" x14ac:dyDescent="0.35">
      <c r="A393" s="142" t="s">
        <v>32</v>
      </c>
      <c r="D393" s="103"/>
      <c r="E393" s="103"/>
      <c r="F393" s="103"/>
      <c r="G393" s="111"/>
      <c r="H393" s="111"/>
    </row>
    <row r="394" spans="1:8" x14ac:dyDescent="0.35">
      <c r="A394" s="143" t="s">
        <v>35</v>
      </c>
      <c r="D394" s="103"/>
      <c r="E394" s="103"/>
      <c r="F394" s="103"/>
      <c r="G394" s="111"/>
      <c r="H394" s="111"/>
    </row>
    <row r="395" spans="1:8" x14ac:dyDescent="0.35">
      <c r="A395" s="143" t="s">
        <v>37</v>
      </c>
      <c r="D395" s="103"/>
      <c r="E395" s="103"/>
      <c r="F395" s="103"/>
      <c r="G395" s="111"/>
      <c r="H395" s="111"/>
    </row>
    <row r="396" spans="1:8" x14ac:dyDescent="0.35">
      <c r="A396" s="143" t="s">
        <v>38</v>
      </c>
      <c r="D396" s="103"/>
      <c r="E396" s="103"/>
      <c r="F396" s="103"/>
      <c r="G396" s="111"/>
      <c r="H396" s="111"/>
    </row>
    <row r="397" spans="1:8" x14ac:dyDescent="0.35">
      <c r="A397" s="143" t="s">
        <v>39</v>
      </c>
      <c r="D397" s="103"/>
      <c r="E397" s="103"/>
      <c r="F397" s="103"/>
      <c r="G397" s="111"/>
      <c r="H397" s="111"/>
    </row>
    <row r="398" spans="1:8" x14ac:dyDescent="0.35">
      <c r="A398" s="142" t="s">
        <v>40</v>
      </c>
      <c r="D398" s="103"/>
      <c r="E398" s="103"/>
      <c r="F398" s="103"/>
      <c r="G398" s="111"/>
      <c r="H398" s="111"/>
    </row>
    <row r="399" spans="1:8" x14ac:dyDescent="0.35">
      <c r="A399" s="142" t="s">
        <v>41</v>
      </c>
      <c r="D399" s="103"/>
      <c r="E399" s="103"/>
      <c r="F399" s="103"/>
      <c r="G399" s="111"/>
      <c r="H399" s="111"/>
    </row>
    <row r="400" spans="1:8" x14ac:dyDescent="0.35">
      <c r="A400" s="142" t="s">
        <v>42</v>
      </c>
      <c r="D400" s="103"/>
      <c r="E400" s="103"/>
      <c r="F400" s="103"/>
      <c r="G400" s="111"/>
      <c r="H400" s="111"/>
    </row>
    <row r="401" spans="1:8" x14ac:dyDescent="0.35">
      <c r="A401" s="144" t="s">
        <v>36</v>
      </c>
      <c r="D401" s="103"/>
      <c r="E401" s="103"/>
      <c r="F401" s="103"/>
      <c r="G401" s="111"/>
      <c r="H401" s="111"/>
    </row>
    <row r="403" spans="1:8" ht="37.5" customHeight="1" x14ac:dyDescent="0.35">
      <c r="A403" s="121" t="s">
        <v>81</v>
      </c>
      <c r="B403" s="151"/>
    </row>
    <row r="404" spans="1:8" x14ac:dyDescent="0.35">
      <c r="A404" s="134" t="s">
        <v>572</v>
      </c>
    </row>
    <row r="405" spans="1:8" x14ac:dyDescent="0.35">
      <c r="A405" s="105" t="s">
        <v>21</v>
      </c>
    </row>
    <row r="406" spans="1:8" x14ac:dyDescent="0.35">
      <c r="A406" s="105" t="s">
        <v>27</v>
      </c>
    </row>
    <row r="407" spans="1:8" x14ac:dyDescent="0.35">
      <c r="A407" s="105" t="s">
        <v>28</v>
      </c>
    </row>
    <row r="408" spans="1:8" x14ac:dyDescent="0.35">
      <c r="A408" s="105" t="s">
        <v>33</v>
      </c>
    </row>
    <row r="409" spans="1:8" x14ac:dyDescent="0.35">
      <c r="A409" s="105" t="s">
        <v>29</v>
      </c>
    </row>
    <row r="410" spans="1:8" x14ac:dyDescent="0.35">
      <c r="A410" s="105" t="s">
        <v>30</v>
      </c>
    </row>
    <row r="411" spans="1:8" x14ac:dyDescent="0.35">
      <c r="A411" s="105" t="s">
        <v>93</v>
      </c>
    </row>
    <row r="412" spans="1:8" x14ac:dyDescent="0.35">
      <c r="A412" s="105" t="s">
        <v>31</v>
      </c>
    </row>
    <row r="413" spans="1:8" x14ac:dyDescent="0.35">
      <c r="A413" s="105" t="s">
        <v>32</v>
      </c>
    </row>
    <row r="414" spans="1:8" x14ac:dyDescent="0.35">
      <c r="A414" s="105" t="s">
        <v>35</v>
      </c>
    </row>
    <row r="415" spans="1:8" x14ac:dyDescent="0.35">
      <c r="A415" s="112" t="s">
        <v>37</v>
      </c>
    </row>
    <row r="416" spans="1:8" x14ac:dyDescent="0.35">
      <c r="A416" s="112" t="s">
        <v>38</v>
      </c>
    </row>
    <row r="417" spans="1:1" x14ac:dyDescent="0.35">
      <c r="A417" s="112" t="s">
        <v>39</v>
      </c>
    </row>
    <row r="418" spans="1:1" x14ac:dyDescent="0.35">
      <c r="A418" s="105" t="s">
        <v>40</v>
      </c>
    </row>
    <row r="419" spans="1:1" x14ac:dyDescent="0.35">
      <c r="A419" s="105" t="s">
        <v>41</v>
      </c>
    </row>
    <row r="420" spans="1:1" x14ac:dyDescent="0.35">
      <c r="A420" s="105" t="s">
        <v>42</v>
      </c>
    </row>
    <row r="421" spans="1:1" x14ac:dyDescent="0.35">
      <c r="A421" s="105" t="s">
        <v>36</v>
      </c>
    </row>
    <row r="423" spans="1:1" ht="37.5" customHeight="1" x14ac:dyDescent="0.35">
      <c r="A423" s="39" t="s">
        <v>144</v>
      </c>
    </row>
    <row r="424" spans="1:1" x14ac:dyDescent="0.35">
      <c r="A424" s="134" t="s">
        <v>137</v>
      </c>
    </row>
    <row r="425" spans="1:1" x14ac:dyDescent="0.35">
      <c r="A425" s="105" t="e" cm="1" vm="1">
        <f t="array" ref="A425">_xlfn._xlws.SORT(_xlfn.UNIQUE(_xlfn._xlws.FILTER(Nutrients_from_future_land_use!$A$5:$A$21,Nutrients_from_future_land_use!$A$5:$A$21&lt;&gt;"")))</f>
        <v>#VALUE!</v>
      </c>
    </row>
  </sheetData>
  <phoneticPr fontId="9" type="noConversion"/>
  <dataValidations count="1">
    <dataValidation allowBlank="1" showInputMessage="1" showErrorMessage="1" prompt="This value is dependent on the rainfall volume." sqref="G334:H336 H330" xr:uid="{531D2639-E1CD-4714-9D53-CBF5CF1C1961}"/>
  </dataValidations>
  <pageMargins left="0.7" right="0.7" top="0.75" bottom="0.75" header="0.3" footer="0.3"/>
  <pageSetup paperSize="9"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3.xml><?xml version="1.0" encoding="utf-8"?>
<?mso-contentType ?>
<SharedContentType xmlns="Microsoft.SharePoint.Taxonomy.ContentTypeSync" SourceId="d1117845-93f6-4da3-abaa-fcb4fa669c78" ContentTypeId="0x010100A5BF1C78D9F64B679A5EBDE1C6598EBC01" PreviousValue="false"/>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709A144B6CB1247B0EB17D39170EEBB" ma:contentTypeVersion="13" ma:contentTypeDescription="Create a new document." ma:contentTypeScope="" ma:versionID="67ecd45f770d3e359dffe841dc5eb5e3">
  <xsd:schema xmlns:xsd="http://www.w3.org/2001/XMLSchema" xmlns:xs="http://www.w3.org/2001/XMLSchema" xmlns:p="http://schemas.microsoft.com/office/2006/metadata/properties" xmlns:ns2="662745e8-e224-48e8-a2e3-254862b8c2f5" xmlns:ns3="50608f39-3744-4f2b-8ddf-6077ea9dcf84" xmlns:ns4="41b1b97e-58d0-4f82-aacc-4a7d6fa43521" targetNamespace="http://schemas.microsoft.com/office/2006/metadata/properties" ma:root="true" ma:fieldsID="42e099b84febb67c73aa22ba39b9046a" ns2:_="" ns3:_="" ns4:_="">
    <xsd:import namespace="662745e8-e224-48e8-a2e3-254862b8c2f5"/>
    <xsd:import namespace="50608f39-3744-4f2b-8ddf-6077ea9dcf84"/>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9ba13cf-7d0b-4653-bdd4-d6cd8989d710}"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9ba13cf-7d0b-4653-bdd4-d6cd8989d710}"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England Programmes" ma:internalName="Team">
      <xsd:simpleType>
        <xsd:restriction base="dms:Text"/>
      </xsd:simpleType>
    </xsd:element>
    <xsd:element name="Topic" ma:index="20" nillable="true" ma:displayName="Topic" ma:default="Strategic solution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08f39-3744-4f2b-8ddf-6077ea9dcf8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element name="MediaServiceAutoTags" ma:index="3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Props1.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2.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customXml/itemProps3.xml><?xml version="1.0" encoding="utf-8"?>
<ds:datastoreItem xmlns:ds="http://schemas.openxmlformats.org/officeDocument/2006/customXml" ds:itemID="{A20C4055-CEC6-4863-8ACC-5A85BC7572B5}">
  <ds:schemaRefs>
    <ds:schemaRef ds:uri="Microsoft.SharePoint.Taxonomy.ContentTypeSync"/>
  </ds:schemaRefs>
</ds:datastoreItem>
</file>

<file path=customXml/itemProps4.xml><?xml version="1.0" encoding="utf-8"?>
<ds:datastoreItem xmlns:ds="http://schemas.openxmlformats.org/officeDocument/2006/customXml" ds:itemID="{5F625CD1-CDB8-4D83-9564-406597736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50608f39-3744-4f2b-8ddf-6077ea9dcf84"/>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6870AF0-BC99-4EE0-9479-825860D2F99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Slattery-Penfold,Tanis</cp:lastModifiedBy>
  <cp:revision/>
  <dcterms:created xsi:type="dcterms:W3CDTF">2021-10-14T13:24:34Z</dcterms:created>
  <dcterms:modified xsi:type="dcterms:W3CDTF">2024-02-26T15:18:35Z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0x010100A5BF1C78D9F64B679A5EBDE1C6598EBC01001709A144B6CB1247B0EB17D39170EEBB</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8;#NE|275df9ce-cd92-4318-adfe-db572e51c7ff</vt:lpwstr>
  </property>
  <property fmtid="{D5CDD505-2E9C-101B-9397-08002B2CF9AE}" pid="8" name="HOCopyrightLevel">
    <vt:lpwstr>7;#Crown|69589897-2828-4761-976e-717fd8e631c9</vt:lpwstr>
  </property>
</Properties>
</file>